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72" firstSheet="1" activeTab="1" autoFilterDateGrouping="1"/>
  </bookViews>
  <sheets>
    <sheet name="Analise Propostas Usina rev.0" sheetId="1" state="hidden" r:id="rId1"/>
    <sheet name="Base de Dados" sheetId="2" state="visible" r:id="rId2"/>
    <sheet name="dCliente" sheetId="3" state="visible" r:id="rId3"/>
    <sheet name="Base de Dados (2)" sheetId="4" state="hidden" r:id="rId4"/>
  </sheets>
  <definedNames>
    <definedName name="_xlnm._FilterDatabase" localSheetId="1" hidden="1">'Base de Dados'!$A$1:$CW$247</definedName>
    <definedName name="_xlnm._FilterDatabase" localSheetId="3" hidden="1">'Base de Dados (2)'!$A$1:$CQ$14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&quot;R$&quot;\ #,##0.00"/>
    <numFmt numFmtId="165" formatCode="_-&quot;R$&quot;* #,##0.00_-;\-&quot;R$&quot;* #,##0.00_-;_-&quot;R$&quot;* &quot;-&quot;??_-;_-@_-"/>
    <numFmt numFmtId="166" formatCode="_-&quot;R$&quot;* #,##0.00000_-;\-&quot;R$&quot;* #,##0.00000_-;_-&quot;R$&quot;* &quot;-&quot;??_-;_-@_-"/>
    <numFmt numFmtId="167" formatCode="#,##0.00_ ;[Red]\-#,##0.00\ "/>
    <numFmt numFmtId="168" formatCode="_-&quot;R$&quot;\ * #,##0.00000_-;\-&quot;R$&quot;\ * #,##0.00000_-;_-&quot;R$&quot;\ * &quot;-&quot;?????_-;_-@_-"/>
    <numFmt numFmtId="169" formatCode="_-&quot;R$&quot;\ * #,##0.0000_-;\-&quot;R$&quot;\ * #,##0.0000_-;_-&quot;R$&quot;\ * &quot;-&quot;????_-;_-@_-"/>
    <numFmt numFmtId="170" formatCode="_-&quot;R$&quot;\ * #,##0.000000_-;\-&quot;R$&quot;\ * #,##0.000000_-;_-&quot;R$&quot;\ * &quot;-&quot;??_-;_-@_-"/>
    <numFmt numFmtId="171" formatCode="_-&quot;R$&quot;* #,##0.000000_-;\-&quot;R$&quot;* #,##0.000000_-;_-&quot;R$&quot;* &quot;-&quot;??_-;_-@_-"/>
    <numFmt numFmtId="172" formatCode="_-&quot;R$&quot;\ * #,##0.00_-;\-&quot;R$&quot;\ * #,##0.00_-;_-&quot;R$&quot;\ * &quot;-&quot;??_-;_-@_-"/>
    <numFmt numFmtId="173" formatCode="R$ #,##0.00"/>
    <numFmt numFmtId="174" formatCode="0.0000%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color rgb="FFFFFFFF"/>
      <sz val="10"/>
    </font>
    <font>
      <name val="Trebuchet MS"/>
      <family val="2"/>
      <color theme="0"/>
      <sz val="10"/>
    </font>
    <font>
      <name val="Trebuchet MS"/>
      <family val="2"/>
      <color rgb="FFFFFFFF"/>
      <sz val="11"/>
    </font>
    <font>
      <name val="Calibri"/>
      <family val="2"/>
      <sz val="11"/>
      <scheme val="minor"/>
    </font>
    <font>
      <name val="Trebuchet MS"/>
      <family val="2"/>
      <sz val="11"/>
    </font>
    <font>
      <name val="Calibri"/>
      <family val="2"/>
      <sz val="8"/>
      <scheme val="minor"/>
    </font>
    <font>
      <name val="Trebuchet MS"/>
      <family val="2"/>
      <color rgb="FFFF0000"/>
      <sz val="11"/>
    </font>
    <font>
      <name val="Trebuchet MS"/>
      <family val="2"/>
      <b val="1"/>
      <color rgb="FF808080"/>
      <sz val="11"/>
    </font>
    <font>
      <name val="Trebuchet MS"/>
      <family val="2"/>
      <color theme="1"/>
      <sz val="11"/>
    </font>
    <font>
      <name val="Trebuchet MS"/>
      <family val="2"/>
      <b val="1"/>
      <sz val="11"/>
    </font>
    <font>
      <name val="Trebuchet MS"/>
      <family val="2"/>
      <b val="1"/>
      <color theme="1"/>
      <sz val="11"/>
    </font>
    <font>
      <name val="Trebuchet MS"/>
      <family val="2"/>
      <sz val="10"/>
    </font>
    <font>
      <name val="Arial"/>
      <family val="2"/>
      <color rgb="FF1D1C1D"/>
      <sz val="11"/>
    </font>
    <font>
      <name val="Calibri"/>
      <charset val="1"/>
      <family val="2"/>
      <color rgb="FF000000"/>
      <sz val="11"/>
    </font>
    <font>
      <name val="Trebuchet MS"/>
      <family val="2"/>
      <b val="1"/>
      <color rgb="FFFF0000"/>
      <sz val="11"/>
    </font>
    <font>
      <name val="Trebuchet MS"/>
      <family val="2"/>
      <sz val="11"/>
    </font>
    <font>
      <name val="Segoe UI"/>
      <family val="2"/>
      <color rgb="FF0D0D0D"/>
      <sz val="12"/>
    </font>
    <font>
      <name val="Arial"/>
      <family val="2"/>
      <color rgb="FF1D1C1D"/>
      <sz val="11.5"/>
    </font>
    <font>
      <name val="Calibri"/>
      <family val="2"/>
      <color theme="1"/>
      <sz val="11"/>
      <u val="single"/>
      <scheme val="minor"/>
    </font>
    <font>
      <name val="Trebuchet MS"/>
      <family val="2"/>
      <sz val="11"/>
      <u val="single"/>
    </font>
  </fonts>
  <fills count="1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9679555650502"/>
      </left>
      <right style="thin">
        <color theme="0" tint="-0.1499679555650502"/>
      </right>
      <top style="thin">
        <color theme="0" tint="-0.1499679555650502"/>
      </top>
      <bottom style="thin">
        <color theme="0" tint="-0.1499679555650502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theme="0" tint="-0.1499374370555742"/>
      </top>
      <bottom style="thin">
        <color theme="0" tint="-0.1499374370555742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9679555650502"/>
      </left>
      <right style="thin">
        <color theme="0" tint="-0.149967955565050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2" fillId="0" borderId="0"/>
    <xf numFmtId="9" fontId="2" fillId="0" borderId="0"/>
    <xf numFmtId="165" fontId="2" fillId="0" borderId="0"/>
    <xf numFmtId="0" fontId="16" fillId="0" borderId="0"/>
    <xf numFmtId="174" fontId="2" fillId="0" borderId="0"/>
  </cellStyleXfs>
  <cellXfs count="381">
    <xf numFmtId="0" fontId="0" fillId="0" borderId="0" pivotButton="0" quotePrefix="0" xfId="0"/>
    <xf numFmtId="164" fontId="0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164" fontId="0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 wrapText="1"/>
    </xf>
    <xf numFmtId="0" fontId="1" fillId="2" borderId="4" applyAlignment="1" pivotButton="0" quotePrefix="0" xfId="0">
      <alignment horizontal="center" vertical="top" wrapText="1"/>
    </xf>
    <xf numFmtId="0" fontId="1" fillId="3" borderId="14" applyAlignment="1" pivotButton="0" quotePrefix="0" xfId="0">
      <alignment horizontal="center" vertical="top" wrapText="1"/>
    </xf>
    <xf numFmtId="164" fontId="1" fillId="2" borderId="4" applyAlignment="1" pivotButton="0" quotePrefix="0" xfId="0">
      <alignment horizontal="center" vertical="top"/>
    </xf>
    <xf numFmtId="1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10" fontId="0" fillId="0" borderId="16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0" fontId="0" fillId="0" borderId="18" applyAlignment="1" pivotButton="0" quotePrefix="0" xfId="0">
      <alignment wrapText="1"/>
    </xf>
    <xf numFmtId="16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center" wrapText="1"/>
    </xf>
    <xf numFmtId="10" fontId="0" fillId="0" borderId="21" applyAlignment="1" pivotButton="0" quotePrefix="0" xfId="1">
      <alignment horizontal="center"/>
    </xf>
    <xf numFmtId="164" fontId="0" fillId="0" borderId="25" applyAlignment="1" pivotButton="0" quotePrefix="0" xfId="0">
      <alignment horizontal="left"/>
    </xf>
    <xf numFmtId="0" fontId="0" fillId="0" borderId="25" applyAlignment="1" pivotButton="0" quotePrefix="0" xfId="0">
      <alignment horizontal="center" wrapText="1"/>
    </xf>
    <xf numFmtId="10" fontId="0" fillId="0" borderId="26" applyAlignment="1" pivotButton="0" quotePrefix="0" xfId="1">
      <alignment horizontal="center"/>
    </xf>
    <xf numFmtId="0" fontId="0" fillId="0" borderId="5" applyAlignment="1" pivotButton="0" quotePrefix="0" xfId="0">
      <alignment wrapText="1"/>
    </xf>
    <xf numFmtId="164" fontId="0" fillId="0" borderId="5" applyAlignment="1" pivotButton="0" quotePrefix="0" xfId="0">
      <alignment horizontal="left"/>
    </xf>
    <xf numFmtId="0" fontId="0" fillId="0" borderId="5" applyAlignment="1" pivotButton="0" quotePrefix="0" xfId="0">
      <alignment horizontal="center" wrapText="1"/>
    </xf>
    <xf numFmtId="10" fontId="0" fillId="0" borderId="4" applyAlignment="1" pivotButton="0" quotePrefix="0" xfId="1">
      <alignment horizontal="center"/>
    </xf>
    <xf numFmtId="10" fontId="0" fillId="0" borderId="0" applyAlignment="1" pivotButton="0" quotePrefix="0" xfId="1">
      <alignment horizontal="center"/>
    </xf>
    <xf numFmtId="4" fontId="0" fillId="0" borderId="0" pivotButton="0" quotePrefix="0" xfId="0"/>
    <xf numFmtId="164" fontId="0" fillId="0" borderId="4" applyAlignment="1" pivotButton="0" quotePrefix="0" xfId="0">
      <alignment horizontal="center"/>
    </xf>
    <xf numFmtId="164" fontId="1" fillId="2" borderId="5" applyAlignment="1" pivotButton="0" quotePrefix="0" xfId="0">
      <alignment horizontal="center" vertical="top"/>
    </xf>
    <xf numFmtId="0" fontId="1" fillId="2" borderId="5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center"/>
    </xf>
    <xf numFmtId="0" fontId="1" fillId="0" borderId="28" applyAlignment="1" pivotButton="0" quotePrefix="0" xfId="0">
      <alignment wrapText="1"/>
    </xf>
    <xf numFmtId="0" fontId="1" fillId="0" borderId="19" applyAlignment="1" pivotButton="0" quotePrefix="0" xfId="0">
      <alignment wrapText="1"/>
    </xf>
    <xf numFmtId="164" fontId="1" fillId="0" borderId="21" applyAlignment="1" pivotButton="0" quotePrefix="0" xfId="0">
      <alignment horizontal="left"/>
    </xf>
    <xf numFmtId="164" fontId="1" fillId="0" borderId="20" applyAlignment="1" pivotButton="0" quotePrefix="0" xfId="0">
      <alignment horizontal="left"/>
    </xf>
    <xf numFmtId="0" fontId="3" fillId="5" borderId="30" applyAlignment="1" pivotButton="0" quotePrefix="0" xfId="0">
      <alignment horizontal="center" vertical="center" wrapText="1"/>
    </xf>
    <xf numFmtId="0" fontId="5" fillId="5" borderId="30" applyAlignment="1" pivotButton="0" quotePrefix="0" xfId="0">
      <alignment horizontal="center" vertical="center" wrapText="1"/>
    </xf>
    <xf numFmtId="2" fontId="4" fillId="5" borderId="30" applyAlignment="1" pivotButton="0" quotePrefix="0" xfId="0">
      <alignment horizontal="center" vertical="center" wrapText="1"/>
    </xf>
    <xf numFmtId="2" fontId="0" fillId="0" borderId="0" pivotButton="0" quotePrefix="0" xfId="0"/>
    <xf numFmtId="2" fontId="3" fillId="5" borderId="30" applyAlignment="1" pivotButton="0" quotePrefix="0" xfId="0">
      <alignment horizontal="center" vertical="center" wrapText="1"/>
    </xf>
    <xf numFmtId="2" fontId="5" fillId="5" borderId="30" applyAlignment="1" pivotButton="0" quotePrefix="0" xfId="0">
      <alignment horizontal="center" vertical="center" wrapText="1"/>
    </xf>
    <xf numFmtId="2" fontId="4" fillId="6" borderId="30" applyAlignment="1" pivotButton="0" quotePrefix="0" xfId="0">
      <alignment horizontal="center" vertical="center" wrapText="1"/>
    </xf>
    <xf numFmtId="0" fontId="6" fillId="0" borderId="0" pivotButton="0" quotePrefix="0" xfId="0"/>
    <xf numFmtId="2" fontId="5" fillId="7" borderId="30" applyAlignment="1" pivotButton="0" quotePrefix="0" xfId="0">
      <alignment horizontal="center" vertical="center" wrapText="1"/>
    </xf>
    <xf numFmtId="2" fontId="5" fillId="8" borderId="30" applyAlignment="1" pivotButton="0" quotePrefix="0" xfId="0">
      <alignment horizontal="center" vertical="center" wrapText="1"/>
    </xf>
    <xf numFmtId="2" fontId="5" fillId="9" borderId="30" applyAlignment="1" pivotButton="0" quotePrefix="0" xfId="0">
      <alignment horizontal="center" vertical="center" wrapText="1"/>
    </xf>
    <xf numFmtId="2" fontId="5" fillId="10" borderId="30" applyAlignment="1" pivotButton="0" quotePrefix="0" xfId="0">
      <alignment horizontal="center" vertical="center" wrapText="1"/>
    </xf>
    <xf numFmtId="2" fontId="7" fillId="2" borderId="30" applyAlignment="1" pivotButton="0" quotePrefix="0" xfId="0">
      <alignment horizontal="center" vertical="center" wrapText="1"/>
    </xf>
    <xf numFmtId="49" fontId="7" fillId="0" borderId="30" applyAlignment="1" pivotButton="0" quotePrefix="0" xfId="0">
      <alignment horizontal="left" vertical="center" wrapText="1"/>
    </xf>
    <xf numFmtId="49" fontId="7" fillId="0" borderId="30" applyAlignment="1" pivotButton="0" quotePrefix="0" xfId="0">
      <alignment horizontal="center" vertical="center" wrapText="1"/>
    </xf>
    <xf numFmtId="165" fontId="7" fillId="0" borderId="30" applyAlignment="1" pivotButton="0" quotePrefix="0" xfId="2">
      <alignment horizontal="left" vertical="center" wrapText="1"/>
    </xf>
    <xf numFmtId="4" fontId="7" fillId="0" borderId="30" applyAlignment="1" pivotButton="0" quotePrefix="0" xfId="0">
      <alignment horizontal="center" vertical="center" shrinkToFit="1"/>
    </xf>
    <xf numFmtId="49" fontId="7" fillId="4" borderId="30" applyAlignment="1" pivotButton="0" quotePrefix="0" xfId="0">
      <alignment horizontal="center" vertical="center" wrapText="1"/>
    </xf>
    <xf numFmtId="165" fontId="7" fillId="0" borderId="30" applyAlignment="1" pivotButton="0" quotePrefix="0" xfId="2">
      <alignment horizontal="left" vertical="center" shrinkToFit="1"/>
    </xf>
    <xf numFmtId="2" fontId="7" fillId="2" borderId="31" applyAlignment="1" pivotButton="0" quotePrefix="0" xfId="0">
      <alignment horizontal="center" vertical="center" wrapText="1"/>
    </xf>
    <xf numFmtId="2" fontId="9" fillId="2" borderId="30" applyAlignment="1" pivotButton="0" quotePrefix="0" xfId="0">
      <alignment horizontal="center" vertical="center" wrapText="1"/>
    </xf>
    <xf numFmtId="166" fontId="9" fillId="0" borderId="30" applyAlignment="1" pivotButton="0" quotePrefix="0" xfId="2">
      <alignment horizontal="left" vertical="center" shrinkToFit="1"/>
    </xf>
    <xf numFmtId="2" fontId="7" fillId="12" borderId="31" applyAlignment="1" pivotButton="0" quotePrefix="0" xfId="0">
      <alignment horizontal="center" vertical="center" wrapText="1"/>
    </xf>
    <xf numFmtId="14" fontId="7" fillId="2" borderId="3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4" fontId="6" fillId="0" borderId="0" pivotButton="0" quotePrefix="0" xfId="0"/>
    <xf numFmtId="0" fontId="7" fillId="0" borderId="32" applyAlignment="1" pivotButton="0" quotePrefix="0" xfId="0">
      <alignment horizontal="center" vertical="center"/>
    </xf>
    <xf numFmtId="0" fontId="7" fillId="11" borderId="32" applyAlignment="1" pivotButton="0" quotePrefix="0" xfId="0">
      <alignment horizontal="center" vertical="center"/>
    </xf>
    <xf numFmtId="0" fontId="11" fillId="0" borderId="0" pivotButton="0" quotePrefix="0" xfId="0"/>
    <xf numFmtId="0" fontId="7" fillId="0" borderId="0" pivotButton="0" quotePrefix="0" xfId="0"/>
    <xf numFmtId="14" fontId="7" fillId="0" borderId="34" applyAlignment="1" pivotButton="0" quotePrefix="0" xfId="0">
      <alignment horizontal="center" vertical="center"/>
    </xf>
    <xf numFmtId="14" fontId="7" fillId="0" borderId="33" applyAlignment="1" pivotButton="0" quotePrefix="0" xfId="0">
      <alignment horizontal="center" vertical="center"/>
    </xf>
    <xf numFmtId="49" fontId="7" fillId="0" borderId="33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4" fontId="7" fillId="0" borderId="33" applyAlignment="1" pivotButton="0" quotePrefix="0" xfId="0">
      <alignment horizontal="center" vertical="center"/>
    </xf>
    <xf numFmtId="4" fontId="7" fillId="11" borderId="33" applyAlignment="1" pivotButton="0" quotePrefix="0" xfId="0">
      <alignment horizontal="center" vertical="center"/>
    </xf>
    <xf numFmtId="2" fontId="12" fillId="2" borderId="31" applyAlignment="1" pivotButton="0" quotePrefix="0" xfId="0">
      <alignment horizontal="center" vertical="center" wrapText="1"/>
    </xf>
    <xf numFmtId="0" fontId="13" fillId="0" borderId="0" pivotButton="0" quotePrefix="0" xfId="0"/>
    <xf numFmtId="4" fontId="7" fillId="2" borderId="30" applyAlignment="1" pivotButton="0" quotePrefix="0" xfId="0">
      <alignment horizontal="center" vertical="center" shrinkToFit="1"/>
    </xf>
    <xf numFmtId="165" fontId="5" fillId="7" borderId="30" applyAlignment="1" pivotButton="0" quotePrefix="0" xfId="2">
      <alignment horizontal="center" vertical="center" wrapText="1"/>
    </xf>
    <xf numFmtId="165" fontId="7" fillId="0" borderId="30" applyAlignment="1" pivotButton="0" quotePrefix="0" xfId="2">
      <alignment horizontal="center" vertical="center" shrinkToFit="1"/>
    </xf>
    <xf numFmtId="165" fontId="0" fillId="0" borderId="0" pivotButton="0" quotePrefix="0" xfId="2"/>
    <xf numFmtId="165" fontId="5" fillId="9" borderId="30" applyAlignment="1" pivotButton="0" quotePrefix="0" xfId="2">
      <alignment horizontal="center" vertical="center" wrapText="1"/>
    </xf>
    <xf numFmtId="165" fontId="7" fillId="2" borderId="30" applyAlignment="1" pivotButton="0" quotePrefix="0" xfId="2">
      <alignment horizontal="center" vertical="center" shrinkToFit="1"/>
    </xf>
    <xf numFmtId="165" fontId="5" fillId="10" borderId="30" applyAlignment="1" pivotButton="0" quotePrefix="0" xfId="2">
      <alignment horizontal="center" vertical="center" wrapText="1"/>
    </xf>
    <xf numFmtId="2" fontId="14" fillId="2" borderId="3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" fontId="7" fillId="7" borderId="30" applyAlignment="1" pivotButton="0" quotePrefix="0" xfId="0">
      <alignment horizontal="center" vertical="center" shrinkToFit="1"/>
    </xf>
    <xf numFmtId="4" fontId="7" fillId="7" borderId="33" applyAlignment="1" pivotButton="0" quotePrefix="0" xfId="0">
      <alignment horizontal="center" vertical="center"/>
    </xf>
    <xf numFmtId="167" fontId="7" fillId="7" borderId="30" applyAlignment="1" pivotButton="0" quotePrefix="0" xfId="0">
      <alignment horizontal="center" vertical="center" wrapText="1"/>
    </xf>
    <xf numFmtId="4" fontId="15" fillId="0" borderId="0" pivotButton="0" quotePrefix="0" xfId="0"/>
    <xf numFmtId="165" fontId="0" fillId="0" borderId="0" pivotButton="0" quotePrefix="0" xfId="2"/>
    <xf numFmtId="14" fontId="7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14" borderId="35" applyAlignment="1" pivotButton="0" quotePrefix="0" xfId="0">
      <alignment horizontal="left" vertical="center"/>
    </xf>
    <xf numFmtId="0" fontId="2" fillId="14" borderId="35" applyAlignment="1" pivotButton="0" quotePrefix="0" xfId="3">
      <alignment horizontal="left" vertical="center"/>
    </xf>
    <xf numFmtId="0" fontId="6" fillId="14" borderId="35" applyAlignment="1" pivotButton="0" quotePrefix="0" xfId="0">
      <alignment vertical="center"/>
    </xf>
    <xf numFmtId="0" fontId="0" fillId="0" borderId="35" pivotButton="0" quotePrefix="0" xfId="0"/>
    <xf numFmtId="0" fontId="0" fillId="0" borderId="35" applyAlignment="1" pivotButton="0" quotePrefix="0" xfId="0">
      <alignment horizontal="center"/>
    </xf>
    <xf numFmtId="0" fontId="1" fillId="0" borderId="35" applyAlignment="1" pivotButton="0" quotePrefix="0" xfId="0">
      <alignment horizontal="center" vertical="center"/>
    </xf>
    <xf numFmtId="0" fontId="1" fillId="0" borderId="35" pivotButton="0" quotePrefix="0" xfId="0"/>
    <xf numFmtId="2" fontId="13" fillId="0" borderId="35" applyAlignment="1" pivotButton="0" quotePrefix="0" xfId="0">
      <alignment horizontal="center" vertical="center" wrapText="1"/>
    </xf>
    <xf numFmtId="0" fontId="1" fillId="7" borderId="35" applyAlignment="1" pivotButton="0" quotePrefix="0" xfId="0">
      <alignment horizontal="center" vertical="center"/>
    </xf>
    <xf numFmtId="0" fontId="1" fillId="7" borderId="35" applyAlignment="1" pivotButton="0" quotePrefix="0" xfId="0">
      <alignment vertical="center"/>
    </xf>
    <xf numFmtId="0" fontId="5" fillId="5" borderId="36" applyAlignment="1" pivotButton="0" quotePrefix="0" xfId="0">
      <alignment horizontal="center" vertical="center" wrapText="1"/>
    </xf>
    <xf numFmtId="2" fontId="5" fillId="5" borderId="36" applyAlignment="1" pivotButton="0" quotePrefix="0" xfId="0">
      <alignment horizontal="center" vertical="center" wrapText="1"/>
    </xf>
    <xf numFmtId="0" fontId="3" fillId="5" borderId="36" applyAlignment="1" pivotButton="0" quotePrefix="0" xfId="0">
      <alignment horizontal="center" vertical="center" wrapText="1"/>
    </xf>
    <xf numFmtId="2" fontId="7" fillId="2" borderId="36" applyAlignment="1" pivotButton="0" quotePrefix="0" xfId="0">
      <alignment horizontal="center" vertical="center" wrapText="1"/>
    </xf>
    <xf numFmtId="2" fontId="9" fillId="2" borderId="36" applyAlignment="1" pivotButton="0" quotePrefix="0" xfId="0">
      <alignment horizontal="center" vertical="center" wrapText="1"/>
    </xf>
    <xf numFmtId="2" fontId="5" fillId="10" borderId="36" applyAlignment="1" pivotButton="0" quotePrefix="0" xfId="0">
      <alignment horizontal="center" vertical="center" wrapText="1"/>
    </xf>
    <xf numFmtId="165" fontId="5" fillId="10" borderId="36" applyAlignment="1" pivotButton="0" quotePrefix="0" xfId="2">
      <alignment horizontal="center" vertical="center" wrapText="1"/>
    </xf>
    <xf numFmtId="2" fontId="5" fillId="7" borderId="36" applyAlignment="1" pivotButton="0" quotePrefix="0" xfId="0">
      <alignment horizontal="center" vertical="center" wrapText="1"/>
    </xf>
    <xf numFmtId="165" fontId="5" fillId="7" borderId="36" applyAlignment="1" pivotButton="0" quotePrefix="0" xfId="2">
      <alignment horizontal="center" vertical="center" wrapText="1"/>
    </xf>
    <xf numFmtId="2" fontId="5" fillId="8" borderId="36" applyAlignment="1" pivotButton="0" quotePrefix="0" xfId="0">
      <alignment horizontal="center" vertical="center" wrapText="1"/>
    </xf>
    <xf numFmtId="2" fontId="5" fillId="9" borderId="36" applyAlignment="1" pivotButton="0" quotePrefix="0" xfId="0">
      <alignment horizontal="center" vertical="center" wrapText="1"/>
    </xf>
    <xf numFmtId="165" fontId="5" fillId="9" borderId="36" applyAlignment="1" pivotButton="0" quotePrefix="0" xfId="2">
      <alignment horizontal="center" vertical="center" wrapText="1"/>
    </xf>
    <xf numFmtId="2" fontId="3" fillId="5" borderId="36" applyAlignment="1" pivotButton="0" quotePrefix="0" xfId="0">
      <alignment horizontal="center" vertical="center" wrapText="1"/>
    </xf>
    <xf numFmtId="2" fontId="4" fillId="5" borderId="36" applyAlignment="1" pivotButton="0" quotePrefix="0" xfId="0">
      <alignment horizontal="center" vertical="center" wrapText="1"/>
    </xf>
    <xf numFmtId="2" fontId="4" fillId="6" borderId="36" applyAlignment="1" pivotButton="0" quotePrefix="0" xfId="0">
      <alignment horizontal="center" vertical="center" wrapText="1"/>
    </xf>
    <xf numFmtId="2" fontId="14" fillId="2" borderId="36" applyAlignment="1" pivotButton="0" quotePrefix="0" xfId="0">
      <alignment horizontal="center" vertical="center" wrapText="1"/>
    </xf>
    <xf numFmtId="49" fontId="7" fillId="0" borderId="32" applyAlignment="1" pivotButton="0" quotePrefix="0" xfId="0">
      <alignment horizontal="left" vertical="center" wrapText="1"/>
    </xf>
    <xf numFmtId="14" fontId="7" fillId="0" borderId="32" applyAlignment="1" pivotButton="0" quotePrefix="0" xfId="0">
      <alignment horizontal="center" vertical="center"/>
    </xf>
    <xf numFmtId="4" fontId="7" fillId="0" borderId="32" applyAlignment="1" pivotButton="0" quotePrefix="0" xfId="0">
      <alignment horizontal="center" vertical="center"/>
    </xf>
    <xf numFmtId="165" fontId="7" fillId="0" borderId="32" applyAlignment="1" pivotButton="0" quotePrefix="0" xfId="2">
      <alignment horizontal="left" vertical="center" wrapText="1"/>
    </xf>
    <xf numFmtId="4" fontId="7" fillId="0" borderId="32" applyAlignment="1" pivotButton="0" quotePrefix="0" xfId="0">
      <alignment horizontal="center" vertical="center" shrinkToFit="1"/>
    </xf>
    <xf numFmtId="49" fontId="7" fillId="0" borderId="32" applyAlignment="1" pivotButton="0" quotePrefix="0" xfId="0">
      <alignment horizontal="center" vertical="center"/>
    </xf>
    <xf numFmtId="49" fontId="7" fillId="0" borderId="32" applyAlignment="1" pivotButton="0" quotePrefix="0" xfId="0">
      <alignment horizontal="center" vertical="center" wrapText="1"/>
    </xf>
    <xf numFmtId="165" fontId="7" fillId="0" borderId="32" applyAlignment="1" pivotButton="0" quotePrefix="0" xfId="2">
      <alignment horizontal="left" vertical="center" shrinkToFit="1"/>
    </xf>
    <xf numFmtId="0" fontId="7" fillId="0" borderId="32" applyAlignment="1" pivotButton="0" quotePrefix="0" xfId="2">
      <alignment horizontal="center" vertical="center" shrinkToFit="1"/>
    </xf>
    <xf numFmtId="166" fontId="9" fillId="0" borderId="32" applyAlignment="1" pivotButton="0" quotePrefix="0" xfId="2">
      <alignment horizontal="left" vertical="center" shrinkToFit="1"/>
    </xf>
    <xf numFmtId="165" fontId="7" fillId="0" borderId="32" applyAlignment="1" pivotButton="0" quotePrefix="0" xfId="2">
      <alignment horizontal="center" vertical="center" shrinkToFit="1"/>
    </xf>
    <xf numFmtId="167" fontId="7" fillId="7" borderId="32" applyAlignment="1" pivotButton="0" quotePrefix="0" xfId="0">
      <alignment horizontal="center" vertical="center" wrapText="1"/>
    </xf>
    <xf numFmtId="4" fontId="7" fillId="7" borderId="32" applyAlignment="1" pivotButton="0" quotePrefix="0" xfId="0">
      <alignment horizontal="center" vertical="center" shrinkToFit="1"/>
    </xf>
    <xf numFmtId="4" fontId="7" fillId="2" borderId="32" applyAlignment="1" pivotButton="0" quotePrefix="0" xfId="0">
      <alignment horizontal="center" vertical="center" shrinkToFit="1"/>
    </xf>
    <xf numFmtId="4" fontId="12" fillId="13" borderId="32" applyAlignment="1" pivotButton="0" quotePrefix="0" xfId="0">
      <alignment horizontal="center" vertical="center" shrinkToFit="1"/>
    </xf>
    <xf numFmtId="0" fontId="7" fillId="0" borderId="32" pivotButton="0" quotePrefix="0" xfId="0"/>
    <xf numFmtId="168" fontId="6" fillId="0" borderId="32" pivotButton="0" quotePrefix="0" xfId="0"/>
    <xf numFmtId="165" fontId="7" fillId="2" borderId="32" applyAlignment="1" pivotButton="0" quotePrefix="0" xfId="2">
      <alignment horizontal="center" vertical="center" shrinkToFit="1"/>
    </xf>
    <xf numFmtId="4" fontId="10" fillId="13" borderId="32" applyAlignment="1" pivotButton="0" quotePrefix="0" xfId="0">
      <alignment horizontal="center" vertical="center"/>
    </xf>
    <xf numFmtId="49" fontId="7" fillId="4" borderId="32" applyAlignment="1" pivotButton="0" quotePrefix="0" xfId="0">
      <alignment horizontal="left" vertical="center" wrapText="1"/>
    </xf>
    <xf numFmtId="14" fontId="7" fillId="11" borderId="32" applyAlignment="1" pivotButton="0" quotePrefix="0" xfId="0">
      <alignment horizontal="center" vertical="center"/>
    </xf>
    <xf numFmtId="4" fontId="7" fillId="11" borderId="32" applyAlignment="1" pivotButton="0" quotePrefix="0" xfId="0">
      <alignment horizontal="center" vertical="center"/>
    </xf>
    <xf numFmtId="165" fontId="7" fillId="4" borderId="32" applyAlignment="1" pivotButton="0" quotePrefix="0" xfId="2">
      <alignment horizontal="left" vertical="center" wrapText="1"/>
    </xf>
    <xf numFmtId="4" fontId="7" fillId="4" borderId="32" applyAlignment="1" pivotButton="0" quotePrefix="0" xfId="0">
      <alignment horizontal="center" vertical="center" shrinkToFit="1"/>
    </xf>
    <xf numFmtId="49" fontId="7" fillId="11" borderId="32" applyAlignment="1" pivotButton="0" quotePrefix="0" xfId="0">
      <alignment horizontal="center" vertical="center"/>
    </xf>
    <xf numFmtId="49" fontId="7" fillId="4" borderId="32" applyAlignment="1" pivotButton="0" quotePrefix="0" xfId="0">
      <alignment horizontal="center" vertical="center" wrapText="1"/>
    </xf>
    <xf numFmtId="165" fontId="7" fillId="4" borderId="32" applyAlignment="1" pivotButton="0" quotePrefix="0" xfId="2">
      <alignment horizontal="left" vertical="center" shrinkToFit="1"/>
    </xf>
    <xf numFmtId="0" fontId="7" fillId="4" borderId="32" applyAlignment="1" pivotButton="0" quotePrefix="0" xfId="2">
      <alignment horizontal="center" vertical="center" shrinkToFit="1"/>
    </xf>
    <xf numFmtId="166" fontId="9" fillId="4" borderId="32" applyAlignment="1" pivotButton="0" quotePrefix="0" xfId="2">
      <alignment horizontal="left" vertical="center" shrinkToFit="1"/>
    </xf>
    <xf numFmtId="165" fontId="7" fillId="11" borderId="32" applyAlignment="1" pivotButton="0" quotePrefix="0" xfId="2">
      <alignment horizontal="center" vertical="center" shrinkToFit="1"/>
    </xf>
    <xf numFmtId="165" fontId="7" fillId="4" borderId="32" applyAlignment="1" pivotButton="0" quotePrefix="0" xfId="2">
      <alignment horizontal="center" vertical="center" shrinkToFit="1"/>
    </xf>
    <xf numFmtId="165" fontId="7" fillId="0" borderId="32" applyAlignment="1" pivotButton="0" quotePrefix="0" xfId="2">
      <alignment horizontal="left" vertical="center" wrapText="1"/>
    </xf>
    <xf numFmtId="4" fontId="10" fillId="0" borderId="32" applyAlignment="1" pivotButton="0" quotePrefix="0" xfId="0">
      <alignment horizontal="center" vertical="center"/>
    </xf>
    <xf numFmtId="0" fontId="7" fillId="0" borderId="32" applyAlignment="1" pivotButton="0" quotePrefix="0" xfId="0">
      <alignment wrapText="1"/>
    </xf>
    <xf numFmtId="4" fontId="10" fillId="11" borderId="32" applyAlignment="1" pivotButton="0" quotePrefix="0" xfId="0">
      <alignment horizontal="center" vertical="center"/>
    </xf>
    <xf numFmtId="0" fontId="11" fillId="0" borderId="32" pivotButton="0" quotePrefix="0" xfId="0"/>
    <xf numFmtId="0" fontId="11" fillId="0" borderId="32" applyAlignment="1" pivotButton="0" quotePrefix="0" xfId="0">
      <alignment wrapText="1"/>
    </xf>
    <xf numFmtId="165" fontId="7" fillId="11" borderId="32" applyAlignment="1" pivotButton="0" quotePrefix="0" xfId="2">
      <alignment horizontal="left" vertical="center" shrinkToFit="1"/>
    </xf>
    <xf numFmtId="166" fontId="9" fillId="11" borderId="32" applyAlignment="1" pivotButton="0" quotePrefix="0" xfId="2">
      <alignment horizontal="left" vertical="center" shrinkToFit="1"/>
    </xf>
    <xf numFmtId="4" fontId="7" fillId="7" borderId="32" applyAlignment="1" pivotButton="0" quotePrefix="0" xfId="0">
      <alignment horizontal="center" vertical="center"/>
    </xf>
    <xf numFmtId="166" fontId="9" fillId="14" borderId="32" applyAlignment="1" pivotButton="0" quotePrefix="0" xfId="2">
      <alignment horizontal="left" vertical="center" shrinkToFit="1"/>
    </xf>
    <xf numFmtId="49" fontId="7" fillId="7" borderId="32" applyAlignment="1" pivotButton="0" quotePrefix="0" xfId="0">
      <alignment horizontal="center" vertical="center" wrapText="1"/>
    </xf>
    <xf numFmtId="165" fontId="7" fillId="7" borderId="32" applyAlignment="1" pivotButton="0" quotePrefix="0" xfId="2">
      <alignment horizontal="left" vertical="center" shrinkToFit="1"/>
    </xf>
    <xf numFmtId="166" fontId="9" fillId="7" borderId="32" applyAlignment="1" pivotButton="0" quotePrefix="0" xfId="2">
      <alignment horizontal="left" vertical="center" shrinkToFit="1"/>
    </xf>
    <xf numFmtId="165" fontId="7" fillId="7" borderId="32" applyAlignment="1" pivotButton="0" quotePrefix="0" xfId="2">
      <alignment horizontal="left" vertical="center" wrapText="1"/>
    </xf>
    <xf numFmtId="165" fontId="7" fillId="7" borderId="32" applyAlignment="1" pivotButton="0" quotePrefix="0" xfId="2">
      <alignment horizontal="center" vertical="center" shrinkToFit="1"/>
    </xf>
    <xf numFmtId="167" fontId="11" fillId="7" borderId="32" pivotButton="0" quotePrefix="0" xfId="0"/>
    <xf numFmtId="165" fontId="7" fillId="0" borderId="32" applyAlignment="1" pivotButton="0" quotePrefix="0" xfId="2">
      <alignment horizontal="left" vertical="center" shrinkToFit="1"/>
    </xf>
    <xf numFmtId="166" fontId="9" fillId="0" borderId="32" applyAlignment="1" pivotButton="0" quotePrefix="0" xfId="2">
      <alignment horizontal="left" vertical="center" shrinkToFit="1"/>
    </xf>
    <xf numFmtId="167" fontId="11" fillId="0" borderId="32" pivotButton="0" quotePrefix="0" xfId="0"/>
    <xf numFmtId="0" fontId="13" fillId="0" borderId="32" pivotButton="0" quotePrefix="0" xfId="0"/>
    <xf numFmtId="165" fontId="7" fillId="0" borderId="32" applyAlignment="1" pivotButton="0" quotePrefix="0" xfId="2">
      <alignment horizontal="center" vertical="center" shrinkToFit="1"/>
    </xf>
    <xf numFmtId="167" fontId="7" fillId="0" borderId="32" applyAlignment="1" pivotButton="0" quotePrefix="0" xfId="0">
      <alignment horizontal="center" vertical="center" wrapText="1"/>
    </xf>
    <xf numFmtId="4" fontId="7" fillId="11" borderId="32" applyAlignment="1" pivotButton="0" quotePrefix="0" xfId="0">
      <alignment horizontal="center" vertical="center" shrinkToFit="1"/>
    </xf>
    <xf numFmtId="165" fontId="7" fillId="11" borderId="32" applyAlignment="1" pivotButton="0" quotePrefix="0" xfId="2">
      <alignment horizontal="left" vertical="center" wrapText="1"/>
    </xf>
    <xf numFmtId="0" fontId="13" fillId="11" borderId="32" pivotButton="0" quotePrefix="0" xfId="0"/>
    <xf numFmtId="0" fontId="11" fillId="11" borderId="32" pivotButton="0" quotePrefix="0" xfId="0"/>
    <xf numFmtId="168" fontId="7" fillId="0" borderId="32" pivotButton="0" quotePrefix="0" xfId="0"/>
    <xf numFmtId="169" fontId="11" fillId="0" borderId="0" pivotButton="0" quotePrefix="0" xfId="0"/>
    <xf numFmtId="2" fontId="11" fillId="0" borderId="32" pivotButton="0" quotePrefix="0" xfId="0"/>
    <xf numFmtId="168" fontId="11" fillId="0" borderId="32" pivotButton="0" quotePrefix="0" xfId="0"/>
    <xf numFmtId="0" fontId="11" fillId="7" borderId="0" pivotButton="0" quotePrefix="0" xfId="0"/>
    <xf numFmtId="165" fontId="11" fillId="0" borderId="32" pivotButton="0" quotePrefix="0" xfId="2"/>
    <xf numFmtId="0" fontId="11" fillId="2" borderId="32" pivotButton="0" quotePrefix="0" xfId="0"/>
    <xf numFmtId="2" fontId="11" fillId="11" borderId="32" pivotButton="0" quotePrefix="0" xfId="0"/>
    <xf numFmtId="0" fontId="11" fillId="0" borderId="37" pivotButton="0" quotePrefix="0" xfId="0"/>
    <xf numFmtId="2" fontId="11" fillId="0" borderId="0" pivotButton="0" quotePrefix="0" xfId="0"/>
    <xf numFmtId="165" fontId="11" fillId="0" borderId="0" pivotButton="0" quotePrefix="0" xfId="2"/>
    <xf numFmtId="2" fontId="11" fillId="0" borderId="0" pivotButton="0" quotePrefix="1" xfId="0"/>
    <xf numFmtId="9" fontId="11" fillId="0" borderId="0" pivotButton="0" quotePrefix="0" xfId="1"/>
    <xf numFmtId="166" fontId="17" fillId="14" borderId="32" applyAlignment="1" pivotButton="0" quotePrefix="0" xfId="2">
      <alignment horizontal="left" vertical="center" shrinkToFit="1"/>
    </xf>
    <xf numFmtId="170" fontId="9" fillId="14" borderId="32" applyAlignment="1" pivotButton="0" quotePrefix="0" xfId="2">
      <alignment horizontal="left" vertical="center" shrinkToFit="1"/>
    </xf>
    <xf numFmtId="166" fontId="17" fillId="4" borderId="32" applyAlignment="1" pivotButton="0" quotePrefix="0" xfId="2">
      <alignment horizontal="left" vertical="center" shrinkToFit="1"/>
    </xf>
    <xf numFmtId="170" fontId="9" fillId="11" borderId="32" applyAlignment="1" pivotButton="0" quotePrefix="0" xfId="2">
      <alignment horizontal="left" vertical="center" shrinkToFit="1"/>
    </xf>
    <xf numFmtId="171" fontId="9" fillId="11" borderId="32" applyAlignment="1" pivotButton="0" quotePrefix="0" xfId="2">
      <alignment horizontal="center" vertical="center" shrinkToFit="1"/>
    </xf>
    <xf numFmtId="171" fontId="9" fillId="14" borderId="32" applyAlignment="1" pivotButton="0" quotePrefix="0" xfId="2">
      <alignment horizontal="left" vertical="center" shrinkToFit="1"/>
    </xf>
    <xf numFmtId="171" fontId="9" fillId="14" borderId="32" applyAlignment="1" pivotButton="0" quotePrefix="0" xfId="2">
      <alignment horizontal="center" vertical="center" shrinkToFit="1"/>
    </xf>
    <xf numFmtId="171" fontId="9" fillId="11" borderId="32" applyAlignment="1" pivotButton="0" quotePrefix="0" xfId="2">
      <alignment horizontal="left" vertical="center" shrinkToFit="1"/>
    </xf>
    <xf numFmtId="171" fontId="9" fillId="7" borderId="32" applyAlignment="1" pivotButton="0" quotePrefix="0" xfId="2">
      <alignment horizontal="center" vertical="center" shrinkToFit="1"/>
    </xf>
    <xf numFmtId="171" fontId="9" fillId="7" borderId="32" applyAlignment="1" pivotButton="0" quotePrefix="0" xfId="2">
      <alignment horizontal="left" vertical="center" shrinkToFit="1"/>
    </xf>
    <xf numFmtId="171" fontId="9" fillId="0" borderId="32" applyAlignment="1" pivotButton="0" quotePrefix="0" xfId="2">
      <alignment horizontal="left" vertical="center" shrinkToFit="1"/>
    </xf>
    <xf numFmtId="171" fontId="17" fillId="14" borderId="32" applyAlignment="1" pivotButton="0" quotePrefix="0" xfId="2">
      <alignment horizontal="left" vertical="center" shrinkToFit="1"/>
    </xf>
    <xf numFmtId="171" fontId="17" fillId="4" borderId="32" applyAlignment="1" pivotButton="0" quotePrefix="0" xfId="2">
      <alignment horizontal="left" vertical="center" shrinkToFit="1"/>
    </xf>
    <xf numFmtId="171" fontId="9" fillId="4" borderId="32" applyAlignment="1" pivotButton="0" quotePrefix="0" xfId="2">
      <alignment horizontal="left" vertical="center" shrinkToFit="1"/>
    </xf>
    <xf numFmtId="171" fontId="17" fillId="0" borderId="32" applyAlignment="1" pivotButton="0" quotePrefix="0" xfId="2">
      <alignment horizontal="left" vertical="center" shrinkToFit="1"/>
    </xf>
    <xf numFmtId="14" fontId="7" fillId="7" borderId="32" applyAlignment="1" pivotButton="0" quotePrefix="0" xfId="0">
      <alignment horizontal="center" vertical="center"/>
    </xf>
    <xf numFmtId="0" fontId="7" fillId="7" borderId="32" applyAlignment="1" pivotButton="0" quotePrefix="0" xfId="0">
      <alignment horizontal="center" vertical="center"/>
    </xf>
    <xf numFmtId="0" fontId="7" fillId="0" borderId="32" applyAlignment="1" pivotButton="0" quotePrefix="0" xfId="2">
      <alignment horizontal="center" vertical="center" shrinkToFit="1"/>
    </xf>
    <xf numFmtId="4" fontId="18" fillId="11" borderId="32" applyAlignment="1" pivotButton="0" quotePrefix="0" xfId="0">
      <alignment horizontal="center" vertical="center" shrinkToFit="1"/>
    </xf>
    <xf numFmtId="165" fontId="18" fillId="11" borderId="32" applyAlignment="1" pivotButton="0" quotePrefix="0" xfId="2">
      <alignment horizontal="center" vertical="center" shrinkToFit="1"/>
    </xf>
    <xf numFmtId="4" fontId="18" fillId="0" borderId="32" applyAlignment="1" pivotButton="0" quotePrefix="0" xfId="0">
      <alignment horizontal="center" vertical="center" shrinkToFit="1"/>
    </xf>
    <xf numFmtId="165" fontId="18" fillId="0" borderId="32" applyAlignment="1" pivotButton="0" quotePrefix="0" xfId="2">
      <alignment horizontal="center" vertical="center" shrinkToFit="1"/>
    </xf>
    <xf numFmtId="165" fontId="18" fillId="0" borderId="32" applyAlignment="1" pivotButton="0" quotePrefix="0" xfId="2">
      <alignment horizontal="left" vertical="center" shrinkToFit="1"/>
    </xf>
    <xf numFmtId="4" fontId="18" fillId="4" borderId="32" applyAlignment="1" pivotButton="0" quotePrefix="0" xfId="0">
      <alignment horizontal="center" vertical="center" shrinkToFit="1"/>
    </xf>
    <xf numFmtId="165" fontId="18" fillId="4" borderId="32" applyAlignment="1" pivotButton="0" quotePrefix="0" xfId="2">
      <alignment horizontal="left" vertical="center" shrinkToFit="1"/>
    </xf>
    <xf numFmtId="4" fontId="12" fillId="0" borderId="32" applyAlignment="1" pivotButton="0" quotePrefix="0" xfId="0">
      <alignment horizontal="center" vertical="center" shrinkToFit="1"/>
    </xf>
    <xf numFmtId="4" fontId="12" fillId="11" borderId="32" applyAlignment="1" pivotButton="0" quotePrefix="0" xfId="0">
      <alignment horizontal="center" vertical="center" shrinkToFit="1"/>
    </xf>
    <xf numFmtId="168" fontId="0" fillId="0" borderId="0" pivotButton="0" quotePrefix="0" xfId="0"/>
    <xf numFmtId="49" fontId="18" fillId="4" borderId="32" applyAlignment="1" pivotButton="0" quotePrefix="0" xfId="0">
      <alignment horizontal="center" vertical="center" wrapText="1"/>
    </xf>
    <xf numFmtId="165" fontId="18" fillId="2" borderId="32" applyAlignment="1" pivotButton="0" quotePrefix="0" xfId="2">
      <alignment horizontal="center" vertical="center" shrinkToFit="1"/>
    </xf>
    <xf numFmtId="4" fontId="18" fillId="0" borderId="32" applyAlignment="1" pivotButton="0" quotePrefix="0" xfId="0">
      <alignment horizontal="center" vertical="center"/>
    </xf>
    <xf numFmtId="4" fontId="18" fillId="11" borderId="32" applyAlignment="1" pivotButton="0" quotePrefix="0" xfId="0">
      <alignment horizontal="center" vertical="center"/>
    </xf>
    <xf numFmtId="167" fontId="18" fillId="7" borderId="32" applyAlignment="1" pivotButton="0" quotePrefix="0" xfId="0">
      <alignment horizontal="center" vertical="center" wrapText="1"/>
    </xf>
    <xf numFmtId="165" fontId="18" fillId="0" borderId="32" applyAlignment="1" pivotButton="0" quotePrefix="0" xfId="2">
      <alignment horizontal="left" vertical="center" wrapText="1"/>
    </xf>
    <xf numFmtId="4" fontId="18" fillId="7" borderId="32" applyAlignment="1" pivotButton="0" quotePrefix="0" xfId="0">
      <alignment horizontal="center" vertical="center" shrinkToFit="1"/>
    </xf>
    <xf numFmtId="4" fontId="18" fillId="2" borderId="32" applyAlignment="1" pivotButton="0" quotePrefix="0" xfId="0">
      <alignment horizontal="center" vertical="center" shrinkToFit="1"/>
    </xf>
    <xf numFmtId="9" fontId="0" fillId="0" borderId="0" pivotButton="0" quotePrefix="0" xfId="1"/>
    <xf numFmtId="0" fontId="11" fillId="0" borderId="0" applyAlignment="1" pivotButton="0" quotePrefix="0" xfId="0">
      <alignment wrapText="1"/>
    </xf>
    <xf numFmtId="0" fontId="19" fillId="0" borderId="0" pivotButton="0" quotePrefix="0" xfId="0"/>
    <xf numFmtId="49" fontId="11" fillId="0" borderId="32" pivotButton="0" quotePrefix="0" xfId="1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 wrapText="1"/>
    </xf>
    <xf numFmtId="172" fontId="0" fillId="0" borderId="0" pivotButton="0" quotePrefix="0" xfId="0"/>
    <xf numFmtId="49" fontId="7" fillId="11" borderId="32" applyAlignment="1" pivotButton="0" quotePrefix="0" xfId="0">
      <alignment horizontal="left" vertical="center" wrapText="1"/>
    </xf>
    <xf numFmtId="49" fontId="7" fillId="11" borderId="32" applyAlignment="1" pivotButton="0" quotePrefix="0" xfId="0">
      <alignment horizontal="center" vertical="center" wrapText="1"/>
    </xf>
    <xf numFmtId="0" fontId="7" fillId="11" borderId="32" applyAlignment="1" pivotButton="0" quotePrefix="0" xfId="2">
      <alignment horizontal="center" vertical="center" shrinkToFit="1"/>
    </xf>
    <xf numFmtId="0" fontId="7" fillId="11" borderId="32" pivotButton="0" quotePrefix="0" xfId="0"/>
    <xf numFmtId="168" fontId="7" fillId="11" borderId="32" pivotButton="0" quotePrefix="0" xfId="0"/>
    <xf numFmtId="169" fontId="11" fillId="11" borderId="0" pivotButton="0" quotePrefix="0" xfId="0"/>
    <xf numFmtId="0" fontId="7" fillId="11" borderId="0" pivotButton="0" quotePrefix="0" xfId="0"/>
    <xf numFmtId="165" fontId="18" fillId="0" borderId="32" applyAlignment="1" pivotButton="0" quotePrefix="0" xfId="2">
      <alignment horizontal="center" vertical="center" shrinkToFit="1"/>
    </xf>
    <xf numFmtId="165" fontId="7" fillId="2" borderId="32" applyAlignment="1" pivotButton="0" quotePrefix="0" xfId="2">
      <alignment horizontal="left" vertical="center" wrapText="1"/>
    </xf>
    <xf numFmtId="4" fontId="7" fillId="4" borderId="0" applyAlignment="1" pivotButton="0" quotePrefix="0" xfId="0">
      <alignment horizontal="center" vertical="center" shrinkToFit="1"/>
    </xf>
    <xf numFmtId="4" fontId="7" fillId="0" borderId="0" applyAlignment="1" pivotButton="0" quotePrefix="0" xfId="0">
      <alignment horizontal="center" vertical="center" shrinkToFit="1"/>
    </xf>
    <xf numFmtId="165" fontId="7" fillId="0" borderId="0" applyAlignment="1" pivotButton="0" quotePrefix="0" xfId="2">
      <alignment horizontal="left" vertical="center" wrapText="1"/>
    </xf>
    <xf numFmtId="4" fontId="7" fillId="7" borderId="0" applyAlignment="1" pivotButton="0" quotePrefix="0" xfId="0">
      <alignment horizontal="center" vertical="center"/>
    </xf>
    <xf numFmtId="11" fontId="7" fillId="11" borderId="32" applyAlignment="1" pivotButton="0" quotePrefix="0" xfId="0">
      <alignment horizontal="center" vertical="center"/>
    </xf>
    <xf numFmtId="0" fontId="11" fillId="2" borderId="37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wrapText="1"/>
    </xf>
    <xf numFmtId="49" fontId="11" fillId="0" borderId="32" applyAlignment="1" pivotButton="0" quotePrefix="0" xfId="1">
      <alignment wrapText="1"/>
    </xf>
    <xf numFmtId="0" fontId="0" fillId="0" borderId="17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top"/>
    </xf>
    <xf numFmtId="0" fontId="0" fillId="0" borderId="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/>
    </xf>
    <xf numFmtId="164" fontId="0" fillId="0" borderId="13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top" wrapText="1"/>
    </xf>
    <xf numFmtId="0" fontId="0" fillId="0" borderId="24" applyAlignment="1" pivotButton="0" quotePrefix="0" xfId="0">
      <alignment horizontal="center" vertical="top" wrapText="1"/>
    </xf>
    <xf numFmtId="0" fontId="1" fillId="2" borderId="5" applyAlignment="1" pivotButton="0" quotePrefix="0" xfId="0">
      <alignment horizontal="center" wrapText="1"/>
    </xf>
    <xf numFmtId="0" fontId="1" fillId="2" borderId="10" applyAlignment="1" pivotButton="0" quotePrefix="0" xfId="0">
      <alignment horizontal="center" wrapText="1"/>
    </xf>
    <xf numFmtId="0" fontId="1" fillId="2" borderId="14" applyAlignment="1" pivotButton="0" quotePrefix="0" xfId="0">
      <alignment horizont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top" wrapText="1"/>
    </xf>
    <xf numFmtId="0" fontId="1" fillId="2" borderId="14" applyAlignment="1" pivotButton="0" quotePrefix="0" xfId="0">
      <alignment horizontal="center" vertical="top" wrapText="1"/>
    </xf>
    <xf numFmtId="2" fontId="21" fillId="0" borderId="0" pivotButton="0" quotePrefix="0" xfId="0"/>
    <xf numFmtId="0" fontId="22" fillId="0" borderId="32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/>
    </xf>
    <xf numFmtId="164" fontId="1" fillId="2" borderId="4" applyAlignment="1" pivotButton="0" quotePrefix="0" xfId="0">
      <alignment horizontal="center" vertical="top"/>
    </xf>
    <xf numFmtId="0" fontId="0" fillId="0" borderId="5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2" pivotButton="0" quotePrefix="0" xfId="0"/>
    <xf numFmtId="164" fontId="0" fillId="0" borderId="4" applyAlignment="1" pivotButton="0" quotePrefix="0" xfId="0">
      <alignment horizontal="center"/>
    </xf>
    <xf numFmtId="164" fontId="0" fillId="0" borderId="0" pivotButton="0" quotePrefix="0" xfId="0"/>
    <xf numFmtId="0" fontId="0" fillId="0" borderId="4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top"/>
    </xf>
    <xf numFmtId="0" fontId="0" fillId="0" borderId="14" pivotButton="0" quotePrefix="0" xfId="0"/>
    <xf numFmtId="164" fontId="0" fillId="0" borderId="18" applyAlignment="1" pivotButton="0" quotePrefix="0" xfId="0">
      <alignment horizontal="left"/>
    </xf>
    <xf numFmtId="164" fontId="0" fillId="0" borderId="25" applyAlignment="1" pivotButton="0" quotePrefix="0" xfId="0">
      <alignment horizontal="left"/>
    </xf>
    <xf numFmtId="0" fontId="0" fillId="0" borderId="15" pivotButton="0" quotePrefix="0" xfId="0"/>
    <xf numFmtId="164" fontId="0" fillId="0" borderId="5" applyAlignment="1" pivotButton="0" quotePrefix="0" xfId="0">
      <alignment horizontal="left"/>
    </xf>
    <xf numFmtId="0" fontId="0" fillId="0" borderId="42" pivotButton="0" quotePrefix="0" xfId="0"/>
    <xf numFmtId="164" fontId="0" fillId="0" borderId="0" applyAlignment="1" pivotButton="0" quotePrefix="0" xfId="0">
      <alignment horizontal="center"/>
    </xf>
    <xf numFmtId="0" fontId="1" fillId="2" borderId="4" applyAlignment="1" pivotButton="0" quotePrefix="0" xfId="0">
      <alignment horizontal="center" wrapText="1"/>
    </xf>
    <xf numFmtId="0" fontId="0" fillId="0" borderId="10" pivotButton="0" quotePrefix="0" xfId="0"/>
    <xf numFmtId="164" fontId="1" fillId="0" borderId="21" applyAlignment="1" pivotButton="0" quotePrefix="0" xfId="0">
      <alignment horizontal="left"/>
    </xf>
    <xf numFmtId="0" fontId="0" fillId="0" borderId="41" pivotButton="0" quotePrefix="0" xfId="0"/>
    <xf numFmtId="0" fontId="0" fillId="0" borderId="29" pivotButton="0" quotePrefix="0" xfId="0"/>
    <xf numFmtId="164" fontId="1" fillId="0" borderId="20" applyAlignment="1" pivotButton="0" quotePrefix="0" xfId="0">
      <alignment horizontal="left"/>
    </xf>
    <xf numFmtId="0" fontId="0" fillId="0" borderId="27" pivotButton="0" quotePrefix="0" xfId="0"/>
    <xf numFmtId="0" fontId="0" fillId="0" borderId="24" pivotButton="0" quotePrefix="0" xfId="0"/>
    <xf numFmtId="165" fontId="0" fillId="0" borderId="0" pivotButton="0" quotePrefix="0" xfId="2"/>
    <xf numFmtId="165" fontId="5" fillId="10" borderId="36" applyAlignment="1" pivotButton="0" quotePrefix="0" xfId="2">
      <alignment horizontal="center" vertical="center" wrapText="1"/>
    </xf>
    <xf numFmtId="165" fontId="5" fillId="7" borderId="36" applyAlignment="1" pivotButton="0" quotePrefix="0" xfId="2">
      <alignment horizontal="center" vertical="center" wrapText="1"/>
    </xf>
    <xf numFmtId="165" fontId="5" fillId="9" borderId="36" applyAlignment="1" pivotButton="0" quotePrefix="0" xfId="2">
      <alignment horizontal="center" vertical="center" wrapText="1"/>
    </xf>
    <xf numFmtId="165" fontId="7" fillId="0" borderId="32" applyAlignment="1" pivotButton="0" quotePrefix="0" xfId="2">
      <alignment horizontal="left" vertical="center" wrapText="1"/>
    </xf>
    <xf numFmtId="165" fontId="7" fillId="0" borderId="32" applyAlignment="1" pivotButton="0" quotePrefix="0" xfId="2">
      <alignment horizontal="left" vertical="center" shrinkToFit="1"/>
    </xf>
    <xf numFmtId="166" fontId="9" fillId="0" borderId="32" applyAlignment="1" pivotButton="0" quotePrefix="0" xfId="2">
      <alignment horizontal="left" vertical="center" shrinkToFit="1"/>
    </xf>
    <xf numFmtId="165" fontId="7" fillId="0" borderId="32" applyAlignment="1" pivotButton="0" quotePrefix="0" xfId="2">
      <alignment horizontal="center" vertical="center" shrinkToFit="1"/>
    </xf>
    <xf numFmtId="167" fontId="7" fillId="7" borderId="32" applyAlignment="1" pivotButton="0" quotePrefix="0" xfId="0">
      <alignment horizontal="center" vertical="center" wrapText="1"/>
    </xf>
    <xf numFmtId="169" fontId="11" fillId="0" borderId="0" pivotButton="0" quotePrefix="0" xfId="0"/>
    <xf numFmtId="165" fontId="7" fillId="11" borderId="32" applyAlignment="1" pivotButton="0" quotePrefix="0" xfId="2">
      <alignment horizontal="left" vertical="center" wrapText="1"/>
    </xf>
    <xf numFmtId="165" fontId="7" fillId="11" borderId="32" applyAlignment="1" pivotButton="0" quotePrefix="0" xfId="2">
      <alignment horizontal="left" vertical="center" shrinkToFit="1"/>
    </xf>
    <xf numFmtId="166" fontId="9" fillId="11" borderId="32" applyAlignment="1" pivotButton="0" quotePrefix="0" xfId="2">
      <alignment horizontal="left" vertical="center" shrinkToFit="1"/>
    </xf>
    <xf numFmtId="165" fontId="7" fillId="11" borderId="32" applyAlignment="1" pivotButton="0" quotePrefix="0" xfId="2">
      <alignment horizontal="center" vertical="center" shrinkToFit="1"/>
    </xf>
    <xf numFmtId="169" fontId="11" fillId="11" borderId="0" pivotButton="0" quotePrefix="0" xfId="0"/>
    <xf numFmtId="165" fontId="7" fillId="4" borderId="32" applyAlignment="1" pivotButton="0" quotePrefix="0" xfId="2">
      <alignment horizontal="left" vertical="center" shrinkToFit="1"/>
    </xf>
    <xf numFmtId="166" fontId="9" fillId="4" borderId="32" applyAlignment="1" pivotButton="0" quotePrefix="0" xfId="2">
      <alignment horizontal="left" vertical="center" shrinkToFit="1"/>
    </xf>
    <xf numFmtId="165" fontId="7" fillId="4" borderId="32" applyAlignment="1" pivotButton="0" quotePrefix="0" xfId="2">
      <alignment horizontal="center" vertical="center" shrinkToFit="1"/>
    </xf>
    <xf numFmtId="165" fontId="7" fillId="4" borderId="32" applyAlignment="1" pivotButton="0" quotePrefix="0" xfId="2">
      <alignment horizontal="left" vertical="center" wrapText="1"/>
    </xf>
    <xf numFmtId="165" fontId="7" fillId="2" borderId="32" applyAlignment="1" pivotButton="0" quotePrefix="0" xfId="2">
      <alignment horizontal="center" vertical="center" shrinkToFit="1"/>
    </xf>
    <xf numFmtId="165" fontId="18" fillId="11" borderId="32" applyAlignment="1" pivotButton="0" quotePrefix="0" xfId="2">
      <alignment horizontal="center" vertical="center" shrinkToFit="1"/>
    </xf>
    <xf numFmtId="165" fontId="18" fillId="0" borderId="32" applyAlignment="1" pivotButton="0" quotePrefix="0" xfId="2">
      <alignment horizontal="center" vertical="center" shrinkToFit="1"/>
    </xf>
    <xf numFmtId="165" fontId="18" fillId="0" borderId="32" applyAlignment="1" pivotButton="0" quotePrefix="0" xfId="2">
      <alignment horizontal="left" vertical="center" shrinkToFit="1"/>
    </xf>
    <xf numFmtId="165" fontId="18" fillId="4" borderId="32" applyAlignment="1" pivotButton="0" quotePrefix="0" xfId="2">
      <alignment horizontal="left" vertical="center" shrinkToFit="1"/>
    </xf>
    <xf numFmtId="166" fontId="9" fillId="14" borderId="32" applyAlignment="1" pivotButton="0" quotePrefix="0" xfId="2">
      <alignment horizontal="left" vertical="center" shrinkToFit="1"/>
    </xf>
    <xf numFmtId="166" fontId="17" fillId="14" borderId="32" applyAlignment="1" pivotButton="0" quotePrefix="0" xfId="2">
      <alignment horizontal="left" vertical="center" shrinkToFit="1"/>
    </xf>
    <xf numFmtId="166" fontId="17" fillId="4" borderId="32" applyAlignment="1" pivotButton="0" quotePrefix="0" xfId="2">
      <alignment horizontal="left" vertical="center" shrinkToFit="1"/>
    </xf>
    <xf numFmtId="171" fontId="9" fillId="11" borderId="32" applyAlignment="1" pivotButton="0" quotePrefix="0" xfId="2">
      <alignment horizontal="center" vertical="center" shrinkToFit="1"/>
    </xf>
    <xf numFmtId="171" fontId="9" fillId="14" borderId="32" applyAlignment="1" pivotButton="0" quotePrefix="0" xfId="2">
      <alignment horizontal="left" vertical="center" shrinkToFit="1"/>
    </xf>
    <xf numFmtId="171" fontId="9" fillId="14" borderId="32" applyAlignment="1" pivotButton="0" quotePrefix="0" xfId="2">
      <alignment horizontal="center" vertical="center" shrinkToFit="1"/>
    </xf>
    <xf numFmtId="171" fontId="9" fillId="11" borderId="32" applyAlignment="1" pivotButton="0" quotePrefix="0" xfId="2">
      <alignment horizontal="left" vertical="center" shrinkToFit="1"/>
    </xf>
    <xf numFmtId="165" fontId="7" fillId="7" borderId="32" applyAlignment="1" pivotButton="0" quotePrefix="0" xfId="2">
      <alignment horizontal="left" vertical="center" shrinkToFit="1"/>
    </xf>
    <xf numFmtId="165" fontId="7" fillId="7" borderId="32" applyAlignment="1" pivotButton="0" quotePrefix="0" xfId="2">
      <alignment horizontal="center" vertical="center" shrinkToFit="1"/>
    </xf>
    <xf numFmtId="165" fontId="7" fillId="7" borderId="32" applyAlignment="1" pivotButton="0" quotePrefix="0" xfId="2">
      <alignment horizontal="left" vertical="center" wrapText="1"/>
    </xf>
    <xf numFmtId="171" fontId="9" fillId="7" borderId="32" applyAlignment="1" pivotButton="0" quotePrefix="0" xfId="2">
      <alignment horizontal="center" vertical="center" shrinkToFit="1"/>
    </xf>
    <xf numFmtId="171" fontId="9" fillId="7" borderId="32" applyAlignment="1" pivotButton="0" quotePrefix="0" xfId="2">
      <alignment horizontal="left" vertical="center" shrinkToFit="1"/>
    </xf>
    <xf numFmtId="166" fontId="9" fillId="7" borderId="32" applyAlignment="1" pivotButton="0" quotePrefix="0" xfId="2">
      <alignment horizontal="left" vertical="center" shrinkToFit="1"/>
    </xf>
    <xf numFmtId="167" fontId="11" fillId="7" borderId="32" pivotButton="0" quotePrefix="0" xfId="0"/>
    <xf numFmtId="165" fontId="7" fillId="2" borderId="32" applyAlignment="1" pivotButton="0" quotePrefix="0" xfId="2">
      <alignment horizontal="left" vertical="center" wrapText="1"/>
    </xf>
    <xf numFmtId="167" fontId="11" fillId="0" borderId="32" pivotButton="0" quotePrefix="0" xfId="0"/>
    <xf numFmtId="171" fontId="9" fillId="0" borderId="32" applyAlignment="1" pivotButton="0" quotePrefix="0" xfId="2">
      <alignment horizontal="left" vertical="center" shrinkToFit="1"/>
    </xf>
    <xf numFmtId="171" fontId="17" fillId="14" borderId="32" applyAlignment="1" pivotButton="0" quotePrefix="0" xfId="2">
      <alignment horizontal="left" vertical="center" shrinkToFit="1"/>
    </xf>
    <xf numFmtId="171" fontId="17" fillId="4" borderId="32" applyAlignment="1" pivotButton="0" quotePrefix="0" xfId="2">
      <alignment horizontal="left" vertical="center" shrinkToFit="1"/>
    </xf>
    <xf numFmtId="171" fontId="9" fillId="4" borderId="32" applyAlignment="1" pivotButton="0" quotePrefix="0" xfId="2">
      <alignment horizontal="left" vertical="center" shrinkToFit="1"/>
    </xf>
    <xf numFmtId="171" fontId="17" fillId="0" borderId="32" applyAlignment="1" pivotButton="0" quotePrefix="0" xfId="2">
      <alignment horizontal="left" vertical="center" shrinkToFit="1"/>
    </xf>
    <xf numFmtId="165" fontId="7" fillId="0" borderId="0" applyAlignment="1" pivotButton="0" quotePrefix="0" xfId="2">
      <alignment horizontal="left" vertical="center" wrapText="1"/>
    </xf>
    <xf numFmtId="167" fontId="7" fillId="0" borderId="32" applyAlignment="1" pivotButton="0" quotePrefix="0" xfId="0">
      <alignment horizontal="center" vertical="center" wrapText="1"/>
    </xf>
    <xf numFmtId="165" fontId="11" fillId="0" borderId="32" pivotButton="0" quotePrefix="0" xfId="2"/>
    <xf numFmtId="165" fontId="18" fillId="2" borderId="32" applyAlignment="1" pivotButton="0" quotePrefix="0" xfId="2">
      <alignment horizontal="center" vertical="center" shrinkToFit="1"/>
    </xf>
    <xf numFmtId="167" fontId="18" fillId="7" borderId="32" applyAlignment="1" pivotButton="0" quotePrefix="0" xfId="0">
      <alignment horizontal="center" vertical="center" wrapText="1"/>
    </xf>
    <xf numFmtId="165" fontId="18" fillId="0" borderId="32" applyAlignment="1" pivotButton="0" quotePrefix="0" xfId="2">
      <alignment horizontal="left" vertical="center" wrapText="1"/>
    </xf>
    <xf numFmtId="173" fontId="7" fillId="4" borderId="32" applyAlignment="1" pivotButton="0" quotePrefix="0" xfId="2">
      <alignment horizontal="left" vertical="center" shrinkToFit="1"/>
    </xf>
    <xf numFmtId="165" fontId="11" fillId="0" borderId="0" pivotButton="0" quotePrefix="0" xfId="2"/>
    <xf numFmtId="172" fontId="0" fillId="0" borderId="0" pivotButton="0" quotePrefix="0" xfId="0"/>
    <xf numFmtId="165" fontId="5" fillId="10" borderId="30" applyAlignment="1" pivotButton="0" quotePrefix="0" xfId="2">
      <alignment horizontal="center" vertical="center" wrapText="1"/>
    </xf>
    <xf numFmtId="165" fontId="5" fillId="7" borderId="30" applyAlignment="1" pivotButton="0" quotePrefix="0" xfId="2">
      <alignment horizontal="center" vertical="center" wrapText="1"/>
    </xf>
    <xf numFmtId="165" fontId="5" fillId="9" borderId="30" applyAlignment="1" pivotButton="0" quotePrefix="0" xfId="2">
      <alignment horizontal="center" vertical="center" wrapText="1"/>
    </xf>
    <xf numFmtId="165" fontId="7" fillId="0" borderId="30" applyAlignment="1" pivotButton="0" quotePrefix="0" xfId="2">
      <alignment horizontal="left" vertical="center" wrapText="1"/>
    </xf>
    <xf numFmtId="165" fontId="7" fillId="0" borderId="30" applyAlignment="1" pivotButton="0" quotePrefix="0" xfId="2">
      <alignment horizontal="center" vertical="center" shrinkToFit="1"/>
    </xf>
    <xf numFmtId="165" fontId="7" fillId="0" borderId="30" applyAlignment="1" pivotButton="0" quotePrefix="0" xfId="2">
      <alignment horizontal="left" vertical="center" shrinkToFit="1"/>
    </xf>
    <xf numFmtId="166" fontId="9" fillId="0" borderId="30" applyAlignment="1" pivotButton="0" quotePrefix="0" xfId="2">
      <alignment horizontal="left" vertical="center" shrinkToFit="1"/>
    </xf>
    <xf numFmtId="165" fontId="7" fillId="2" borderId="30" applyAlignment="1" pivotButton="0" quotePrefix="0" xfId="2">
      <alignment horizontal="center" vertical="center" shrinkToFit="1"/>
    </xf>
    <xf numFmtId="167" fontId="7" fillId="7" borderId="30" applyAlignment="1" pivotButton="0" quotePrefix="0" xfId="0">
      <alignment horizontal="center" vertical="center" wrapText="1"/>
    </xf>
    <xf numFmtId="173" fontId="7" fillId="4" borderId="32" applyAlignment="1" pivotButton="0" quotePrefix="0" xfId="2">
      <alignment horizontal="left" vertical="center" shrinkToFit="1"/>
    </xf>
    <xf numFmtId="173" fontId="7" fillId="0" borderId="32" applyAlignment="1" pivotButton="0" quotePrefix="0" xfId="2">
      <alignment horizontal="left" vertical="center" shrinkToFit="1"/>
    </xf>
  </cellXfs>
  <cellStyles count="5">
    <cellStyle name="Normal" xfId="0" builtinId="0"/>
    <cellStyle name="Porcentagem" xfId="1" builtinId="5"/>
    <cellStyle name="Moeda" xfId="2" builtinId="4"/>
    <cellStyle name="Normal 2" xfId="3"/>
    <cellStyle name="Moeda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tc={181BFE2D-F556-4AB4-8826-6484504EE9C7}</author>
    <author>tc={A89FE8FB-39DD-46A3-93E3-5D1D0213EC25}</author>
    <author>tc={345E6F36-AE81-4E0D-85F2-401C67827A23}</author>
    <author>tc={866165CE-65D1-443E-BD86-A713007F9081}</author>
    <author>tc={422088AC-53A0-4E25-9875-4D4A9BF8467B}</author>
    <author>tc={BDD1C341-2449-44A2-AB42-B5AECE9A182E}</author>
    <author>tc={9333919F-E363-4ED7-9AB5-835E93E613A2}</author>
    <author>tc={74FA3009-5A20-4334-ADD6-17D0426C79D0}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CP1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Q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  <comment ref="CW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</text>
    </comment>
    <comment ref="BS94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</text>
    </comment>
    <comment ref="BV94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Y94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</text>
    </comment>
    <comment ref="BV95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M110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N110" authorId="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S110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</text>
    </comment>
    <comment ref="BV110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</text>
    </comment>
    <comment ref="BS125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</text>
    </comment>
    <comment ref="BV125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</text>
    </comment>
    <comment ref="BY125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</text>
    </comment>
    <comment ref="CB125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</text>
    </comment>
    <comment ref="CE125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</text>
    </comment>
  </commentList>
</comments>
</file>

<file path=xl/comments/comment2.xml><?xml version="1.0" encoding="utf-8"?>
<comments xmlns="http://schemas.openxmlformats.org/spreadsheetml/2006/main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AF1" authorId="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</text>
    </comment>
    <comment ref="CN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O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4" workbookViewId="0">
      <selection activeCell="F3" sqref="F3:F4"/>
    </sheetView>
  </sheetViews>
  <sheetFormatPr baseColWidth="8" defaultRowHeight="15"/>
  <cols>
    <col width="40.5703125" customWidth="1" style="5" min="1" max="1"/>
    <col width="15.140625" customWidth="1" style="284" min="2" max="2"/>
    <col width="10.5703125" customWidth="1" style="9" min="3" max="3"/>
    <col width="24" bestFit="1" customWidth="1" min="4" max="5"/>
    <col width="16" customWidth="1" min="6" max="6"/>
    <col width="6.28515625" bestFit="1" customWidth="1" min="7" max="7"/>
  </cols>
  <sheetData>
    <row r="1" ht="15.75" customFormat="1" customHeight="1" s="2" thickBot="1">
      <c r="B1" s="3" t="n"/>
    </row>
    <row r="2" ht="30.75" customFormat="1" customHeight="1" s="4" thickBot="1">
      <c r="A2" s="33" t="inlineStr">
        <is>
          <t>Cenário 1- Placas no Telhado da Loja Matriz na Castelo Branco</t>
        </is>
      </c>
      <c r="B2" s="285" t="inlineStr">
        <is>
          <t>Valor</t>
        </is>
      </c>
      <c r="C2" s="10" t="inlineStr">
        <is>
          <t>Potência -Kwp</t>
        </is>
      </c>
      <c r="D2" s="11" t="inlineStr">
        <is>
          <t>Retorno do Investimento Sem Adição de Demanda</t>
        </is>
      </c>
      <c r="E2" s="12" t="inlineStr">
        <is>
          <t>Retorno do Investimento Com Adição de Demanda</t>
        </is>
      </c>
      <c r="F2" s="12" t="inlineStr">
        <is>
          <t>Aditivo Mensal de Demanda</t>
        </is>
      </c>
    </row>
    <row r="3" customFormat="1" s="4">
      <c r="A3" s="286" t="inlineStr">
        <is>
          <t>Proposta considerando sistema 100% em Telhado</t>
        </is>
      </c>
      <c r="B3" s="287" t="n">
        <v>1374274.68</v>
      </c>
      <c r="C3" s="288" t="n">
        <v>343.75</v>
      </c>
      <c r="D3" s="289" t="inlineStr">
        <is>
          <t>2 Anos 11 meses</t>
        </is>
      </c>
      <c r="E3" s="290" t="inlineStr">
        <is>
          <t>3 Anos 4 meses</t>
        </is>
      </c>
      <c r="F3" s="290" t="inlineStr">
        <is>
          <t>120 Kwh</t>
        </is>
      </c>
    </row>
    <row r="4" ht="15.75" customHeight="1" thickBot="1">
      <c r="A4" s="291" t="n"/>
      <c r="B4" s="292" t="n"/>
      <c r="D4" s="293" t="n"/>
      <c r="E4" s="294" t="n"/>
      <c r="F4" s="294" t="n"/>
      <c r="H4" s="30" t="n"/>
    </row>
    <row r="5" ht="15.75" customHeight="1" thickBot="1">
      <c r="A5" s="295" t="n"/>
      <c r="B5" s="293" t="n"/>
      <c r="C5" s="296" t="n"/>
      <c r="D5" s="17">
        <f>30841.75/$B$3</f>
        <v/>
      </c>
      <c r="E5" s="16">
        <f>26508.21/$B$3</f>
        <v/>
      </c>
      <c r="F5" s="297" t="n">
        <v>3974</v>
      </c>
      <c r="G5" s="14" t="n"/>
    </row>
    <row r="6" ht="15.75" customHeight="1" thickBot="1">
      <c r="C6" s="6" t="n"/>
      <c r="G6" s="298" t="n"/>
    </row>
    <row r="7" ht="30.75" customFormat="1" customHeight="1" s="4" thickBot="1">
      <c r="A7" s="33" t="inlineStr">
        <is>
          <t>Cenário 2 - Usina em Solo</t>
        </is>
      </c>
      <c r="B7" s="285" t="inlineStr">
        <is>
          <t>Valor</t>
        </is>
      </c>
      <c r="C7" s="10" t="inlineStr">
        <is>
          <t>Potência -Kwp</t>
        </is>
      </c>
      <c r="D7" s="11" t="inlineStr">
        <is>
          <t>Retorno do Investimento Sem Adição de Demanda</t>
        </is>
      </c>
      <c r="E7" s="12" t="inlineStr">
        <is>
          <t>Retorno do Investimento Com Adição de Demanda</t>
        </is>
      </c>
      <c r="F7" s="12" t="inlineStr">
        <is>
          <t>Aditivo Mensal de Demanda</t>
        </is>
      </c>
    </row>
    <row r="8">
      <c r="A8" s="286" t="inlineStr">
        <is>
          <t>Proposta considerando sistema 100% em solo</t>
        </is>
      </c>
      <c r="B8" s="287" t="n">
        <v>1538997.6</v>
      </c>
      <c r="C8" s="299" t="n">
        <v>343.75</v>
      </c>
      <c r="D8" s="266" t="inlineStr">
        <is>
          <t>3 anos e 2 meses</t>
        </is>
      </c>
      <c r="E8" s="252" t="inlineStr">
        <is>
          <t>4 anos e 3 meses</t>
        </is>
      </c>
      <c r="F8" s="290" t="inlineStr">
        <is>
          <t>250 Kwh</t>
        </is>
      </c>
    </row>
    <row r="9" ht="15.75" customHeight="1" thickBot="1">
      <c r="A9" s="291" t="n"/>
      <c r="B9" s="292" t="n"/>
      <c r="C9" s="292" t="n"/>
      <c r="D9" s="293" t="n"/>
      <c r="E9" s="294" t="n"/>
      <c r="F9" s="294" t="n"/>
    </row>
    <row r="10" ht="15.75" customHeight="1" thickBot="1">
      <c r="A10" s="295" t="n"/>
      <c r="B10" s="293" t="n"/>
      <c r="C10" s="293" t="n"/>
      <c r="D10" s="17">
        <f>30841.75/$B$8</f>
        <v/>
      </c>
      <c r="E10" s="16">
        <f>22203.37/$B$8</f>
        <v/>
      </c>
      <c r="F10" s="297" t="n">
        <v>8280</v>
      </c>
    </row>
    <row r="11" ht="15.75" customHeight="1" thickBot="1">
      <c r="C11" s="6" t="n"/>
    </row>
    <row r="12" ht="30.75" customFormat="1" customHeight="1" s="4" thickBot="1">
      <c r="A12" s="33" t="inlineStr">
        <is>
          <t>Cenário 3 - Divisão entre os Telhados da Matriz e da Loja de Vianópolis</t>
        </is>
      </c>
      <c r="B12" s="300" t="inlineStr">
        <is>
          <t>Valor</t>
        </is>
      </c>
      <c r="C12" s="11" t="inlineStr">
        <is>
          <t>Potência -Kwp</t>
        </is>
      </c>
      <c r="D12" s="11" t="inlineStr">
        <is>
          <t>Retorno do Investimento Sem Adição de Demanda para telhado na Fabrica atual</t>
        </is>
      </c>
      <c r="E12" s="301" t="n"/>
      <c r="F12" s="12" t="inlineStr">
        <is>
          <t>Aditivo Mensal de Demanda</t>
        </is>
      </c>
    </row>
    <row r="13" ht="30" customHeight="1">
      <c r="A13" s="18" t="inlineStr">
        <is>
          <t>Placas no Telhado da Loja Matriz na Castelo Branco</t>
        </is>
      </c>
      <c r="B13" s="302" t="n">
        <v>1039970.43</v>
      </c>
      <c r="C13" s="20" t="n">
        <v>260.15</v>
      </c>
      <c r="D13" s="21">
        <f>23339.68/$B$13</f>
        <v/>
      </c>
      <c r="E13" s="269" t="inlineStr">
        <is>
          <t>3 anos e 5 meses</t>
        </is>
      </c>
      <c r="F13" s="290">
        <f>C15-130</f>
        <v/>
      </c>
    </row>
    <row r="14" ht="15.75" customHeight="1" thickBot="1">
      <c r="A14" s="8" t="inlineStr">
        <is>
          <t>Placas no Telhado da Loja de Vianópolis</t>
        </is>
      </c>
      <c r="B14" s="303" t="n">
        <v>338996.58</v>
      </c>
      <c r="C14" s="23" t="n">
        <v>83.05</v>
      </c>
      <c r="D14" s="24">
        <f>7450.93/$B$14</f>
        <v/>
      </c>
      <c r="E14" s="304" t="n"/>
      <c r="F14" s="294" t="n"/>
    </row>
    <row r="15" ht="15.75" customHeight="1" thickBot="1">
      <c r="A15" s="25" t="inlineStr">
        <is>
          <t>Total</t>
        </is>
      </c>
      <c r="B15" s="305">
        <f>SUM(B13:B14)</f>
        <v/>
      </c>
      <c r="C15" s="27">
        <f>SUM(C13:C14)</f>
        <v/>
      </c>
      <c r="D15" s="28">
        <f>(D13+D14)/2</f>
        <v/>
      </c>
      <c r="E15" s="306" t="n"/>
      <c r="F15" s="297">
        <f>F10/250*F13</f>
        <v/>
      </c>
    </row>
    <row r="16" ht="15.75" customHeight="1" thickBot="1">
      <c r="C16" s="6" t="n"/>
      <c r="D16" s="29" t="n"/>
      <c r="E16" s="15" t="n"/>
      <c r="F16" s="307" t="n"/>
    </row>
    <row r="17" ht="15.75" customHeight="1" thickBot="1">
      <c r="A17" s="308" t="inlineStr">
        <is>
          <t>COMPARATIVOS ENTRE AS OPÇÕES DE CENÁRIOS POSSÍVEIS</t>
        </is>
      </c>
      <c r="B17" s="309" t="n"/>
      <c r="C17" s="309" t="n"/>
      <c r="D17" s="309" t="n"/>
      <c r="E17" s="309" t="n"/>
      <c r="F17" s="301" t="n"/>
    </row>
    <row r="18" ht="30" customHeight="1">
      <c r="A18" s="35" t="inlineStr">
        <is>
          <t>Diferença entre Opção Telhado Particionado e 100% Solo</t>
        </is>
      </c>
      <c r="B18" s="310">
        <f>B15-B8</f>
        <v/>
      </c>
      <c r="C18" s="253" t="inlineStr">
        <is>
          <t>Sem Adição de Demanda.</t>
        </is>
      </c>
      <c r="D18" s="311" t="n"/>
      <c r="E18" s="311" t="n"/>
      <c r="F18" s="312" t="n"/>
    </row>
    <row r="19" ht="30.75" customHeight="1" thickBot="1">
      <c r="A19" s="36" t="inlineStr">
        <is>
          <t>Diferença entre Opção 100% Telhado e 100% Solo</t>
        </is>
      </c>
      <c r="B19" s="313">
        <f>B3-B8</f>
        <v/>
      </c>
      <c r="C19" s="273" t="inlineStr">
        <is>
          <t>Com Adição de Demanda. De 4 a 8 mil mensais a depender da opção escolhida</t>
        </is>
      </c>
      <c r="D19" s="314" t="n"/>
      <c r="E19" s="314" t="n"/>
      <c r="F19" s="315" t="n"/>
    </row>
  </sheetData>
  <mergeCells count="18">
    <mergeCell ref="E13:E15"/>
    <mergeCell ref="F13:F14"/>
    <mergeCell ref="C18:F18"/>
    <mergeCell ref="A8:A10"/>
    <mergeCell ref="E8:E9"/>
    <mergeCell ref="F8:F9"/>
    <mergeCell ref="C3:C5"/>
    <mergeCell ref="E3:E4"/>
    <mergeCell ref="A3:A5"/>
    <mergeCell ref="F3:F4"/>
    <mergeCell ref="D3:D4"/>
    <mergeCell ref="D8:D9"/>
    <mergeCell ref="A17:F17"/>
    <mergeCell ref="B8:B10"/>
    <mergeCell ref="B3:B5"/>
    <mergeCell ref="C8:C10"/>
    <mergeCell ref="C19:F19"/>
    <mergeCell ref="D12:E12"/>
  </mergeCells>
  <pageMargins left="0.5118110236220472" right="0.5118110236220472" top="0.7874015748031497" bottom="0.7874015748031497" header="0.3149606299212598" footer="0.3149606299212598"/>
  <pageSetup orientation="landscape" paperSize="9"/>
  <headerFooter>
    <oddHeader>&amp;CANÁLISE DOS CENÁRIOS PARA ESCOLHA DA MELHOR OPÇÃO DE MONTAGEM DA USINA FOTOVOLTAICA - CASA DO PICA PAU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263"/>
  <sheetViews>
    <sheetView tabSelected="1" zoomScale="90" zoomScaleNormal="90" workbookViewId="0">
      <pane xSplit="3" ySplit="1" topLeftCell="F236" activePane="bottomRight" state="frozen"/>
      <selection pane="topRight" activeCell="B1" sqref="B1"/>
      <selection pane="bottomLeft" activeCell="A2" sqref="A2"/>
      <selection pane="bottomRight" activeCell="K243" sqref="K243"/>
    </sheetView>
  </sheetViews>
  <sheetFormatPr baseColWidth="8" defaultRowHeight="19.9" customHeight="1"/>
  <cols>
    <col width="18.85546875" bestFit="1" customWidth="1" min="1" max="1"/>
    <col width="15.7109375" customWidth="1" style="46" min="2" max="2"/>
    <col width="39.7109375" customWidth="1" min="3" max="3"/>
    <col width="21.7109375" customWidth="1" style="46" min="4" max="4"/>
    <col width="21" customWidth="1" style="64" min="5" max="5"/>
    <col width="15.140625" customWidth="1" style="42" min="6" max="6"/>
    <col width="12.42578125" customWidth="1" style="42" min="7" max="7"/>
    <col width="15.140625" customWidth="1" style="42" min="8" max="8"/>
    <col width="23.140625" bestFit="1" customWidth="1" style="64" min="9" max="9"/>
    <col width="33" customWidth="1" style="46" min="10" max="10"/>
    <col width="18.28515625" bestFit="1" customWidth="1" style="46" min="11" max="11"/>
    <col width="17.28515625" customWidth="1" style="91" min="12" max="12"/>
    <col width="29.5703125" customWidth="1" min="13" max="13"/>
    <col width="29" customWidth="1" min="14" max="14"/>
    <col width="17.85546875" customWidth="1" min="15" max="18"/>
    <col width="14.5703125" customWidth="1" min="19" max="19"/>
    <col width="16.7109375" customWidth="1" min="20" max="23"/>
    <col width="14.28515625" customWidth="1" min="24" max="24"/>
    <col width="11.7109375" customWidth="1" min="25" max="26"/>
    <col width="15.85546875" customWidth="1" min="27" max="27"/>
    <col width="16.7109375" customWidth="1" min="28" max="29"/>
    <col width="15.7109375" customWidth="1" style="42" min="30" max="34"/>
    <col width="14.7109375" customWidth="1" min="35" max="35"/>
    <col width="12.5703125" customWidth="1" min="36" max="36"/>
    <col width="16.7109375" bestFit="1" customWidth="1" min="37" max="37"/>
    <col width="15.42578125" customWidth="1" min="38" max="38"/>
    <col width="15" customWidth="1" style="316" min="39" max="39"/>
    <col width="20.42578125" bestFit="1" customWidth="1" min="40" max="42"/>
    <col width="20.28515625" bestFit="1" customWidth="1" min="43" max="43"/>
    <col width="22.28515625" bestFit="1" customWidth="1" style="316" min="44" max="44"/>
    <col width="19.85546875" customWidth="1" min="45" max="48"/>
    <col width="18.85546875" customWidth="1" min="49" max="52"/>
    <col width="18.85546875" customWidth="1" style="316" min="53" max="53"/>
    <col width="22.42578125" bestFit="1" customWidth="1" style="67" min="54" max="55"/>
    <col width="21.28515625" bestFit="1" customWidth="1" style="67" min="56" max="59"/>
    <col width="18" bestFit="1" customWidth="1" style="67" min="60" max="60"/>
    <col width="16.85546875" bestFit="1" customWidth="1" style="67" min="61" max="61"/>
    <col width="20.7109375" customWidth="1" style="42" min="62" max="68"/>
    <col width="27.42578125" bestFit="1" customWidth="1" style="42" min="69" max="69"/>
    <col width="27.28515625" customWidth="1" style="42" min="70" max="70"/>
    <col width="20.7109375" customWidth="1" style="42" min="71" max="72"/>
    <col width="27.42578125" bestFit="1" customWidth="1" style="42" min="73" max="73"/>
    <col width="20.7109375" customWidth="1" style="42" min="74" max="75"/>
    <col width="27.42578125" bestFit="1" customWidth="1" style="42" min="76" max="76"/>
    <col width="20.7109375" customWidth="1" style="42" min="77" max="91"/>
    <col width="26.5703125" bestFit="1" customWidth="1" style="42" min="92" max="92"/>
    <col width="20" bestFit="1" customWidth="1" style="76" min="93" max="93"/>
    <col width="16.85546875" customWidth="1" style="42" min="94" max="94"/>
    <col width="19.7109375" customWidth="1" style="42" min="95" max="95"/>
    <col width="15.5703125" customWidth="1" style="76" min="96" max="96"/>
    <col width="69.5703125" customWidth="1" style="67" min="97" max="97"/>
    <col width="18.42578125" bestFit="1" customWidth="1" min="98" max="98"/>
    <col width="21.140625" customWidth="1" min="99" max="99"/>
    <col width="18.85546875" customWidth="1" min="100" max="100"/>
    <col width="18.140625" bestFit="1" customWidth="1" min="101" max="101"/>
  </cols>
  <sheetData>
    <row r="1" ht="84" customHeight="1">
      <c r="A1" s="85" t="inlineStr">
        <is>
          <t>Grupo</t>
        </is>
      </c>
      <c r="B1" s="58" t="inlineStr">
        <is>
          <t>UC</t>
        </is>
      </c>
      <c r="C1" s="104" t="inlineStr">
        <is>
          <t>USINA</t>
        </is>
      </c>
      <c r="D1" s="58" t="inlineStr">
        <is>
          <t>ENDEREÇO</t>
        </is>
      </c>
      <c r="E1" s="62" t="inlineStr">
        <is>
          <t>USINA ATIVADA</t>
        </is>
      </c>
      <c r="F1" s="105" t="inlineStr">
        <is>
          <t>PROPOSTA GERAÇÃO   kWh</t>
        </is>
      </c>
      <c r="G1" s="105" t="inlineStr">
        <is>
          <t xml:space="preserve">PROPOSTA  TARIFA </t>
        </is>
      </c>
      <c r="H1" s="105" t="inlineStr">
        <is>
          <t>PROPOSTA GERAÇÃO  R$</t>
        </is>
      </c>
      <c r="I1" s="62" t="inlineStr">
        <is>
          <t xml:space="preserve">MONITORAMENTO </t>
        </is>
      </c>
      <c r="J1" s="58" t="inlineStr">
        <is>
          <t>INVERSORES</t>
        </is>
      </c>
      <c r="K1" s="58" t="inlineStr">
        <is>
          <t>MÓDULOS</t>
        </is>
      </c>
      <c r="L1" s="62" t="inlineStr">
        <is>
          <t>LIMPEZA USINA (DATA)</t>
        </is>
      </c>
      <c r="M1" s="106" t="inlineStr">
        <is>
          <t>MÊS DE REF. DA FATURA</t>
        </is>
      </c>
      <c r="N1" s="106" t="inlineStr">
        <is>
          <t>CICLO</t>
        </is>
      </c>
      <c r="O1" s="107" t="inlineStr">
        <is>
          <t>VALOR DA FATURA</t>
        </is>
      </c>
      <c r="P1" s="107" t="inlineStr">
        <is>
          <t>TROCA DE MODALIDADE</t>
        </is>
      </c>
      <c r="Q1" s="107" t="inlineStr">
        <is>
          <t>DEMANDA</t>
        </is>
      </c>
      <c r="R1" s="107" t="inlineStr">
        <is>
          <t>QUANTIDADE DE DEMANDA</t>
        </is>
      </c>
      <c r="S1" s="107" t="inlineStr">
        <is>
          <t>UFER</t>
        </is>
      </c>
      <c r="T1" s="107" t="inlineStr">
        <is>
          <t>MULTAS E JUROS</t>
        </is>
      </c>
      <c r="U1" s="58" t="inlineStr">
        <is>
          <t>ILUMINAÇÃO PÚBLICA</t>
        </is>
      </c>
      <c r="V1" s="58" t="inlineStr">
        <is>
          <t>MED. MEMÓRIA DE MASSA</t>
        </is>
      </c>
      <c r="W1" s="58" t="inlineStr">
        <is>
          <t>IMPOSTOS (ICMS SOBRE TUSD)</t>
        </is>
      </c>
      <c r="X1" s="58" t="inlineStr">
        <is>
          <t>AUDITORIA SIMER</t>
        </is>
      </c>
      <c r="Y1" s="58" t="inlineStr">
        <is>
          <t>MANUTENÇÃO</t>
        </is>
      </c>
      <c r="Z1" s="58" t="inlineStr">
        <is>
          <t>OUTROS</t>
        </is>
      </c>
      <c r="AA1" s="58" t="inlineStr">
        <is>
          <t>TARIFA DEMANDA</t>
        </is>
      </c>
      <c r="AB1" s="108" t="inlineStr">
        <is>
          <t>TARIFA P</t>
        </is>
      </c>
      <c r="AC1" s="108" t="inlineStr">
        <is>
          <t>TARIFA FP/HR</t>
        </is>
      </c>
      <c r="AD1" s="105" t="inlineStr">
        <is>
          <t>GERAÇÃO P (kWh)</t>
        </is>
      </c>
      <c r="AE1" s="105" t="inlineStr">
        <is>
          <t>GERACAO FP (kWh)</t>
        </is>
      </c>
      <c r="AF1" s="105" t="inlineStr">
        <is>
          <t>GERACAO HR (kWh)</t>
        </is>
      </c>
      <c r="AG1" s="105" t="inlineStr">
        <is>
          <t>GERACAO TOTAL  (kWh)</t>
        </is>
      </c>
      <c r="AH1" s="105" t="inlineStr">
        <is>
          <t>GERACAO TOTAL (R$)</t>
        </is>
      </c>
      <c r="AI1" s="109" t="inlineStr">
        <is>
          <t>SIMULTANEO PONTA</t>
        </is>
      </c>
      <c r="AJ1" s="109" t="inlineStr">
        <is>
          <t>SIMULTANEO FP</t>
        </is>
      </c>
      <c r="AK1" s="109" t="inlineStr">
        <is>
          <t>SIMULTANEO HR</t>
        </is>
      </c>
      <c r="AL1" s="109" t="inlineStr">
        <is>
          <t>SIMULTANEO TOTAL (kWh)</t>
        </is>
      </c>
      <c r="AM1" s="317" t="inlineStr">
        <is>
          <t>SIMULTANEO TOTAL (R$)</t>
        </is>
      </c>
      <c r="AN1" s="111" t="inlineStr">
        <is>
          <t xml:space="preserve"> C. REGISTRADO CONCESSIONARIA PONTA</t>
        </is>
      </c>
      <c r="AO1" s="111" t="inlineStr">
        <is>
          <t>C. REGISTRADO CONCESSIONARIA FP</t>
        </is>
      </c>
      <c r="AP1" s="111" t="inlineStr">
        <is>
          <t>C. REGISTRADO CONCESSIONARIA HR</t>
        </is>
      </c>
      <c r="AQ1" s="111" t="inlineStr">
        <is>
          <t>C. REGISTRADO CONCESSIONARIA TOTAL (kWh)</t>
        </is>
      </c>
      <c r="AR1" s="318" t="inlineStr">
        <is>
          <t>C. REGISTRADO CONCESSIONARIA TOTAL (R$)</t>
        </is>
      </c>
      <c r="AS1" s="113" t="inlineStr">
        <is>
          <t xml:space="preserve"> INJETADA CONCESSIONARIA  PONTA</t>
        </is>
      </c>
      <c r="AT1" s="113" t="inlineStr">
        <is>
          <t xml:space="preserve"> INJETADA CONCESSIONARIA  FP</t>
        </is>
      </c>
      <c r="AU1" s="113" t="inlineStr">
        <is>
          <t xml:space="preserve"> INJETADA CONCESSIONARIA  HR</t>
        </is>
      </c>
      <c r="AV1" s="113" t="inlineStr">
        <is>
          <t xml:space="preserve"> INJETADA CONCESSIONARIA  TOTAL</t>
        </is>
      </c>
      <c r="AW1" s="114" t="inlineStr">
        <is>
          <t>COMPENSADA CONCESSIONARIA PONTA</t>
        </is>
      </c>
      <c r="AX1" s="114" t="inlineStr">
        <is>
          <t>COMPENSADA CONCESSIONARIA FP</t>
        </is>
      </c>
      <c r="AY1" s="114" t="inlineStr">
        <is>
          <t>COMPENSADA CONCESSIONARIA HR</t>
        </is>
      </c>
      <c r="AZ1" s="114" t="inlineStr">
        <is>
          <t>COMPENSADA CONCESSIONARIA TOTAL (kWh)</t>
        </is>
      </c>
      <c r="BA1" s="319" t="inlineStr">
        <is>
          <t>COMPENSADA CONCESSIONARIA TOTAL (R$)</t>
        </is>
      </c>
      <c r="BB1" s="61" t="inlineStr">
        <is>
          <t>CONSUMO FATURADO CONCESSIONARIA PONTA (KWH)</t>
        </is>
      </c>
      <c r="BC1" s="61" t="inlineStr">
        <is>
          <t>VALOR FATURADO CONCESSIONARIA PONTA (R$)</t>
        </is>
      </c>
      <c r="BD1" s="61" t="inlineStr">
        <is>
          <t>CONSUMO FATURADO CONCESSIONARIA FP (KWH)</t>
        </is>
      </c>
      <c r="BE1" s="61" t="inlineStr">
        <is>
          <t>VALOR FATURADO CONCESSIONARIA FP (R$)</t>
        </is>
      </c>
      <c r="BF1" s="61" t="inlineStr">
        <is>
          <t>CONSUMO FATURADO CONCESSIONARIA HR (KWH)</t>
        </is>
      </c>
      <c r="BG1" s="61" t="inlineStr">
        <is>
          <t>VALOR FATURADO CONCESSIONARIA HR (R$)</t>
        </is>
      </c>
      <c r="BH1" s="61" t="inlineStr">
        <is>
          <t>CONSUMO TOTAL FATURADO  CONCESSIONARIA (kWh)</t>
        </is>
      </c>
      <c r="BI1" s="61" t="inlineStr">
        <is>
          <t>VALOR TOTAL FATURADO  CONCESSIONARIA (R$)</t>
        </is>
      </c>
      <c r="BJ1" s="116" t="inlineStr">
        <is>
          <t>ENERGIA UTILIZADA DA GERAÇÃO (kWh)</t>
        </is>
      </c>
      <c r="BK1" s="117" t="inlineStr">
        <is>
          <t>VALOR COMPENSADO DA GERAÇÃO NA UC</t>
        </is>
      </c>
      <c r="BL1" s="118" t="inlineStr">
        <is>
          <t>COMPENSADO + SIMULT DA GERAÇÃO UTILIZADA NA UC (kWh)</t>
        </is>
      </c>
      <c r="BM1" s="118" t="inlineStr">
        <is>
          <t>COMPENSADO DA GERAÇÃO UTILIZADA NA UC DE RATEIO 1 (kWh) (P)</t>
        </is>
      </c>
      <c r="BN1" s="118" t="inlineStr">
        <is>
          <t>COMPENSADO DA GERAÇÃO UTILIZADA NA UC DE RATEIO 1 (kWh) (FP/HR)</t>
        </is>
      </c>
      <c r="BO1" s="119" t="inlineStr">
        <is>
          <t>TARIFA DA COMPENSAÇÃO RATEIO 1  (P)</t>
        </is>
      </c>
      <c r="BP1" s="119" t="inlineStr">
        <is>
          <t>TARIFA DA COMPENSAÇÃO RATEIO 1  (FP/HR)</t>
        </is>
      </c>
      <c r="BQ1" s="117" t="inlineStr">
        <is>
          <t>VALOR COMPENSADO DA  GERAÇÃO UTILIZADO NA UC DE RATEIO 1 (P)</t>
        </is>
      </c>
      <c r="BR1" s="117" t="inlineStr">
        <is>
          <t>VALOR COMPENSADO DA  GERAÇÃO UTILIZADO NA UC DE RATEIO 1 (FP/HR)</t>
        </is>
      </c>
      <c r="BS1" s="118" t="inlineStr">
        <is>
          <t>COMPENSADO DA GERAÇÃO UTILIZADA NA UC DE RATEIO 2 (kWh)</t>
        </is>
      </c>
      <c r="BT1" s="119" t="inlineStr">
        <is>
          <t>TARIFA DA COMPENSAÇÃO RATEIO 2</t>
        </is>
      </c>
      <c r="BU1" s="117" t="inlineStr">
        <is>
          <t>VALOR COMPENSADO DA  GERAÇÃO UTILIZADO NA UC DE RATEIO 2</t>
        </is>
      </c>
      <c r="BV1" s="118" t="inlineStr">
        <is>
          <t>COMPENSADO DA GERAÇÃO UTILIZADA NA UC DE RATEIO 3 (kWh)</t>
        </is>
      </c>
      <c r="BW1" s="119" t="inlineStr">
        <is>
          <t>TARIFA DA COMPENSAÇÃO RATEIO 3</t>
        </is>
      </c>
      <c r="BX1" s="117" t="inlineStr">
        <is>
          <t>VALOR COMPENSADO DA  GERAÇÃO UTILIZADO NA UC DE RATEIO 3</t>
        </is>
      </c>
      <c r="BY1" s="118" t="inlineStr">
        <is>
          <t>COMPENSADO DA GERAÇÃO UTILIZADA NA UC DE RATEIO 4 (kWh)</t>
        </is>
      </c>
      <c r="BZ1" s="119" t="inlineStr">
        <is>
          <t>TARIFA DA COMPENSAÇÃO RATEIO 4</t>
        </is>
      </c>
      <c r="CA1" s="117" t="inlineStr">
        <is>
          <t>VALOR COMPENSADO DA  GERAÇÃO UTILIZADO NA UC DE RATEIO 4</t>
        </is>
      </c>
      <c r="CB1" s="118" t="inlineStr">
        <is>
          <t>COMPENSADO DA GERAÇÃO UTILIZADA NA UC DE RATEIO 5 (kWh)</t>
        </is>
      </c>
      <c r="CC1" s="119" t="inlineStr">
        <is>
          <t>TARIFA DA COMPENSAÇÃO RATEIO 5</t>
        </is>
      </c>
      <c r="CD1" s="117" t="inlineStr">
        <is>
          <t>VALOR COMPENSADO DA  GERAÇÃO UTILIZADO NA UC DE RATEIO 5</t>
        </is>
      </c>
      <c r="CE1" s="118" t="inlineStr">
        <is>
          <t>COMPENSADO DA GERAÇÃO UTILIZADA NA UC DE RATEIO 6 (kWh)</t>
        </is>
      </c>
      <c r="CF1" s="119" t="inlineStr">
        <is>
          <t>TARIFA DA COMPENSAÇÃO RATEIO 6</t>
        </is>
      </c>
      <c r="CG1" s="117" t="inlineStr">
        <is>
          <t>VALOR COMPENSADO DA  GERAÇÃO UTILIZADO NA UC DE RATEIO 6</t>
        </is>
      </c>
      <c r="CH1" s="118" t="inlineStr">
        <is>
          <t>COMPENSADO DA GERAÇÃO UTILIZADA NA UC DE RATEIO 7 (kWh)</t>
        </is>
      </c>
      <c r="CI1" s="119" t="inlineStr">
        <is>
          <t>TARIFA DA COMPENSAÇÃO RATEIO 7</t>
        </is>
      </c>
      <c r="CJ1" s="117" t="inlineStr">
        <is>
          <t>VALOR COMPENSADO DA  GERAÇÃO UTILIZADO NA UC DE RATEIO 7</t>
        </is>
      </c>
      <c r="CK1" s="118" t="inlineStr">
        <is>
          <t>COMPENSADO DA GERAÇÃO UTILIZADA NA UC DE RATEIO 8 (kWh)</t>
        </is>
      </c>
      <c r="CL1" s="119" t="inlineStr">
        <is>
          <t>TARIFA DA COMPENSAÇÃO RATEIO 8</t>
        </is>
      </c>
      <c r="CM1" s="117" t="inlineStr">
        <is>
          <t>VALOR COMPENSADO DA  GERAÇÃO UTILIZADO NA UC DE RATEIO 8</t>
        </is>
      </c>
      <c r="CN1" s="117" t="inlineStr">
        <is>
          <t>VALOR TOTAL COMPENSADO DA GERAÇÃO UTIZADO EM TODAS UCS</t>
        </is>
      </c>
      <c r="CO1" s="75" t="inlineStr">
        <is>
          <t>SALDO BANCO DE CRÉDITO (kWh)</t>
        </is>
      </c>
      <c r="CP1" s="105" t="inlineStr">
        <is>
          <t>VALOR DO BANCO DE CRÉDITO EM  R$</t>
        </is>
      </c>
      <c r="CQ1" s="105" t="inlineStr">
        <is>
          <t>CONSUMO TOTAL DA UNIDADE (kWh)</t>
        </is>
      </c>
      <c r="CR1" s="75" t="inlineStr">
        <is>
          <t>SALDO BANCO DE CRÉDITO MENSAL (kWh)</t>
        </is>
      </c>
      <c r="CS1" s="61" t="inlineStr">
        <is>
          <t>PARECER SIMER</t>
        </is>
      </c>
      <c r="CT1" s="92" t="inlineStr">
        <is>
          <t>VALOR PARCELADO ACUMULADO kWh</t>
        </is>
      </c>
      <c r="CU1" s="263" t="inlineStr">
        <is>
          <t>FATURA COM USINA TRF GRUPO A</t>
        </is>
      </c>
      <c r="CV1" s="263" t="inlineStr">
        <is>
          <t>VALOR DIFERENÇA DA TROCA DE MODALIDADE</t>
        </is>
      </c>
      <c r="CW1" s="263" t="inlineStr">
        <is>
          <t>Diferença de tarifa</t>
        </is>
      </c>
    </row>
    <row r="2" ht="19.9" customFormat="1" customHeight="1" s="68">
      <c r="A2" s="120" t="n"/>
      <c r="B2" s="65" t="n">
        <v>10031292940</v>
      </c>
      <c r="C2" s="120" t="inlineStr">
        <is>
          <t>Granja Vitta</t>
        </is>
      </c>
      <c r="D2" s="121" t="inlineStr">
        <is>
          <t>Ap de Goiânia</t>
        </is>
      </c>
      <c r="E2" s="121" t="inlineStr">
        <is>
          <t>Novembro/2022</t>
        </is>
      </c>
      <c r="F2" s="122" t="n">
        <v>17000</v>
      </c>
      <c r="G2" s="320" t="n">
        <v>0.46</v>
      </c>
      <c r="H2" s="124">
        <f>F2*G2</f>
        <v/>
      </c>
      <c r="I2" s="121" t="inlineStr">
        <is>
          <t>Agosto/2023</t>
        </is>
      </c>
      <c r="J2" s="125" t="inlineStr">
        <is>
          <t>1 Growatt de 110kW</t>
        </is>
      </c>
      <c r="K2" s="65" t="inlineStr">
        <is>
          <t>266 de 550W</t>
        </is>
      </c>
      <c r="L2" s="121" t="n"/>
      <c r="M2" s="126" t="inlineStr">
        <is>
          <t>Março/2023</t>
        </is>
      </c>
      <c r="N2" s="126" t="inlineStr">
        <is>
          <t>01/03/2023 a 01/04/2023</t>
        </is>
      </c>
      <c r="O2" s="321" t="n">
        <v>113.84</v>
      </c>
      <c r="P2" s="321">
        <f>(R2*AA2)+CV2</f>
        <v/>
      </c>
      <c r="Q2" s="321" t="n">
        <v>0</v>
      </c>
      <c r="R2" s="207" t="n">
        <v>90</v>
      </c>
      <c r="S2" s="321" t="n">
        <v>27.78</v>
      </c>
      <c r="T2" s="321" t="n">
        <v>0</v>
      </c>
      <c r="U2" s="321" t="n"/>
      <c r="V2" s="321" t="n"/>
      <c r="W2" s="321" t="n"/>
      <c r="X2" s="321" t="n"/>
      <c r="Y2" s="321" t="n"/>
      <c r="Z2" s="321" t="n"/>
      <c r="AA2" s="321" t="n">
        <v>29.42437860304338</v>
      </c>
      <c r="AB2" s="322" t="n">
        <v>2.45086</v>
      </c>
      <c r="AC2" s="322" t="n">
        <v>0.52863</v>
      </c>
      <c r="AD2" s="124" t="n">
        <v>0</v>
      </c>
      <c r="AE2" s="124" t="n">
        <v>14138.1</v>
      </c>
      <c r="AF2" s="124" t="n">
        <v>0</v>
      </c>
      <c r="AG2" s="124">
        <f>SUM(AD2:AF2)</f>
        <v/>
      </c>
      <c r="AH2" s="124">
        <f>(AD2*AB2)+((AE2+AF2)*AC2)</f>
        <v/>
      </c>
      <c r="AI2" s="124">
        <f>AD2-AS2</f>
        <v/>
      </c>
      <c r="AJ2" s="124">
        <f>AE2-AT2</f>
        <v/>
      </c>
      <c r="AK2" s="124">
        <f>AF2-AU2</f>
        <v/>
      </c>
      <c r="AL2" s="124">
        <f>SUM(AI2:AK2)</f>
        <v/>
      </c>
      <c r="AM2" s="323">
        <f>(AI2*AB2)+((AJ2+AK2)*AC2)</f>
        <v/>
      </c>
      <c r="AN2" s="124" t="n">
        <v>547.59</v>
      </c>
      <c r="AO2" s="124" t="n">
        <v>3607.8</v>
      </c>
      <c r="AP2" s="124" t="n">
        <v>1003.8</v>
      </c>
      <c r="AQ2" s="124">
        <f>SUM(AN2:AP2)</f>
        <v/>
      </c>
      <c r="AR2" s="321">
        <f>(AN2*AB2)+((AO2+AP2)*AC2)</f>
        <v/>
      </c>
      <c r="AS2" s="124" t="n">
        <v>0</v>
      </c>
      <c r="AT2" s="124" t="n">
        <v>4750.2</v>
      </c>
      <c r="AU2" s="124" t="n">
        <v>0</v>
      </c>
      <c r="AV2" s="124">
        <f>SUM(AS2:AU2)</f>
        <v/>
      </c>
      <c r="AW2" s="124" t="n">
        <v>547.59</v>
      </c>
      <c r="AX2" s="124" t="n">
        <v>3507.8</v>
      </c>
      <c r="AY2" s="124" t="n">
        <v>1003.8</v>
      </c>
      <c r="AZ2" s="124">
        <f>SUM(AW2:AY2)</f>
        <v/>
      </c>
      <c r="BA2" s="323">
        <f>(AW2*AB2)+((AX2+AY2)*AC2)</f>
        <v/>
      </c>
      <c r="BB2" s="122">
        <f>AN2-AW2</f>
        <v/>
      </c>
      <c r="BC2" s="122">
        <f>BB2*0.86064</f>
        <v/>
      </c>
      <c r="BD2" s="122">
        <f>AO2-AX2</f>
        <v/>
      </c>
      <c r="BE2" s="122">
        <f>BD2*0.86064</f>
        <v/>
      </c>
      <c r="BF2" s="122">
        <f>AP2-AY2</f>
        <v/>
      </c>
      <c r="BG2" s="122">
        <f>BF2*0.86064</f>
        <v/>
      </c>
      <c r="BH2" s="122">
        <f>BB2+BD2+BF2</f>
        <v/>
      </c>
      <c r="BI2" s="122">
        <f>BC2+BE2+BG2</f>
        <v/>
      </c>
      <c r="BJ2" s="324">
        <f>BL2+BS2+BV2+BY2+CB2+CE2+CH2+CK2</f>
        <v/>
      </c>
      <c r="BK2" s="323">
        <f>((AI2+AW2)*AB2)+((AJ2+AK2+AX2+AY2)*AC2)</f>
        <v/>
      </c>
      <c r="BL2" s="132">
        <f>BM2+BN2+AL2</f>
        <v/>
      </c>
      <c r="BM2" s="133">
        <f>AW2</f>
        <v/>
      </c>
      <c r="BN2" s="133">
        <f>AX2+AY2</f>
        <v/>
      </c>
      <c r="BO2" s="320" t="n"/>
      <c r="BP2" s="320" t="n"/>
      <c r="BQ2" s="320" t="n">
        <v>0</v>
      </c>
      <c r="BR2" s="320" t="n"/>
      <c r="BS2" s="124" t="n">
        <v>0</v>
      </c>
      <c r="BT2" s="320" t="n"/>
      <c r="BU2" s="320" t="n">
        <v>0</v>
      </c>
      <c r="BV2" s="124" t="n">
        <v>0</v>
      </c>
      <c r="BW2" s="320" t="n"/>
      <c r="BX2" s="320" t="n">
        <v>0</v>
      </c>
      <c r="BY2" s="124" t="n"/>
      <c r="BZ2" s="320" t="n"/>
      <c r="CA2" s="124" t="n"/>
      <c r="CB2" s="124" t="n"/>
      <c r="CC2" s="320" t="n"/>
      <c r="CD2" s="124" t="n"/>
      <c r="CE2" s="124" t="n"/>
      <c r="CF2" s="320" t="n"/>
      <c r="CG2" s="124" t="n"/>
      <c r="CH2" s="124" t="n"/>
      <c r="CI2" s="320" t="n"/>
      <c r="CJ2" s="124" t="n"/>
      <c r="CK2" s="124" t="n"/>
      <c r="CL2" s="320" t="n"/>
      <c r="CM2" s="124" t="n"/>
      <c r="CN2" s="320">
        <f>BK2+BU2+BX2+CA2+CD2+CG2+CJ2+CM2</f>
        <v/>
      </c>
      <c r="CO2" s="134">
        <f>AV2-(AZ2+BS2+BV2+BY2)+3622.87</f>
        <v/>
      </c>
      <c r="CP2" s="320">
        <f>CR2*G2</f>
        <v/>
      </c>
      <c r="CQ2" s="124">
        <f>AL2+AZ2+AQ2</f>
        <v/>
      </c>
      <c r="CR2" s="134" t="n">
        <v>-308.99</v>
      </c>
      <c r="CS2" s="135" t="n"/>
      <c r="CT2" s="135" t="n"/>
      <c r="CU2" s="177">
        <f>(BB2* AB2)+(BD2* AC2)+(BF2* AC2)+(S2+T2+U2+V2+W2+X2+Y2+Z2)</f>
        <v/>
      </c>
      <c r="CV2" s="177">
        <f>CU2-O2</f>
        <v/>
      </c>
      <c r="CW2" s="325" t="n"/>
    </row>
    <row r="3" ht="19.9" customFormat="1" customHeight="1" s="239">
      <c r="A3" s="233" t="n"/>
      <c r="B3" s="66" t="n">
        <v>10031292940</v>
      </c>
      <c r="C3" s="233" t="inlineStr">
        <is>
          <t>Granja Vitta</t>
        </is>
      </c>
      <c r="D3" s="140" t="inlineStr">
        <is>
          <t>Ap de Goiânia</t>
        </is>
      </c>
      <c r="E3" s="140" t="inlineStr">
        <is>
          <t>Novembro/2022</t>
        </is>
      </c>
      <c r="F3" s="141" t="n">
        <v>17000</v>
      </c>
      <c r="G3" s="326" t="n">
        <v>0.46</v>
      </c>
      <c r="H3" s="173">
        <f>F3*G3</f>
        <v/>
      </c>
      <c r="I3" s="140" t="inlineStr">
        <is>
          <t>Agosto/2023</t>
        </is>
      </c>
      <c r="J3" s="144" t="inlineStr">
        <is>
          <t>1 Growatt de 110kW</t>
        </is>
      </c>
      <c r="K3" s="66" t="inlineStr">
        <is>
          <t>266 de 550W</t>
        </is>
      </c>
      <c r="L3" s="140" t="n"/>
      <c r="M3" s="234" t="inlineStr">
        <is>
          <t>Abril/2023</t>
        </is>
      </c>
      <c r="N3" s="234" t="inlineStr">
        <is>
          <t>01/04/2023 a 01/05/2023</t>
        </is>
      </c>
      <c r="O3" s="327" t="n">
        <v>313.47</v>
      </c>
      <c r="P3" s="327">
        <f>(R3*AA3)+CV3</f>
        <v/>
      </c>
      <c r="Q3" s="327" t="n">
        <v>0</v>
      </c>
      <c r="R3" s="235" t="n">
        <v>90</v>
      </c>
      <c r="S3" s="327">
        <f>226.24+0.83</f>
        <v/>
      </c>
      <c r="T3" s="327" t="n">
        <v>0</v>
      </c>
      <c r="U3" s="327" t="n"/>
      <c r="V3" s="327" t="n"/>
      <c r="W3" s="327" t="n"/>
      <c r="X3" s="327" t="n"/>
      <c r="Y3" s="327" t="n"/>
      <c r="Z3" s="327" t="n"/>
      <c r="AA3" s="327" t="n">
        <v>29.540141762548</v>
      </c>
      <c r="AB3" s="328" t="n">
        <v>2.460523</v>
      </c>
      <c r="AC3" s="328" t="n">
        <v>0.53073</v>
      </c>
      <c r="AD3" s="173" t="n">
        <v>0</v>
      </c>
      <c r="AE3" s="173" t="n">
        <v>13035.4</v>
      </c>
      <c r="AF3" s="173" t="n">
        <v>0</v>
      </c>
      <c r="AG3" s="173">
        <f>SUM(AD3:AF3)</f>
        <v/>
      </c>
      <c r="AH3" s="173">
        <f>(AD3*AB3)+((AE3+AF3)*AC3)</f>
        <v/>
      </c>
      <c r="AI3" s="173">
        <f>AD3-AS3</f>
        <v/>
      </c>
      <c r="AJ3" s="173">
        <f>AE3-AT3</f>
        <v/>
      </c>
      <c r="AK3" s="173">
        <f>AF3-AU3</f>
        <v/>
      </c>
      <c r="AL3" s="173">
        <f>SUM(AI3:AK3)</f>
        <v/>
      </c>
      <c r="AM3" s="329">
        <f>(AI3*AB3)+((AJ3+AK3)*AC3)</f>
        <v/>
      </c>
      <c r="AN3" s="173" t="n">
        <v>414.07</v>
      </c>
      <c r="AO3" s="173" t="n">
        <v>3565.8</v>
      </c>
      <c r="AP3" s="173" t="n">
        <v>949.2</v>
      </c>
      <c r="AQ3" s="173">
        <f>SUM(AN3:AP3)</f>
        <v/>
      </c>
      <c r="AR3" s="327">
        <f>(AN3*AB3)+((AO3+AP3)*AC3)</f>
        <v/>
      </c>
      <c r="AS3" s="173" t="n">
        <v>0</v>
      </c>
      <c r="AT3" s="173" t="n">
        <v>3771.6</v>
      </c>
      <c r="AU3" s="173" t="n">
        <v>0</v>
      </c>
      <c r="AV3" s="173">
        <f>SUM(AS3:AU3)</f>
        <v/>
      </c>
      <c r="AW3" s="173" t="n">
        <v>414.07</v>
      </c>
      <c r="AX3" s="173" t="n">
        <v>3465.8</v>
      </c>
      <c r="AY3" s="173" t="n">
        <v>949.2</v>
      </c>
      <c r="AZ3" s="173">
        <f>SUM(AW3:AY3)</f>
        <v/>
      </c>
      <c r="BA3" s="329">
        <f>(AW3*AB3)+((AX3+AY3)*AC3)</f>
        <v/>
      </c>
      <c r="BB3" s="141">
        <f>AN3-AW3</f>
        <v/>
      </c>
      <c r="BC3" s="141">
        <f>BB3* 0.864042</f>
        <v/>
      </c>
      <c r="BD3" s="141">
        <f>AO3-AX3</f>
        <v/>
      </c>
      <c r="BE3" s="141">
        <f>BD3* 0.864042</f>
        <v/>
      </c>
      <c r="BF3" s="141">
        <f>AP3-AY3</f>
        <v/>
      </c>
      <c r="BG3" s="141">
        <f>BF3* 0.864042</f>
        <v/>
      </c>
      <c r="BH3" s="141">
        <f>BB3+BD3+BF3</f>
        <v/>
      </c>
      <c r="BI3" s="141">
        <f>BC3+BE3+BG3</f>
        <v/>
      </c>
      <c r="BJ3" s="324">
        <f>BL3+BS3+BV3+BY3+CB3+CE3+CH3+CK3</f>
        <v/>
      </c>
      <c r="BK3" s="329">
        <f>((AI3+AW3)*AB3)+((AJ3+AK3+AX3+AY3)*AC3)</f>
        <v/>
      </c>
      <c r="BL3" s="132">
        <f>BM3+BN3+AL3</f>
        <v/>
      </c>
      <c r="BM3" s="173">
        <f>AW3</f>
        <v/>
      </c>
      <c r="BN3" s="173">
        <f>AX3+AY3</f>
        <v/>
      </c>
      <c r="BO3" s="326" t="n"/>
      <c r="BP3" s="326" t="n"/>
      <c r="BQ3" s="326" t="n">
        <v>0</v>
      </c>
      <c r="BR3" s="326" t="n"/>
      <c r="BS3" s="173" t="n">
        <v>0</v>
      </c>
      <c r="BT3" s="326" t="n"/>
      <c r="BU3" s="326" t="n">
        <v>0</v>
      </c>
      <c r="BV3" s="173" t="n">
        <v>0</v>
      </c>
      <c r="BW3" s="326" t="n"/>
      <c r="BX3" s="326" t="n">
        <v>0</v>
      </c>
      <c r="BY3" s="173" t="n"/>
      <c r="BZ3" s="326" t="n"/>
      <c r="CA3" s="173" t="n"/>
      <c r="CB3" s="173" t="n"/>
      <c r="CC3" s="326" t="n"/>
      <c r="CD3" s="173" t="n"/>
      <c r="CE3" s="173" t="n"/>
      <c r="CF3" s="326" t="n"/>
      <c r="CG3" s="173" t="n"/>
      <c r="CH3" s="173" t="n"/>
      <c r="CI3" s="326" t="n"/>
      <c r="CJ3" s="173" t="n"/>
      <c r="CK3" s="173" t="n"/>
      <c r="CL3" s="326" t="n"/>
      <c r="CM3" s="173" t="n"/>
      <c r="CN3" s="326">
        <f>BK3+BU3+BX3+CA3+CD3+CG3+CJ3+CM3</f>
        <v/>
      </c>
      <c r="CO3" s="154">
        <f>(AV3-(AZ3+BV3+BY3+CB3+CE3+CH3+CK3+BS3)+CO2)</f>
        <v/>
      </c>
      <c r="CP3" s="326">
        <f>CR3*G3</f>
        <v/>
      </c>
      <c r="CQ3" s="173">
        <f>AL3+AZ3+AQ3</f>
        <v/>
      </c>
      <c r="CR3" s="154" t="n">
        <v>-1057.47</v>
      </c>
      <c r="CS3" s="236" t="n"/>
      <c r="CT3" s="236" t="n"/>
      <c r="CU3" s="237">
        <f>(BB3* AB3)+(BD3* AC3)+(BF3* AC3)+(S3+T3+U3+V3+W3+X3+Y3+Z3)</f>
        <v/>
      </c>
      <c r="CV3" s="237">
        <f>CU3-O3</f>
        <v/>
      </c>
      <c r="CW3" s="330" t="n"/>
    </row>
    <row r="4" ht="19.9" customFormat="1" customHeight="1" s="68">
      <c r="A4" s="120" t="n"/>
      <c r="B4" s="65" t="n">
        <v>10031292940</v>
      </c>
      <c r="C4" s="120" t="inlineStr">
        <is>
          <t>Granja Vitta</t>
        </is>
      </c>
      <c r="D4" s="121" t="inlineStr">
        <is>
          <t>Ap de Goiânia</t>
        </is>
      </c>
      <c r="E4" s="121" t="inlineStr">
        <is>
          <t>Novembro/2022</t>
        </is>
      </c>
      <c r="F4" s="122" t="n">
        <v>17000</v>
      </c>
      <c r="G4" s="320" t="n">
        <v>0.46</v>
      </c>
      <c r="H4" s="124">
        <f>F4*G4</f>
        <v/>
      </c>
      <c r="I4" s="121" t="inlineStr">
        <is>
          <t>Agosto/2023</t>
        </is>
      </c>
      <c r="J4" s="125" t="inlineStr">
        <is>
          <t>1 Growatt de 110kW</t>
        </is>
      </c>
      <c r="K4" s="65" t="inlineStr">
        <is>
          <t>266 de 550W</t>
        </is>
      </c>
      <c r="L4" s="121" t="n"/>
      <c r="M4" s="126" t="inlineStr">
        <is>
          <t>Maio/2023</t>
        </is>
      </c>
      <c r="N4" s="126" t="inlineStr">
        <is>
          <t>01/05/2023 a 01/06/2023</t>
        </is>
      </c>
      <c r="O4" s="321" t="n">
        <v>128.29</v>
      </c>
      <c r="P4" s="321">
        <f>(R4*AA4)+CV4</f>
        <v/>
      </c>
      <c r="Q4" s="321" t="n">
        <v>0</v>
      </c>
      <c r="R4" s="207" t="n">
        <v>90</v>
      </c>
      <c r="S4" s="321" t="n">
        <v>45.84</v>
      </c>
      <c r="T4" s="321" t="n">
        <v>0</v>
      </c>
      <c r="U4" s="321" t="n"/>
      <c r="V4" s="321" t="n"/>
      <c r="W4" s="321" t="n"/>
      <c r="X4" s="321" t="n"/>
      <c r="Y4" s="321" t="n"/>
      <c r="Z4" s="321" t="n"/>
      <c r="AA4" s="321" t="n">
        <v>28.1911860367458</v>
      </c>
      <c r="AB4" s="322" t="n">
        <v>2.348162</v>
      </c>
      <c r="AC4" s="322" t="n">
        <v>0.506494</v>
      </c>
      <c r="AD4" s="124" t="n">
        <v>0</v>
      </c>
      <c r="AE4" s="124" t="n">
        <v>12640.5</v>
      </c>
      <c r="AF4" s="124" t="n">
        <v>0</v>
      </c>
      <c r="AG4" s="124">
        <f>SUM(AD4:AF4)</f>
        <v/>
      </c>
      <c r="AH4" s="124">
        <f>(AD4*AB4)+((AE4+AF4)*AC4)</f>
        <v/>
      </c>
      <c r="AI4" s="124">
        <f>AD4-AS4</f>
        <v/>
      </c>
      <c r="AJ4" s="124">
        <f>AE4-AT4</f>
        <v/>
      </c>
      <c r="AK4" s="124">
        <f>AF4-AU4</f>
        <v/>
      </c>
      <c r="AL4" s="124">
        <f>SUM(AI4:AK4)</f>
        <v/>
      </c>
      <c r="AM4" s="323">
        <f>(AI4*AB4)+((AJ4+AK4)*AC4)</f>
        <v/>
      </c>
      <c r="AN4" s="124" t="n">
        <v>589</v>
      </c>
      <c r="AO4" s="124" t="n">
        <v>3431.4</v>
      </c>
      <c r="AP4" s="124" t="n">
        <v>1146.6</v>
      </c>
      <c r="AQ4" s="124">
        <f>SUM(AN4:AP4)</f>
        <v/>
      </c>
      <c r="AR4" s="321">
        <f>(AN4*AB4)+((AO4+AP4)*AC4)</f>
        <v/>
      </c>
      <c r="AS4" s="124" t="n">
        <v>0</v>
      </c>
      <c r="AT4" s="124" t="n">
        <v>3124.8</v>
      </c>
      <c r="AU4" s="124" t="n">
        <v>0</v>
      </c>
      <c r="AV4" s="124">
        <f>SUM(AS4:AU4)</f>
        <v/>
      </c>
      <c r="AW4" s="124" t="n">
        <v>589</v>
      </c>
      <c r="AX4" s="124" t="n">
        <v>3331.4</v>
      </c>
      <c r="AY4" s="124" t="n">
        <v>1146.6</v>
      </c>
      <c r="AZ4" s="124">
        <f>SUM(AW4:AY4)</f>
        <v/>
      </c>
      <c r="BA4" s="323">
        <f>(AW4*AB4)+((AX4+AY4)*AC4)</f>
        <v/>
      </c>
      <c r="BB4" s="122">
        <f>AN4-AW4</f>
        <v/>
      </c>
      <c r="BC4" s="122">
        <f>BB4*0.824586</f>
        <v/>
      </c>
      <c r="BD4" s="122">
        <f>AO4-AX4</f>
        <v/>
      </c>
      <c r="BE4" s="122">
        <f>BD4*0.824586</f>
        <v/>
      </c>
      <c r="BF4" s="122">
        <f>AP4-AY4</f>
        <v/>
      </c>
      <c r="BG4" s="122">
        <f>BF4*0.824586</f>
        <v/>
      </c>
      <c r="BH4" s="122">
        <f>BB4+BD4+BF4</f>
        <v/>
      </c>
      <c r="BI4" s="122">
        <f>BC4+BE4+BG4</f>
        <v/>
      </c>
      <c r="BJ4" s="324">
        <f>BL4+BS4+BV4+BY4+CB4+CE4+CH4+CK4</f>
        <v/>
      </c>
      <c r="BK4" s="323">
        <f>((AI4+AW4)*AB4)+((AJ4+AK4+AX4+AY4)*AC4)</f>
        <v/>
      </c>
      <c r="BL4" s="132">
        <f>BM4+BN4+AL4</f>
        <v/>
      </c>
      <c r="BM4" s="133">
        <f>AW4</f>
        <v/>
      </c>
      <c r="BN4" s="133">
        <f>AX4+AY4</f>
        <v/>
      </c>
      <c r="BO4" s="320" t="n"/>
      <c r="BP4" s="320" t="n"/>
      <c r="BQ4" s="320" t="n">
        <v>0</v>
      </c>
      <c r="BR4" s="320" t="n"/>
      <c r="BS4" s="124" t="n">
        <v>0</v>
      </c>
      <c r="BT4" s="320" t="n"/>
      <c r="BU4" s="320" t="n">
        <v>0</v>
      </c>
      <c r="BV4" s="124" t="n">
        <v>0</v>
      </c>
      <c r="BW4" s="320" t="n"/>
      <c r="BX4" s="320" t="n">
        <v>0</v>
      </c>
      <c r="BY4" s="124" t="n"/>
      <c r="BZ4" s="320" t="n"/>
      <c r="CA4" s="124" t="n"/>
      <c r="CB4" s="124" t="n"/>
      <c r="CC4" s="320" t="n"/>
      <c r="CD4" s="124" t="n"/>
      <c r="CE4" s="124" t="n"/>
      <c r="CF4" s="320" t="n"/>
      <c r="CG4" s="124" t="n"/>
      <c r="CH4" s="124" t="n"/>
      <c r="CI4" s="320" t="n"/>
      <c r="CJ4" s="124" t="n"/>
      <c r="CK4" s="124" t="n"/>
      <c r="CL4" s="320" t="n"/>
      <c r="CM4" s="124" t="n"/>
      <c r="CN4" s="320">
        <f>BK4+BU4+BX4+CA4+CD4+CG4+CJ4+CM4</f>
        <v/>
      </c>
      <c r="CO4" s="138">
        <f>(AV4-(AZ4+BV4+BY4+CB4+CE4+CH4+CK4+BS4)+CO3)</f>
        <v/>
      </c>
      <c r="CP4" s="320">
        <f>CR4*G4</f>
        <v/>
      </c>
      <c r="CQ4" s="124">
        <f>AL4+AZ4+AQ4</f>
        <v/>
      </c>
      <c r="CR4" s="138" t="n">
        <v>-1942.2</v>
      </c>
      <c r="CS4" s="135" t="n"/>
      <c r="CT4" s="135" t="n"/>
      <c r="CU4" s="177">
        <f>(BB4* AB4)+(BD4* AC4)+(BF4* AC4)+(S4+T4+U4+V4+W4+X4+Y4+Z4)</f>
        <v/>
      </c>
      <c r="CV4" s="177">
        <f>CU4-O4</f>
        <v/>
      </c>
      <c r="CW4" s="325" t="n"/>
    </row>
    <row r="5" ht="19.9" customFormat="1" customHeight="1" s="68">
      <c r="A5" s="233" t="n"/>
      <c r="B5" s="66" t="n">
        <v>10031292940</v>
      </c>
      <c r="C5" s="233" t="inlineStr">
        <is>
          <t>Granja Vitta</t>
        </is>
      </c>
      <c r="D5" s="140" t="inlineStr">
        <is>
          <t>Ap de Goiânia</t>
        </is>
      </c>
      <c r="E5" s="140" t="inlineStr">
        <is>
          <t>Novembro/2022</t>
        </is>
      </c>
      <c r="F5" s="141" t="n">
        <v>17000</v>
      </c>
      <c r="G5" s="326" t="n">
        <v>0.46</v>
      </c>
      <c r="H5" s="173">
        <f>F5*G5</f>
        <v/>
      </c>
      <c r="I5" s="140" t="inlineStr">
        <is>
          <t>Agosto/2023</t>
        </is>
      </c>
      <c r="J5" s="144" t="inlineStr">
        <is>
          <t>1 Growatt de 110kW</t>
        </is>
      </c>
      <c r="K5" s="66" t="inlineStr">
        <is>
          <t>266 de 550W</t>
        </is>
      </c>
      <c r="L5" s="140" t="n"/>
      <c r="M5" s="234" t="inlineStr">
        <is>
          <t>Junho/2023</t>
        </is>
      </c>
      <c r="N5" s="145" t="inlineStr">
        <is>
          <t>01/06/2023 a 01/07/2023</t>
        </is>
      </c>
      <c r="O5" s="331" t="n">
        <v>2052.7</v>
      </c>
      <c r="P5" s="331">
        <f>(R5*AA5)+CV5</f>
        <v/>
      </c>
      <c r="Q5" s="331" t="n">
        <v>0</v>
      </c>
      <c r="R5" s="147" t="n">
        <v>90</v>
      </c>
      <c r="S5" s="331" t="n">
        <v>0</v>
      </c>
      <c r="T5" s="331" t="n">
        <v>0</v>
      </c>
      <c r="U5" s="331" t="n"/>
      <c r="V5" s="331" t="n"/>
      <c r="W5" s="331" t="n"/>
      <c r="X5" s="331" t="n"/>
      <c r="Y5" s="331" t="n"/>
      <c r="Z5" s="331" t="n"/>
      <c r="AA5" s="331" t="n">
        <v>28.55060323728246</v>
      </c>
      <c r="AB5" s="332" t="n">
        <v>2.378099</v>
      </c>
      <c r="AC5" s="332" t="n">
        <v>0.512951</v>
      </c>
      <c r="AD5" s="143" t="n">
        <v>0</v>
      </c>
      <c r="AE5" s="143" t="n">
        <v>8693.4</v>
      </c>
      <c r="AF5" s="143" t="n">
        <v>0</v>
      </c>
      <c r="AG5" s="143">
        <f>SUM(AD5:AF5)</f>
        <v/>
      </c>
      <c r="AH5" s="143">
        <f>(AD5*AB5)+((AE5+AF5)*AC5)</f>
        <v/>
      </c>
      <c r="AI5" s="143">
        <f>AD5-AS5</f>
        <v/>
      </c>
      <c r="AJ5" s="143">
        <f>AE5-AT5</f>
        <v/>
      </c>
      <c r="AK5" s="143">
        <f>AF5-AU5</f>
        <v/>
      </c>
      <c r="AL5" s="143">
        <f>SUM(AI5:AK5)</f>
        <v/>
      </c>
      <c r="AM5" s="329">
        <f>(AI5*AB5)+((AJ5+AK5)*AC5)</f>
        <v/>
      </c>
      <c r="AN5" s="143" t="n">
        <v>529.45</v>
      </c>
      <c r="AO5" s="143" t="n">
        <v>3540.6</v>
      </c>
      <c r="AP5" s="143" t="n">
        <v>1171.8</v>
      </c>
      <c r="AQ5" s="143">
        <f>SUM(AN5:AP5)</f>
        <v/>
      </c>
      <c r="AR5" s="331">
        <f>(AN5*AB5)+((AO5+AP5)*AC5)</f>
        <v/>
      </c>
      <c r="AS5" s="143" t="n">
        <v>0</v>
      </c>
      <c r="AT5" s="143" t="n">
        <v>2469.6</v>
      </c>
      <c r="AU5" s="143" t="n">
        <v>0</v>
      </c>
      <c r="AV5" s="143">
        <f>SUM(AS5:AU5)</f>
        <v/>
      </c>
      <c r="AW5" s="143" t="n">
        <v>0</v>
      </c>
      <c r="AX5" s="143" t="n">
        <v>2783.81</v>
      </c>
      <c r="AY5" s="143" t="n">
        <v>0</v>
      </c>
      <c r="AZ5" s="143">
        <f>SUM(AW5:AY5)</f>
        <v/>
      </c>
      <c r="BA5" s="333">
        <f>(AW5*AB5)+((AX5+AY5)*AC5)</f>
        <v/>
      </c>
      <c r="BB5" s="141">
        <f>AN5-AW5</f>
        <v/>
      </c>
      <c r="BC5" s="141">
        <f>BB5* 0.835099</f>
        <v/>
      </c>
      <c r="BD5" s="141">
        <f>AO5-AX5</f>
        <v/>
      </c>
      <c r="BE5" s="141">
        <f>BD5* 0.835099</f>
        <v/>
      </c>
      <c r="BF5" s="141">
        <f>AP5-AY5</f>
        <v/>
      </c>
      <c r="BG5" s="141">
        <f>BF5* 0.835099</f>
        <v/>
      </c>
      <c r="BH5" s="141">
        <f>BB5+BD5+BF5</f>
        <v/>
      </c>
      <c r="BI5" s="141">
        <f>BC5+BE5+BG5</f>
        <v/>
      </c>
      <c r="BJ5" s="324">
        <f>BL5+BS5+BV5+BY5+CB5+CE5+CH5+CK5</f>
        <v/>
      </c>
      <c r="BK5" s="333">
        <f>((AI5+AW5)*AB5)+((AJ5+AK5+AX5+AY5)*AC5)</f>
        <v/>
      </c>
      <c r="BL5" s="132">
        <f>BM5+BN5+AL5</f>
        <v/>
      </c>
      <c r="BM5" s="133">
        <f>AW5</f>
        <v/>
      </c>
      <c r="BN5" s="133">
        <f>AX5+AY5</f>
        <v/>
      </c>
      <c r="BO5" s="334" t="n"/>
      <c r="BP5" s="334" t="n"/>
      <c r="BQ5" s="334" t="n">
        <v>0</v>
      </c>
      <c r="BR5" s="334" t="n"/>
      <c r="BS5" s="143" t="n">
        <v>0</v>
      </c>
      <c r="BT5" s="334" t="n"/>
      <c r="BU5" s="326" t="n">
        <v>0</v>
      </c>
      <c r="BV5" s="173" t="n">
        <v>0</v>
      </c>
      <c r="BW5" s="326" t="n"/>
      <c r="BX5" s="326" t="n">
        <v>0</v>
      </c>
      <c r="BY5" s="173" t="n"/>
      <c r="BZ5" s="326" t="n"/>
      <c r="CA5" s="173" t="n"/>
      <c r="CB5" s="173" t="n"/>
      <c r="CC5" s="326" t="n"/>
      <c r="CD5" s="143" t="n"/>
      <c r="CE5" s="143" t="n"/>
      <c r="CF5" s="334" t="n"/>
      <c r="CG5" s="143" t="n"/>
      <c r="CH5" s="143" t="n"/>
      <c r="CI5" s="334" t="n"/>
      <c r="CJ5" s="143" t="n"/>
      <c r="CK5" s="143" t="n"/>
      <c r="CL5" s="334" t="n"/>
      <c r="CM5" s="143" t="n"/>
      <c r="CN5" s="320">
        <f>BK5+BU5+BX5+CA5+CD5+CG5+CJ5+CM5</f>
        <v/>
      </c>
      <c r="CO5" s="138">
        <f>(AV5-(AZ5+BV5+BY5+CB5+CE5+CH5+CK5+BS5)+CO4)</f>
        <v/>
      </c>
      <c r="CP5" s="320">
        <f>CR5*G5</f>
        <v/>
      </c>
      <c r="CQ5" s="124">
        <f>AL5+AZ5+AQ5</f>
        <v/>
      </c>
      <c r="CR5" s="138" t="n">
        <v>-314.21</v>
      </c>
      <c r="CS5" s="135" t="n"/>
      <c r="CT5" s="135" t="n"/>
      <c r="CU5" s="177">
        <f>(BB5* AB5)+(BD5* AC5)+(BF5* AC5)+(S5+T5+U5+V5+W5+X5+Y5+Z5)</f>
        <v/>
      </c>
      <c r="CV5" s="177">
        <f>CU5-O5</f>
        <v/>
      </c>
      <c r="CW5" s="325" t="n"/>
    </row>
    <row r="6" ht="19.9" customFormat="1" customHeight="1" s="68">
      <c r="A6" s="120" t="n"/>
      <c r="B6" s="65" t="n">
        <v>10031292940</v>
      </c>
      <c r="C6" s="120" t="inlineStr">
        <is>
          <t>Granja Vitta</t>
        </is>
      </c>
      <c r="D6" s="121" t="inlineStr">
        <is>
          <t>Ap de Goiânia</t>
        </is>
      </c>
      <c r="E6" s="121" t="inlineStr">
        <is>
          <t>Novembro/2022</t>
        </is>
      </c>
      <c r="F6" s="122" t="n">
        <v>17000</v>
      </c>
      <c r="G6" s="320" t="n">
        <v>0.46</v>
      </c>
      <c r="H6" s="124">
        <f>F6*G6</f>
        <v/>
      </c>
      <c r="I6" s="121" t="inlineStr">
        <is>
          <t>Agosto/2023</t>
        </is>
      </c>
      <c r="J6" s="125" t="inlineStr">
        <is>
          <t>1 Growatt de 110kW</t>
        </is>
      </c>
      <c r="K6" s="65" t="inlineStr">
        <is>
          <t>266 de 550W</t>
        </is>
      </c>
      <c r="L6" s="121" t="n"/>
      <c r="M6" s="126" t="inlineStr">
        <is>
          <t>Julho/2023</t>
        </is>
      </c>
      <c r="N6" s="126" t="inlineStr">
        <is>
          <t>01/07/2023 a 01/08/2023</t>
        </is>
      </c>
      <c r="O6" s="321" t="n">
        <v>3353.88</v>
      </c>
      <c r="P6" s="321">
        <f>(R6*AA6)+CV6</f>
        <v/>
      </c>
      <c r="Q6" s="321" t="n">
        <v>0</v>
      </c>
      <c r="R6" s="207" t="n">
        <v>90</v>
      </c>
      <c r="S6" s="321" t="n">
        <v>4.54</v>
      </c>
      <c r="T6" s="321">
        <f>0.68+41.05</f>
        <v/>
      </c>
      <c r="U6" s="321" t="n"/>
      <c r="V6" s="321" t="n"/>
      <c r="W6" s="321" t="n"/>
      <c r="X6" s="321" t="n"/>
      <c r="Y6" s="321" t="n"/>
      <c r="Z6" s="321" t="n"/>
      <c r="AA6" s="321" t="n">
        <v>28.87935573606762</v>
      </c>
      <c r="AB6" s="322" t="n">
        <v>2.405483</v>
      </c>
      <c r="AC6" s="322" t="n">
        <v>0.518858</v>
      </c>
      <c r="AD6" s="124" t="n">
        <v>0</v>
      </c>
      <c r="AE6" s="124" t="n">
        <v>8138.7</v>
      </c>
      <c r="AF6" s="124" t="n">
        <v>0</v>
      </c>
      <c r="AG6" s="124">
        <f>SUM(AD6:AF6)</f>
        <v/>
      </c>
      <c r="AH6" s="124">
        <f>(AD6*AB6)+((AE6+AF6)*AC6)</f>
        <v/>
      </c>
      <c r="AI6" s="124">
        <f>AD6-AS6</f>
        <v/>
      </c>
      <c r="AJ6" s="124">
        <f>AE6-AT6</f>
        <v/>
      </c>
      <c r="AK6" s="124">
        <f>AF6-AU6</f>
        <v/>
      </c>
      <c r="AL6" s="124">
        <f>SUM(AI6:AK6)</f>
        <v/>
      </c>
      <c r="AM6" s="323">
        <f>(AI6*AB6)+((AJ6+AK6)*AC6)</f>
        <v/>
      </c>
      <c r="AN6" s="124" t="n">
        <v>442.26</v>
      </c>
      <c r="AO6" s="124" t="n">
        <v>4250.4</v>
      </c>
      <c r="AP6" s="124" t="n">
        <v>1016.4</v>
      </c>
      <c r="AQ6" s="124">
        <f>SUM(AN6:AP6)</f>
        <v/>
      </c>
      <c r="AR6" s="321">
        <f>(AN6*AB6)+((AO6+AP6)*AC6)</f>
        <v/>
      </c>
      <c r="AS6" s="124" t="n">
        <v>0</v>
      </c>
      <c r="AT6" s="124" t="n">
        <v>1793.4</v>
      </c>
      <c r="AU6" s="124" t="n">
        <v>0</v>
      </c>
      <c r="AV6" s="124">
        <f>SUM(AS6:AU6)</f>
        <v/>
      </c>
      <c r="AW6" s="124" t="n">
        <v>0</v>
      </c>
      <c r="AX6" s="124" t="n">
        <v>1793.4</v>
      </c>
      <c r="AY6" s="124" t="n">
        <v>0</v>
      </c>
      <c r="AZ6" s="124">
        <f>SUM(AW6:AY6)</f>
        <v/>
      </c>
      <c r="BA6" s="323">
        <f>(AW6*AB6)+((AX6+AY6)*AC6)</f>
        <v/>
      </c>
      <c r="BB6" s="122">
        <f>AN6-AW6</f>
        <v/>
      </c>
      <c r="BC6" s="122">
        <f>BB6* 0.844714</f>
        <v/>
      </c>
      <c r="BD6" s="122">
        <f>AO6-AX6</f>
        <v/>
      </c>
      <c r="BE6" s="122">
        <f>BD6* 0.844714</f>
        <v/>
      </c>
      <c r="BF6" s="122">
        <f>AP6-AY6</f>
        <v/>
      </c>
      <c r="BG6" s="122">
        <f>BF6* 0.844714</f>
        <v/>
      </c>
      <c r="BH6" s="122">
        <f>BB6+BD6+BF6</f>
        <v/>
      </c>
      <c r="BI6" s="122">
        <f>BC6+BE6+BG6</f>
        <v/>
      </c>
      <c r="BJ6" s="324">
        <f>BL6+BS6+BV6+BY6+CB6+CE6+CH6+CK6</f>
        <v/>
      </c>
      <c r="BK6" s="323">
        <f>((AI6+AW6)*AB6)+((AJ6+AK6+AX6+AY6)*AC6)</f>
        <v/>
      </c>
      <c r="BL6" s="132">
        <f>BM6+BN6+AL6</f>
        <v/>
      </c>
      <c r="BM6" s="133">
        <f>AW6</f>
        <v/>
      </c>
      <c r="BN6" s="133">
        <f>AX6+AY6</f>
        <v/>
      </c>
      <c r="BO6" s="320" t="n"/>
      <c r="BP6" s="320" t="n"/>
      <c r="BQ6" s="320" t="n">
        <v>0</v>
      </c>
      <c r="BR6" s="320" t="n"/>
      <c r="BS6" s="124" t="n">
        <v>0</v>
      </c>
      <c r="BT6" s="320" t="n"/>
      <c r="BU6" s="320" t="n">
        <v>0</v>
      </c>
      <c r="BV6" s="124" t="n">
        <v>0</v>
      </c>
      <c r="BW6" s="320" t="n"/>
      <c r="BX6" s="320" t="n">
        <v>0</v>
      </c>
      <c r="BY6" s="124" t="n"/>
      <c r="BZ6" s="320" t="n"/>
      <c r="CA6" s="124" t="n"/>
      <c r="CB6" s="124" t="n"/>
      <c r="CC6" s="320" t="n"/>
      <c r="CD6" s="124" t="n"/>
      <c r="CE6" s="124" t="n"/>
      <c r="CF6" s="320" t="n"/>
      <c r="CG6" s="124" t="n"/>
      <c r="CH6" s="124" t="n"/>
      <c r="CI6" s="320" t="n"/>
      <c r="CJ6" s="124" t="n"/>
      <c r="CK6" s="124" t="n"/>
      <c r="CL6" s="320" t="n"/>
      <c r="CM6" s="124" t="n"/>
      <c r="CN6" s="320">
        <f>BK6+BU6+BX6+CA6+CD6+CG6+CJ6+CM6</f>
        <v/>
      </c>
      <c r="CO6" s="138">
        <f>(AV6-(AZ6+BV6+BY6+CB6+CE6+CH6+CK6+BS6)+CO5)</f>
        <v/>
      </c>
      <c r="CP6" s="320">
        <f>CR6*G6</f>
        <v/>
      </c>
      <c r="CQ6" s="124">
        <f>AL6+AZ6+AQ6</f>
        <v/>
      </c>
      <c r="CR6" s="138" t="n">
        <v>0</v>
      </c>
      <c r="CS6" s="135" t="n"/>
      <c r="CT6" s="135" t="n"/>
      <c r="CU6" s="177">
        <f>(BB6* AB6)+(BD6* AC6)+(BF6* AC6)+(S6+T6+U6+V6+W6+X6+Y6+Z6)</f>
        <v/>
      </c>
      <c r="CV6" s="177">
        <f>CU6-O6</f>
        <v/>
      </c>
      <c r="CW6" s="325" t="n"/>
    </row>
    <row r="7" ht="19.9" customFormat="1" customHeight="1" s="68">
      <c r="A7" s="233" t="n"/>
      <c r="B7" s="66" t="n">
        <v>10031292940</v>
      </c>
      <c r="C7" s="233" t="inlineStr">
        <is>
          <t>Granja Vitta</t>
        </is>
      </c>
      <c r="D7" s="140" t="inlineStr">
        <is>
          <t>Ap de Goiânia</t>
        </is>
      </c>
      <c r="E7" s="140" t="inlineStr">
        <is>
          <t>Novembro/2022</t>
        </is>
      </c>
      <c r="F7" s="141" t="n">
        <v>17000</v>
      </c>
      <c r="G7" s="326" t="n">
        <v>0.46</v>
      </c>
      <c r="H7" s="173">
        <f>F7*G7</f>
        <v/>
      </c>
      <c r="I7" s="140" t="inlineStr">
        <is>
          <t>Agosto/2023</t>
        </is>
      </c>
      <c r="J7" s="144" t="inlineStr">
        <is>
          <t>1 Growatt de 110kW</t>
        </is>
      </c>
      <c r="K7" s="66" t="inlineStr">
        <is>
          <t>266 de 550W</t>
        </is>
      </c>
      <c r="L7" s="140" t="n"/>
      <c r="M7" s="234" t="inlineStr">
        <is>
          <t>Agosto/2023</t>
        </is>
      </c>
      <c r="N7" s="145" t="inlineStr">
        <is>
          <t>01/08/2023 a 01/09/2023</t>
        </is>
      </c>
      <c r="O7" s="331" t="n">
        <v>4807.43</v>
      </c>
      <c r="P7" s="331">
        <f>(R7*AA7)+CV7</f>
        <v/>
      </c>
      <c r="Q7" s="331" t="n">
        <v>0</v>
      </c>
      <c r="R7" s="147" t="n">
        <v>90</v>
      </c>
      <c r="S7" s="331" t="n">
        <v>73.72</v>
      </c>
      <c r="T7" s="331" t="n">
        <v>0</v>
      </c>
      <c r="U7" s="331" t="n"/>
      <c r="V7" s="331" t="n"/>
      <c r="W7" s="331" t="n"/>
      <c r="X7" s="331" t="n"/>
      <c r="Y7" s="331" t="n"/>
      <c r="Z7" s="331" t="n"/>
      <c r="AA7" s="331" t="n">
        <v>28.10747115819972</v>
      </c>
      <c r="AB7" s="332" t="n">
        <v>2.34119</v>
      </c>
      <c r="AC7" s="332" t="n">
        <v>0.504989</v>
      </c>
      <c r="AD7" s="143" t="n">
        <v>0</v>
      </c>
      <c r="AE7" s="143" t="n">
        <v>13366.1</v>
      </c>
      <c r="AF7" s="143" t="n">
        <v>0</v>
      </c>
      <c r="AG7" s="143">
        <f>SUM(AD7:AF7)</f>
        <v/>
      </c>
      <c r="AH7" s="143">
        <f>(AD7*AB7)+((AE7+AF7)*AC7)</f>
        <v/>
      </c>
      <c r="AI7" s="143">
        <f>AD7-AS7</f>
        <v/>
      </c>
      <c r="AJ7" s="143">
        <f>AE7-AT7</f>
        <v/>
      </c>
      <c r="AK7" s="143">
        <f>AF7-AU7</f>
        <v/>
      </c>
      <c r="AL7" s="143">
        <f>SUM(AI7:AK7)</f>
        <v/>
      </c>
      <c r="AM7" s="329">
        <f>(AI7*AB7)+((AJ7+AK7)*AC7)</f>
        <v/>
      </c>
      <c r="AN7" s="143" t="n">
        <v>982.42</v>
      </c>
      <c r="AO7" s="143" t="n">
        <v>6295.8</v>
      </c>
      <c r="AP7" s="143" t="n">
        <v>1650.6</v>
      </c>
      <c r="AQ7" s="143">
        <f>SUM(AN7:AP7)</f>
        <v/>
      </c>
      <c r="AR7" s="331">
        <f>(AN7*AB7)+((AO7+AP7)*AC7)</f>
        <v/>
      </c>
      <c r="AS7" s="143" t="n">
        <v>0</v>
      </c>
      <c r="AT7" s="143" t="n">
        <v>3171</v>
      </c>
      <c r="AU7" s="143" t="n">
        <v>0</v>
      </c>
      <c r="AV7" s="143">
        <f>SUM(AS7:AU7)</f>
        <v/>
      </c>
      <c r="AW7" s="143" t="n">
        <v>0</v>
      </c>
      <c r="AX7" s="143" t="n">
        <v>3171</v>
      </c>
      <c r="AY7" s="143" t="n">
        <v>0</v>
      </c>
      <c r="AZ7" s="143">
        <f>SUM(AW7:AY7)</f>
        <v/>
      </c>
      <c r="BA7" s="333">
        <f>(AW7*AB7)+((AX7+AY7)*AC7)</f>
        <v/>
      </c>
      <c r="BB7" s="141">
        <f>AN7-AW7</f>
        <v/>
      </c>
      <c r="BC7" s="141">
        <f>BB7* 0.822137</f>
        <v/>
      </c>
      <c r="BD7" s="141">
        <f>AO7-AX7</f>
        <v/>
      </c>
      <c r="BE7" s="141">
        <f>BD7* 0.822137</f>
        <v/>
      </c>
      <c r="BF7" s="141">
        <f>AP7-AY7</f>
        <v/>
      </c>
      <c r="BG7" s="141">
        <f>BF7* 0.822137</f>
        <v/>
      </c>
      <c r="BH7" s="141">
        <f>BB7+BD7+BF7</f>
        <v/>
      </c>
      <c r="BI7" s="141">
        <f>BC7+BE7+BG7</f>
        <v/>
      </c>
      <c r="BJ7" s="324">
        <f>BL7+BS7+BV7+BY7+CB7+CE7+CH7+CK7</f>
        <v/>
      </c>
      <c r="BK7" s="333">
        <f>((AI7+AW7)*AB7)+((AJ7+AK7+AX7+AY7)*AC7)</f>
        <v/>
      </c>
      <c r="BL7" s="132">
        <f>BM7+BN7+AL7</f>
        <v/>
      </c>
      <c r="BM7" s="133">
        <f>AW7</f>
        <v/>
      </c>
      <c r="BN7" s="133">
        <f>AX7+AY7</f>
        <v/>
      </c>
      <c r="BO7" s="334" t="n"/>
      <c r="BP7" s="334" t="n"/>
      <c r="BQ7" s="334" t="n">
        <v>0</v>
      </c>
      <c r="BR7" s="334" t="n"/>
      <c r="BS7" s="143" t="n">
        <v>0</v>
      </c>
      <c r="BT7" s="334" t="n"/>
      <c r="BU7" s="326" t="n">
        <v>0</v>
      </c>
      <c r="BV7" s="173" t="n">
        <v>0</v>
      </c>
      <c r="BW7" s="326" t="n"/>
      <c r="BX7" s="326" t="n">
        <v>0</v>
      </c>
      <c r="BY7" s="173" t="n"/>
      <c r="BZ7" s="326" t="n"/>
      <c r="CA7" s="173" t="n"/>
      <c r="CB7" s="173" t="n"/>
      <c r="CC7" s="326" t="n"/>
      <c r="CD7" s="143" t="n"/>
      <c r="CE7" s="143" t="n"/>
      <c r="CF7" s="334" t="n"/>
      <c r="CG7" s="143" t="n"/>
      <c r="CH7" s="143" t="n"/>
      <c r="CI7" s="334" t="n"/>
      <c r="CJ7" s="143" t="n"/>
      <c r="CK7" s="143" t="n"/>
      <c r="CL7" s="334" t="n"/>
      <c r="CM7" s="143" t="n"/>
      <c r="CN7" s="320">
        <f>BK7+BU7+BX7+CA7+CD7+CG7+CJ7+CM7</f>
        <v/>
      </c>
      <c r="CO7" s="152">
        <f>(AV7-(AZ7+BV7+BY7+CB7+CE7+CH7+CK7+BS7)+CO6)</f>
        <v/>
      </c>
      <c r="CP7" s="320">
        <f>CR7*G7</f>
        <v/>
      </c>
      <c r="CQ7" s="124">
        <f>AL7+AZ7+AQ7</f>
        <v/>
      </c>
      <c r="CR7" s="152" t="n">
        <v>0</v>
      </c>
      <c r="CS7" s="135" t="n"/>
      <c r="CT7" s="135" t="n"/>
      <c r="CU7" s="177">
        <f>(BB7* AB7)+(BD7* AC7)+(BF7* AC7)+(S7+T7+U7+V7+W7+X7+Y7+Z7)</f>
        <v/>
      </c>
      <c r="CV7" s="177">
        <f>CU7-O7</f>
        <v/>
      </c>
      <c r="CW7" s="325" t="n"/>
    </row>
    <row r="8" ht="19.9" customFormat="1" customHeight="1" s="68">
      <c r="A8" s="120" t="n"/>
      <c r="B8" s="65" t="n">
        <v>10031292940</v>
      </c>
      <c r="C8" s="120" t="inlineStr">
        <is>
          <t>Granja Vitta</t>
        </is>
      </c>
      <c r="D8" s="121" t="inlineStr">
        <is>
          <t>Ap de Goiânia</t>
        </is>
      </c>
      <c r="E8" s="121" t="inlineStr">
        <is>
          <t>Novembro/2022</t>
        </is>
      </c>
      <c r="F8" s="122" t="n">
        <v>17000</v>
      </c>
      <c r="G8" s="320" t="n">
        <v>0.46</v>
      </c>
      <c r="H8" s="124">
        <f>F8*G8</f>
        <v/>
      </c>
      <c r="I8" s="121" t="inlineStr">
        <is>
          <t>Agosto/2023</t>
        </is>
      </c>
      <c r="J8" s="125" t="inlineStr">
        <is>
          <t>1 Growatt de 110kW</t>
        </is>
      </c>
      <c r="K8" s="65" t="inlineStr">
        <is>
          <t>266 de 550W</t>
        </is>
      </c>
      <c r="L8" s="121" t="n"/>
      <c r="M8" s="126" t="inlineStr">
        <is>
          <t>Setembro/2023</t>
        </is>
      </c>
      <c r="N8" s="126" t="inlineStr">
        <is>
          <t>01/09/2023 a 01/10/2023</t>
        </is>
      </c>
      <c r="O8" s="321" t="n">
        <v>3153.76</v>
      </c>
      <c r="P8" s="321">
        <f>(R8*AA8)+CV8</f>
        <v/>
      </c>
      <c r="Q8" s="321" t="n">
        <v>0</v>
      </c>
      <c r="R8" s="207" t="n">
        <v>90</v>
      </c>
      <c r="S8" s="321" t="n">
        <v>141.5</v>
      </c>
      <c r="T8" s="321">
        <f>1.6+96.15</f>
        <v/>
      </c>
      <c r="U8" s="321" t="n"/>
      <c r="V8" s="321" t="n"/>
      <c r="W8" s="321" t="n"/>
      <c r="X8" s="321" t="n"/>
      <c r="Y8" s="321" t="n"/>
      <c r="Z8" s="321" t="n"/>
      <c r="AA8" s="321" t="n">
        <v>28.69767044220758</v>
      </c>
      <c r="AB8" s="322" t="n">
        <v>2.390349</v>
      </c>
      <c r="AC8" s="322" t="n">
        <v>0.515594</v>
      </c>
      <c r="AD8" s="124" t="n">
        <v>1.78</v>
      </c>
      <c r="AE8" s="124" t="n">
        <v>16615.63</v>
      </c>
      <c r="AF8" s="124" t="n">
        <v>0.02</v>
      </c>
      <c r="AG8" s="124">
        <f>SUM(AD8:AF8)</f>
        <v/>
      </c>
      <c r="AH8" s="124">
        <f>(AD8*AB8)+((AE8+AF8)*AC8)</f>
        <v/>
      </c>
      <c r="AI8" s="124">
        <f>AD8-AS8</f>
        <v/>
      </c>
      <c r="AJ8" s="124">
        <f>AE8-AT8</f>
        <v/>
      </c>
      <c r="AK8" s="124">
        <f>AF8-AU8</f>
        <v/>
      </c>
      <c r="AL8" s="124">
        <f>SUM(AI8:AK8)</f>
        <v/>
      </c>
      <c r="AM8" s="323">
        <f>(AI8*AB8)+((AJ8+AK8)*AC8)</f>
        <v/>
      </c>
      <c r="AN8" s="124" t="n">
        <v>1149.54</v>
      </c>
      <c r="AO8" s="124" t="n">
        <v>4964.4</v>
      </c>
      <c r="AP8" s="124" t="n">
        <v>1625.4</v>
      </c>
      <c r="AQ8" s="124">
        <f>SUM(AN8:AP8)</f>
        <v/>
      </c>
      <c r="AR8" s="321">
        <f>(AN8*AB8)+((AO8+AP8)*AC8)</f>
        <v/>
      </c>
      <c r="AS8" s="124" t="n">
        <v>0</v>
      </c>
      <c r="AT8" s="124" t="n">
        <v>4267.2</v>
      </c>
      <c r="AU8" s="124" t="n">
        <v>0</v>
      </c>
      <c r="AV8" s="124">
        <f>SUM(AS8:AU8)</f>
        <v/>
      </c>
      <c r="AW8" s="124" t="n">
        <v>0</v>
      </c>
      <c r="AX8" s="124" t="n">
        <v>4267.2</v>
      </c>
      <c r="AY8" s="124" t="n">
        <v>0</v>
      </c>
      <c r="AZ8" s="124">
        <f>SUM(AW8:AY8)</f>
        <v/>
      </c>
      <c r="BA8" s="323">
        <f>(AW8*AB8)+((AX8+AY8)*AC8)</f>
        <v/>
      </c>
      <c r="BB8" s="122">
        <f>AN8-AW8</f>
        <v/>
      </c>
      <c r="BC8" s="122">
        <f>BB8* 0.8394</f>
        <v/>
      </c>
      <c r="BD8" s="122">
        <f>AO8-AX8</f>
        <v/>
      </c>
      <c r="BE8" s="122">
        <f>BD8* 0.8394</f>
        <v/>
      </c>
      <c r="BF8" s="122">
        <f>AP8-AY8</f>
        <v/>
      </c>
      <c r="BG8" s="122">
        <f>BF8* 0.8394</f>
        <v/>
      </c>
      <c r="BH8" s="122">
        <f>BB8+BD8+BF8</f>
        <v/>
      </c>
      <c r="BI8" s="122">
        <f>BC8+BE8+BG8</f>
        <v/>
      </c>
      <c r="BJ8" s="324">
        <f>BL8+BS8+BV8+BY8+CB8+CE8+CH8+CK8</f>
        <v/>
      </c>
      <c r="BK8" s="323">
        <f>((AI8+AW8)*AB8)+((AJ8+AK8+AX8+AY8)*AC8)</f>
        <v/>
      </c>
      <c r="BL8" s="132">
        <f>BM8+BN8+AL8</f>
        <v/>
      </c>
      <c r="BM8" s="124">
        <f>AW8</f>
        <v/>
      </c>
      <c r="BN8" s="124">
        <f>AX8+AY8</f>
        <v/>
      </c>
      <c r="BO8" s="320" t="n"/>
      <c r="BP8" s="320" t="n"/>
      <c r="BQ8" s="320" t="n">
        <v>0</v>
      </c>
      <c r="BR8" s="320" t="n"/>
      <c r="BS8" s="124" t="n">
        <v>0</v>
      </c>
      <c r="BT8" s="320" t="n"/>
      <c r="BU8" s="320" t="n">
        <v>0</v>
      </c>
      <c r="BV8" s="124" t="n">
        <v>0</v>
      </c>
      <c r="BW8" s="320" t="n"/>
      <c r="BX8" s="320" t="n">
        <v>0</v>
      </c>
      <c r="BY8" s="124" t="n"/>
      <c r="BZ8" s="320" t="n"/>
      <c r="CA8" s="124" t="n"/>
      <c r="CB8" s="124" t="n"/>
      <c r="CC8" s="320" t="n"/>
      <c r="CD8" s="124" t="n"/>
      <c r="CE8" s="124" t="n"/>
      <c r="CF8" s="320" t="n"/>
      <c r="CG8" s="124" t="n"/>
      <c r="CH8" s="124" t="n"/>
      <c r="CI8" s="320" t="n"/>
      <c r="CJ8" s="124" t="n"/>
      <c r="CK8" s="124" t="n"/>
      <c r="CL8" s="320" t="n"/>
      <c r="CM8" s="124" t="n"/>
      <c r="CN8" s="320">
        <f>BK8+BU8+BX8+CA8+CD8+CG8+CJ8+CM8</f>
        <v/>
      </c>
      <c r="CO8" s="152">
        <f>(AV8-(AZ8+BV8+BY8+CB8+CE8+CH8+CK8+BS8)+CO7)</f>
        <v/>
      </c>
      <c r="CP8" s="320">
        <f>CR8*G8</f>
        <v/>
      </c>
      <c r="CQ8" s="124">
        <f>AL8+AZ8+AQ8</f>
        <v/>
      </c>
      <c r="CR8" s="152" t="n">
        <v>0</v>
      </c>
      <c r="CS8" s="153" t="n"/>
      <c r="CT8" s="135" t="n"/>
      <c r="CU8" s="177">
        <f>(BB8* AB8)+(BD8* AC8)+(BF8* AC8)+(S8+T8+U8+V8+W8+X8+Y8+Z8)</f>
        <v/>
      </c>
      <c r="CV8" s="177">
        <f>CU8-O8</f>
        <v/>
      </c>
      <c r="CW8" s="325" t="n"/>
    </row>
    <row r="9" ht="19.9" customFormat="1" customHeight="1" s="68">
      <c r="A9" s="233" t="n"/>
      <c r="B9" s="66" t="n">
        <v>10031292940</v>
      </c>
      <c r="C9" s="233" t="inlineStr">
        <is>
          <t>Granja Vitta</t>
        </is>
      </c>
      <c r="D9" s="140" t="inlineStr">
        <is>
          <t>Ap de Goiânia</t>
        </is>
      </c>
      <c r="E9" s="140" t="inlineStr">
        <is>
          <t>Novembro/2022</t>
        </is>
      </c>
      <c r="F9" s="141" t="n">
        <v>17000</v>
      </c>
      <c r="G9" s="326" t="n">
        <v>0.46</v>
      </c>
      <c r="H9" s="173">
        <f>F9*G9</f>
        <v/>
      </c>
      <c r="I9" s="140" t="inlineStr">
        <is>
          <t>Agosto/2023</t>
        </is>
      </c>
      <c r="J9" s="144" t="inlineStr">
        <is>
          <t>1 Growatt de 110kW</t>
        </is>
      </c>
      <c r="K9" s="66" t="inlineStr">
        <is>
          <t>266 de 550W</t>
        </is>
      </c>
      <c r="L9" s="140" t="n"/>
      <c r="M9" s="234" t="inlineStr">
        <is>
          <t>Outubro/2023</t>
        </is>
      </c>
      <c r="N9" s="145" t="inlineStr">
        <is>
          <t>01/10/2023 a 01/11/2023</t>
        </is>
      </c>
      <c r="O9" s="331" t="n">
        <v>4479.95</v>
      </c>
      <c r="P9" s="331">
        <f>(R9*AA9)+CV9</f>
        <v/>
      </c>
      <c r="Q9" s="331" t="n">
        <v>0</v>
      </c>
      <c r="R9" s="147" t="n">
        <v>90.55200000000001</v>
      </c>
      <c r="S9" s="331" t="n">
        <v>34.86</v>
      </c>
      <c r="T9" s="331" t="n">
        <v>0</v>
      </c>
      <c r="U9" s="331" t="n"/>
      <c r="V9" s="331" t="n"/>
      <c r="W9" s="331" t="n"/>
      <c r="X9" s="331" t="n"/>
      <c r="Y9" s="331" t="n"/>
      <c r="Z9" s="331" t="n"/>
      <c r="AA9" s="331" t="n">
        <v>30.064220932698</v>
      </c>
      <c r="AB9" s="332" t="n">
        <v>2.455708</v>
      </c>
      <c r="AC9" s="332" t="n">
        <v>0.501163</v>
      </c>
      <c r="AD9" s="143" t="n">
        <v>2.39</v>
      </c>
      <c r="AE9" s="173" t="n">
        <v>15286.67</v>
      </c>
      <c r="AF9" s="143" t="n">
        <v>4.32</v>
      </c>
      <c r="AG9" s="143">
        <f>SUM(AD9:AF9)</f>
        <v/>
      </c>
      <c r="AH9" s="143">
        <f>(AD9*AB9)+((AE9+AF9)*AC9)</f>
        <v/>
      </c>
      <c r="AI9" s="143">
        <f>AD9-AS9</f>
        <v/>
      </c>
      <c r="AJ9" s="143">
        <f>AE9-AT9</f>
        <v/>
      </c>
      <c r="AK9" s="143">
        <f>AF9-AU9</f>
        <v/>
      </c>
      <c r="AL9" s="143">
        <f>SUM(AI9:AK9)</f>
        <v/>
      </c>
      <c r="AM9" s="329">
        <f>(AI9*AB9)+((AJ9+AK9)*AC9)</f>
        <v/>
      </c>
      <c r="AN9" s="143" t="n">
        <v>1396.08</v>
      </c>
      <c r="AO9" s="143" t="n">
        <v>6329.4</v>
      </c>
      <c r="AP9" s="143" t="n">
        <v>1864.8</v>
      </c>
      <c r="AQ9" s="143">
        <f>SUM(AN9:AP9)</f>
        <v/>
      </c>
      <c r="AR9" s="331">
        <f>(AN9*AB9)+((AO9+AP9)*AC9)</f>
        <v/>
      </c>
      <c r="AS9" s="143" t="n">
        <v>0</v>
      </c>
      <c r="AT9" s="143" t="n">
        <v>4464.6</v>
      </c>
      <c r="AU9" s="143" t="n">
        <v>0</v>
      </c>
      <c r="AV9" s="143">
        <f>SUM(AS9:AU9)</f>
        <v/>
      </c>
      <c r="AW9" s="143" t="n">
        <v>0</v>
      </c>
      <c r="AX9" s="143" t="n">
        <v>4464.6</v>
      </c>
      <c r="AY9" s="143" t="n">
        <v>0</v>
      </c>
      <c r="AZ9" s="143">
        <f>SUM(AW9:AY9)</f>
        <v/>
      </c>
      <c r="BA9" s="333">
        <f>(AW9*AB9)+((AX9+AY9)*AC9)</f>
        <v/>
      </c>
      <c r="BB9" s="141">
        <f>AN9-AW9</f>
        <v/>
      </c>
      <c r="BC9" s="141">
        <f>BB9* 0.867219</f>
        <v/>
      </c>
      <c r="BD9" s="141">
        <f>AO9-AX9</f>
        <v/>
      </c>
      <c r="BE9" s="141">
        <f>BD9* 0.867219</f>
        <v/>
      </c>
      <c r="BF9" s="141">
        <f>AP9-AY9</f>
        <v/>
      </c>
      <c r="BG9" s="141">
        <f>BF9* 0.867219</f>
        <v/>
      </c>
      <c r="BH9" s="141">
        <f>BB9+BD9+BF9</f>
        <v/>
      </c>
      <c r="BI9" s="141">
        <f>BC9+BE9+BG9</f>
        <v/>
      </c>
      <c r="BJ9" s="324">
        <f>BL9+BS9+BV9+BY9+CB9+CE9+CH9+CK9</f>
        <v/>
      </c>
      <c r="BK9" s="333">
        <f>((AI9+AW9)*AB9)+((AJ9+AK9+AX9+AY9)*AC9)</f>
        <v/>
      </c>
      <c r="BL9" s="132">
        <f>BM9+BN9+AL9</f>
        <v/>
      </c>
      <c r="BM9" s="133">
        <f>AW9</f>
        <v/>
      </c>
      <c r="BN9" s="133">
        <f>AX9+AY9</f>
        <v/>
      </c>
      <c r="BO9" s="334" t="n"/>
      <c r="BP9" s="334" t="n"/>
      <c r="BQ9" s="334" t="n">
        <v>0</v>
      </c>
      <c r="BR9" s="334" t="n"/>
      <c r="BS9" s="143" t="n">
        <v>0</v>
      </c>
      <c r="BT9" s="334" t="n"/>
      <c r="BU9" s="326" t="n">
        <v>0</v>
      </c>
      <c r="BV9" s="173" t="n">
        <v>0</v>
      </c>
      <c r="BW9" s="326" t="n"/>
      <c r="BX9" s="326" t="n">
        <v>0</v>
      </c>
      <c r="BY9" s="173" t="n"/>
      <c r="BZ9" s="326" t="n"/>
      <c r="CA9" s="173" t="n"/>
      <c r="CB9" s="173" t="n"/>
      <c r="CC9" s="326" t="n"/>
      <c r="CD9" s="143" t="n"/>
      <c r="CE9" s="143" t="n"/>
      <c r="CF9" s="334" t="n"/>
      <c r="CG9" s="143" t="n"/>
      <c r="CH9" s="143" t="n"/>
      <c r="CI9" s="334" t="n"/>
      <c r="CJ9" s="143" t="n"/>
      <c r="CK9" s="143" t="n"/>
      <c r="CL9" s="334" t="n"/>
      <c r="CM9" s="143" t="n"/>
      <c r="CN9" s="320">
        <f>BK9+BU9+BX9+CA9+CD9+CG9+CJ9+CM9</f>
        <v/>
      </c>
      <c r="CO9" s="138">
        <f>(AV9-(AZ9+BV9+BY9+CB9+CE9+CH9+CK9+BS9)+CO8)</f>
        <v/>
      </c>
      <c r="CP9" s="320">
        <f>CR9*G9</f>
        <v/>
      </c>
      <c r="CQ9" s="124">
        <f>AL9+AZ9+AQ9</f>
        <v/>
      </c>
      <c r="CR9" s="138" t="n">
        <v>0</v>
      </c>
      <c r="CS9" s="153" t="n"/>
      <c r="CT9" s="135" t="n"/>
      <c r="CU9" s="177">
        <f>(BB9* AB9)+(BD9* AC9)+(BF9* AC9)+(S9+T9+U9+V9+W9+X9+Y9+Z9)</f>
        <v/>
      </c>
      <c r="CV9" s="177">
        <f>CU9-O9</f>
        <v/>
      </c>
      <c r="CW9" s="325" t="n"/>
    </row>
    <row r="10" ht="19.9" customFormat="1" customHeight="1" s="68">
      <c r="A10" s="120" t="n"/>
      <c r="B10" s="65" t="n">
        <v>10031292940</v>
      </c>
      <c r="C10" s="120" t="inlineStr">
        <is>
          <t>Granja Vitta</t>
        </is>
      </c>
      <c r="D10" s="121" t="inlineStr">
        <is>
          <t>Ap de Goiânia</t>
        </is>
      </c>
      <c r="E10" s="121" t="inlineStr">
        <is>
          <t>Novembro/2022</t>
        </is>
      </c>
      <c r="F10" s="122" t="n">
        <v>17000</v>
      </c>
      <c r="G10" s="320" t="n">
        <v>0.46</v>
      </c>
      <c r="H10" s="124">
        <f>F10*G10</f>
        <v/>
      </c>
      <c r="I10" s="121" t="inlineStr">
        <is>
          <t>Agosto/2023</t>
        </is>
      </c>
      <c r="J10" s="125" t="inlineStr">
        <is>
          <t>1 Growatt de 110kW</t>
        </is>
      </c>
      <c r="K10" s="65" t="inlineStr">
        <is>
          <t>266 de 550W</t>
        </is>
      </c>
      <c r="L10" s="121" t="n"/>
      <c r="M10" s="126" t="inlineStr">
        <is>
          <t>Novembro/2023</t>
        </is>
      </c>
      <c r="N10" s="126" t="inlineStr">
        <is>
          <t>01/11/2023 a 01/12/2023</t>
        </is>
      </c>
      <c r="O10" s="321" t="n">
        <v>3129.34</v>
      </c>
      <c r="P10" s="321">
        <f>(R10*AA10)+CV10</f>
        <v/>
      </c>
      <c r="Q10" s="321" t="n">
        <v>0</v>
      </c>
      <c r="R10" s="207" t="n">
        <v>96.768</v>
      </c>
      <c r="S10" s="321" t="n">
        <v>48.34</v>
      </c>
      <c r="T10" s="321" t="n">
        <v>0</v>
      </c>
      <c r="U10" s="321" t="n"/>
      <c r="V10" s="321" t="n"/>
      <c r="W10" s="321" t="n"/>
      <c r="X10" s="321" t="n"/>
      <c r="Y10" s="321" t="n"/>
      <c r="Z10" s="321" t="n"/>
      <c r="AA10" s="321" t="n">
        <v>32.1275289139161</v>
      </c>
      <c r="AB10" s="322" t="n">
        <v>2.538584</v>
      </c>
      <c r="AC10" s="322" t="n">
        <v>0.466664</v>
      </c>
      <c r="AD10" s="124" t="n">
        <v>7.53</v>
      </c>
      <c r="AE10" s="124" t="n">
        <v>15516.32</v>
      </c>
      <c r="AF10" s="124" t="n">
        <v>16.29</v>
      </c>
      <c r="AG10" s="124">
        <f>SUM(AD10:AF10)</f>
        <v/>
      </c>
      <c r="AH10" s="124">
        <f>(AD10*AB10)+((AE10+AF10)*AC10)</f>
        <v/>
      </c>
      <c r="AI10" s="124">
        <f>AD10-AS10</f>
        <v/>
      </c>
      <c r="AJ10" s="124">
        <f>AE10-AT10</f>
        <v/>
      </c>
      <c r="AK10" s="124">
        <f>AF10-AU10</f>
        <v/>
      </c>
      <c r="AL10" s="124">
        <f>SUM(AI10:AK10)</f>
        <v/>
      </c>
      <c r="AM10" s="323">
        <f>(AI10*AB10)+((AJ10+AK10)*AC10)</f>
        <v/>
      </c>
      <c r="AN10" s="124" t="n">
        <v>1198.42</v>
      </c>
      <c r="AO10" s="124" t="n">
        <v>5485.2</v>
      </c>
      <c r="AP10" s="124" t="n">
        <v>1499.4</v>
      </c>
      <c r="AQ10" s="124">
        <f>SUM(AN10:AP10)</f>
        <v/>
      </c>
      <c r="AR10" s="321">
        <f>(AN10*AB10)+((AO10+AP10)*AC10)</f>
        <v/>
      </c>
      <c r="AS10" s="124" t="n">
        <v>0</v>
      </c>
      <c r="AT10" s="124" t="n">
        <v>4779.6</v>
      </c>
      <c r="AU10" s="124" t="n">
        <v>0</v>
      </c>
      <c r="AV10" s="124">
        <f>SUM(AS10:AU10)</f>
        <v/>
      </c>
      <c r="AW10" s="124" t="n">
        <v>0</v>
      </c>
      <c r="AX10" s="124" t="n">
        <v>4779.6</v>
      </c>
      <c r="AY10" s="124" t="n">
        <v>0</v>
      </c>
      <c r="AZ10" s="124">
        <f>SUM(AW10:AY10)</f>
        <v/>
      </c>
      <c r="BA10" s="323">
        <f>(AW10*AB10)+((AX10+AY10)*AC10)</f>
        <v/>
      </c>
      <c r="BB10" s="122">
        <f>AN10-AW10</f>
        <v/>
      </c>
      <c r="BC10" s="122">
        <f>BB10*0.905265</f>
        <v/>
      </c>
      <c r="BD10" s="122">
        <f>AO10-AX10</f>
        <v/>
      </c>
      <c r="BE10" s="122">
        <f>BD10*0.905265</f>
        <v/>
      </c>
      <c r="BF10" s="122">
        <f>AP10-AY10</f>
        <v/>
      </c>
      <c r="BG10" s="122">
        <f>BF10*0.905265</f>
        <v/>
      </c>
      <c r="BH10" s="122">
        <f>BB10+BD10+BF10</f>
        <v/>
      </c>
      <c r="BI10" s="122">
        <f>BC10+BE10+BG10</f>
        <v/>
      </c>
      <c r="BJ10" s="324">
        <f>BL10+BS10+BV10+BY10+CB10+CE10+CH10+CK10</f>
        <v/>
      </c>
      <c r="BK10" s="323">
        <f>((AI10+AW10)*AB10)+((AJ10+AK10+AX10+AY10)*AC10)</f>
        <v/>
      </c>
      <c r="BL10" s="132">
        <f>BM10+BN10+AL10</f>
        <v/>
      </c>
      <c r="BM10" s="133">
        <f>AW10</f>
        <v/>
      </c>
      <c r="BN10" s="133">
        <f>AX10+AY10</f>
        <v/>
      </c>
      <c r="BO10" s="320" t="n"/>
      <c r="BP10" s="320" t="n"/>
      <c r="BQ10" s="320" t="n">
        <v>0</v>
      </c>
      <c r="BR10" s="320" t="n"/>
      <c r="BS10" s="124" t="n">
        <v>0</v>
      </c>
      <c r="BT10" s="320" t="n"/>
      <c r="BU10" s="320" t="n">
        <v>0</v>
      </c>
      <c r="BV10" s="124" t="n">
        <v>0</v>
      </c>
      <c r="BW10" s="320" t="n"/>
      <c r="BX10" s="320" t="n">
        <v>0</v>
      </c>
      <c r="BY10" s="124" t="n"/>
      <c r="BZ10" s="320" t="n"/>
      <c r="CA10" s="124" t="n"/>
      <c r="CB10" s="124" t="n"/>
      <c r="CC10" s="320" t="n"/>
      <c r="CD10" s="124" t="n"/>
      <c r="CE10" s="124" t="n"/>
      <c r="CF10" s="320" t="n"/>
      <c r="CG10" s="124" t="n"/>
      <c r="CH10" s="124" t="n"/>
      <c r="CI10" s="320" t="n"/>
      <c r="CJ10" s="124" t="n"/>
      <c r="CK10" s="124" t="n"/>
      <c r="CL10" s="320" t="n"/>
      <c r="CM10" s="124" t="n"/>
      <c r="CN10" s="320">
        <f>BK10+BU10+BX10+CA10+CD10+CG10+CJ10+CM10</f>
        <v/>
      </c>
      <c r="CO10" s="138">
        <f>(AV10-(AZ10+BV10+BY10+CB10+CE10+CH10+CK10+BS10)+CO9)</f>
        <v/>
      </c>
      <c r="CP10" s="320">
        <f>CR10*G10</f>
        <v/>
      </c>
      <c r="CQ10" s="124">
        <f>AL10+AZ10+AQ10</f>
        <v/>
      </c>
      <c r="CR10" s="138" t="n">
        <v>0</v>
      </c>
      <c r="CS10" s="153" t="n"/>
      <c r="CT10" s="135" t="n"/>
      <c r="CU10" s="177">
        <f>(BB10* AB10)+(BD10* AC10)+(BF10* AC10)+(S10+T10+U10+V10+W10+X10+Y10+Z10)</f>
        <v/>
      </c>
      <c r="CV10" s="177">
        <f>CU10-O10</f>
        <v/>
      </c>
      <c r="CW10" s="325" t="n"/>
    </row>
    <row r="11" ht="19.9" customFormat="1" customHeight="1" s="68">
      <c r="A11" s="233" t="n"/>
      <c r="B11" s="66" t="n">
        <v>10031292940</v>
      </c>
      <c r="C11" s="233" t="inlineStr">
        <is>
          <t>Granja Vitta</t>
        </is>
      </c>
      <c r="D11" s="140" t="inlineStr">
        <is>
          <t>Ap de Goiânia</t>
        </is>
      </c>
      <c r="E11" s="140" t="inlineStr">
        <is>
          <t>Novembro/2022</t>
        </is>
      </c>
      <c r="F11" s="141" t="n">
        <v>17000</v>
      </c>
      <c r="G11" s="326" t="n">
        <v>0.46</v>
      </c>
      <c r="H11" s="173">
        <f>F11*G11</f>
        <v/>
      </c>
      <c r="I11" s="140" t="inlineStr">
        <is>
          <t>Agosto/2023</t>
        </is>
      </c>
      <c r="J11" s="144" t="inlineStr">
        <is>
          <t>1 Growatt de 110kW</t>
        </is>
      </c>
      <c r="K11" s="66" t="inlineStr">
        <is>
          <t>266 de 550W</t>
        </is>
      </c>
      <c r="L11" s="140" t="n"/>
      <c r="M11" s="234" t="inlineStr">
        <is>
          <t>Dezembro/2023</t>
        </is>
      </c>
      <c r="N11" s="145" t="inlineStr">
        <is>
          <t>01/12/2023 a 01/01/2024</t>
        </is>
      </c>
      <c r="O11" s="331" t="n">
        <v>702.74</v>
      </c>
      <c r="P11" s="331">
        <f>(R11*AA11)+CV11</f>
        <v/>
      </c>
      <c r="Q11" s="331" t="n">
        <v>0</v>
      </c>
      <c r="R11" s="147" t="n">
        <v>90</v>
      </c>
      <c r="S11" s="331" t="n">
        <v>43.2</v>
      </c>
      <c r="T11" s="331" t="n">
        <v>0</v>
      </c>
      <c r="U11" s="331" t="n"/>
      <c r="V11" s="331" t="n"/>
      <c r="W11" s="331" t="n"/>
      <c r="X11" s="331" t="n"/>
      <c r="Y11" s="331" t="n"/>
      <c r="Z11" s="331" t="n"/>
      <c r="AA11" s="331" t="n">
        <v>31.6780708140287</v>
      </c>
      <c r="AB11" s="332" t="n">
        <v>2.50307</v>
      </c>
      <c r="AC11" s="332" t="n">
        <v>0.460136</v>
      </c>
      <c r="AD11" s="143" t="n">
        <v>22.95</v>
      </c>
      <c r="AE11" s="173" t="n">
        <v>16446.5</v>
      </c>
      <c r="AF11" s="143" t="n">
        <v>11.39</v>
      </c>
      <c r="AG11" s="143">
        <f>SUM(AD11:AF11)</f>
        <v/>
      </c>
      <c r="AH11" s="143">
        <f>(AD11*AB11)+((AE11+AF11)*AC11)</f>
        <v/>
      </c>
      <c r="AI11" s="143">
        <f>AD11-AS11</f>
        <v/>
      </c>
      <c r="AJ11" s="143">
        <f>AE11-AT11</f>
        <v/>
      </c>
      <c r="AK11" s="143">
        <f>AF11-AU11</f>
        <v/>
      </c>
      <c r="AL11" s="143">
        <f>SUM(AI11:AK11)</f>
        <v/>
      </c>
      <c r="AM11" s="329">
        <f>(AI11*AB11)+((AJ11+AK11)*AC11)</f>
        <v/>
      </c>
      <c r="AN11" s="143" t="n">
        <v>852.3</v>
      </c>
      <c r="AO11" s="143" t="n">
        <v>3565.8</v>
      </c>
      <c r="AP11" s="143" t="n">
        <v>1419.6</v>
      </c>
      <c r="AQ11" s="143">
        <f>SUM(AN11:AP11)</f>
        <v/>
      </c>
      <c r="AR11" s="331">
        <f>(AN11*AB11)+((AO11+AP11)*AC11)</f>
        <v/>
      </c>
      <c r="AS11" s="143" t="n">
        <v>0</v>
      </c>
      <c r="AT11" s="143" t="n">
        <v>5098.8</v>
      </c>
      <c r="AU11" s="143" t="n">
        <v>0</v>
      </c>
      <c r="AV11" s="143">
        <f>SUM(AS11:AU11)</f>
        <v/>
      </c>
      <c r="AW11" s="143" t="n">
        <v>213.4</v>
      </c>
      <c r="AX11" s="143" t="n">
        <v>3465.8</v>
      </c>
      <c r="AY11" s="143" t="n">
        <v>1419.6</v>
      </c>
      <c r="AZ11" s="143">
        <f>SUM(AW11:AY11)</f>
        <v/>
      </c>
      <c r="BA11" s="333">
        <f>(AW11*AB11)+((AX11+AY11)*AC11)</f>
        <v/>
      </c>
      <c r="BB11" s="141">
        <f>AN11-AW11</f>
        <v/>
      </c>
      <c r="BC11" s="141">
        <f>BB11* 0.8926</f>
        <v/>
      </c>
      <c r="BD11" s="141">
        <f>AO11-AX11</f>
        <v/>
      </c>
      <c r="BE11" s="141">
        <f>BD11* 0.8926</f>
        <v/>
      </c>
      <c r="BF11" s="141">
        <f>AP11-AY11</f>
        <v/>
      </c>
      <c r="BG11" s="141">
        <f>BF11* 0.8926</f>
        <v/>
      </c>
      <c r="BH11" s="141">
        <f>BB11+BD11+BF11</f>
        <v/>
      </c>
      <c r="BI11" s="141">
        <f>BC11+BE11+BG11</f>
        <v/>
      </c>
      <c r="BJ11" s="324">
        <f>BL11+BS11+BV11+BY11+CB11+CE11+CH11+CK11</f>
        <v/>
      </c>
      <c r="BK11" s="333">
        <f>((AI11+AW11)*AB11)+((AJ11+AK11+AX11+AY11)*AC11)</f>
        <v/>
      </c>
      <c r="BL11" s="132">
        <f>BM11+BN11+AL11</f>
        <v/>
      </c>
      <c r="BM11" s="133">
        <f>AW11</f>
        <v/>
      </c>
      <c r="BN11" s="133">
        <f>AX11+AY11</f>
        <v/>
      </c>
      <c r="BO11" s="334" t="n"/>
      <c r="BP11" s="334" t="n"/>
      <c r="BQ11" s="334" t="n">
        <v>0</v>
      </c>
      <c r="BR11" s="334" t="n"/>
      <c r="BS11" s="143" t="n">
        <v>0</v>
      </c>
      <c r="BT11" s="334" t="n"/>
      <c r="BU11" s="326" t="n">
        <v>0</v>
      </c>
      <c r="BV11" s="173" t="n">
        <v>0</v>
      </c>
      <c r="BW11" s="326" t="n"/>
      <c r="BX11" s="326" t="n">
        <v>0</v>
      </c>
      <c r="BY11" s="173" t="n"/>
      <c r="BZ11" s="326" t="n"/>
      <c r="CA11" s="173" t="n"/>
      <c r="CB11" s="173" t="n"/>
      <c r="CC11" s="326" t="n"/>
      <c r="CD11" s="143" t="n"/>
      <c r="CE11" s="143" t="n"/>
      <c r="CF11" s="334" t="n"/>
      <c r="CG11" s="143" t="n"/>
      <c r="CH11" s="143" t="n"/>
      <c r="CI11" s="334" t="n"/>
      <c r="CJ11" s="143" t="n"/>
      <c r="CK11" s="143" t="n"/>
      <c r="CL11" s="334" t="n"/>
      <c r="CM11" s="143" t="n"/>
      <c r="CN11" s="320">
        <f>BK11+BU11+BX11+CA11+CD11+CG11+CJ11+CM11</f>
        <v/>
      </c>
      <c r="CO11" s="138">
        <f>(AV11-(AZ11+BV11+BY11+CB11+CE11+CH11+CK11+BS11)+CO10)</f>
        <v/>
      </c>
      <c r="CP11" s="320">
        <f>CR11*G11</f>
        <v/>
      </c>
      <c r="CQ11" s="124">
        <f>AL11+AZ11+AQ11</f>
        <v/>
      </c>
      <c r="CR11" s="138" t="n">
        <v>0</v>
      </c>
      <c r="CS11" s="153" t="n"/>
      <c r="CT11" s="135" t="n"/>
      <c r="CU11" s="177">
        <f>(BB11* AB11)+(BD11* AC11)+(BF11* AC11)+(S11+T11+U11+V11+W11+X11+Y11+Z11)</f>
        <v/>
      </c>
      <c r="CV11" s="177">
        <f>CU11-O11</f>
        <v/>
      </c>
      <c r="CW11" s="325" t="n"/>
    </row>
    <row r="12" ht="19.9" customFormat="1" customHeight="1" s="68">
      <c r="A12" s="120" t="n"/>
      <c r="B12" s="65" t="n">
        <v>10031292940</v>
      </c>
      <c r="C12" s="120" t="inlineStr">
        <is>
          <t>Granja Vitta</t>
        </is>
      </c>
      <c r="D12" s="121" t="inlineStr">
        <is>
          <t>Ap de Goiânia</t>
        </is>
      </c>
      <c r="E12" s="121" t="inlineStr">
        <is>
          <t>Novembro/2022</t>
        </is>
      </c>
      <c r="F12" s="122" t="n">
        <v>17000</v>
      </c>
      <c r="G12" s="320" t="n">
        <v>0.46</v>
      </c>
      <c r="H12" s="124">
        <f>F12*G12</f>
        <v/>
      </c>
      <c r="I12" s="121" t="inlineStr">
        <is>
          <t>Agosto/2023</t>
        </is>
      </c>
      <c r="J12" s="125" t="inlineStr">
        <is>
          <t>1 Growatt de 110kW</t>
        </is>
      </c>
      <c r="K12" s="65" t="inlineStr">
        <is>
          <t>266 de 550W</t>
        </is>
      </c>
      <c r="L12" s="121" t="n"/>
      <c r="M12" s="126" t="inlineStr">
        <is>
          <t>Janeiro/2024</t>
        </is>
      </c>
      <c r="N12" s="145" t="inlineStr">
        <is>
          <t>01/01/2024 a 01/02/2024</t>
        </is>
      </c>
      <c r="O12" s="331" t="n">
        <v>367.87</v>
      </c>
      <c r="P12" s="331">
        <f>(R12*AA12)+CV12</f>
        <v/>
      </c>
      <c r="Q12" s="331" t="n">
        <v>0</v>
      </c>
      <c r="R12" s="147" t="n">
        <v>90</v>
      </c>
      <c r="S12" s="331" t="n">
        <v>222.82</v>
      </c>
      <c r="T12" s="331" t="n">
        <v>0</v>
      </c>
      <c r="U12" s="331" t="n"/>
      <c r="V12" s="331" t="n"/>
      <c r="W12" s="331" t="n"/>
      <c r="X12" s="331" t="n"/>
      <c r="Y12" s="331" t="n"/>
      <c r="Z12" s="331" t="n">
        <v>-2133.81</v>
      </c>
      <c r="AA12" s="321" t="n">
        <v>31.5928634452343</v>
      </c>
      <c r="AB12" s="332" t="n">
        <v>2.496337</v>
      </c>
      <c r="AC12" s="332" t="n">
        <v>0.458898</v>
      </c>
      <c r="AD12" s="143" t="n">
        <v>56.91</v>
      </c>
      <c r="AE12" s="173" t="n">
        <v>15470.9</v>
      </c>
      <c r="AF12" s="143" t="n">
        <v>1.24</v>
      </c>
      <c r="AG12" s="143">
        <f>SUM(AD12:AF12)</f>
        <v/>
      </c>
      <c r="AH12" s="143">
        <f>(AD12*AB12)+((AE12+AF12)*AC12)</f>
        <v/>
      </c>
      <c r="AI12" s="143">
        <f>AD12-AS12</f>
        <v/>
      </c>
      <c r="AJ12" s="143">
        <f>AE12-AT12</f>
        <v/>
      </c>
      <c r="AK12" s="143">
        <f>AF12-AU12</f>
        <v/>
      </c>
      <c r="AL12" s="143">
        <f>SUM(AI12:AK12)</f>
        <v/>
      </c>
      <c r="AM12" s="329">
        <f>(AI12*AB12)+((AJ12+AK12)*AC12)</f>
        <v/>
      </c>
      <c r="AN12" s="143" t="n">
        <v>912.15</v>
      </c>
      <c r="AO12" s="143" t="n">
        <v>4502.4</v>
      </c>
      <c r="AP12" s="143" t="n">
        <v>1583.4</v>
      </c>
      <c r="AQ12" s="143">
        <f>SUM(AN12:AP12)</f>
        <v/>
      </c>
      <c r="AR12" s="331">
        <f>(AN12*AB12)+((AO12+AP12)*AC12)</f>
        <v/>
      </c>
      <c r="AS12" s="143" t="n">
        <v>2.81</v>
      </c>
      <c r="AT12" s="143" t="n">
        <v>4435.2</v>
      </c>
      <c r="AU12" s="143" t="n">
        <v>0</v>
      </c>
      <c r="AV12" s="143">
        <f>SUM(AS12:AU12)</f>
        <v/>
      </c>
      <c r="AW12" s="143" t="n">
        <v>2.81</v>
      </c>
      <c r="AX12" s="143" t="n">
        <v>4402.4</v>
      </c>
      <c r="AY12" s="143" t="n">
        <v>32.8</v>
      </c>
      <c r="AZ12" s="143">
        <f>SUM(AW12:AY12)</f>
        <v/>
      </c>
      <c r="BA12" s="333">
        <f>(AW12*AB12)+((AX12+AY12)*AC12)</f>
        <v/>
      </c>
      <c r="BB12" s="141">
        <f>AN12-AW12</f>
        <v/>
      </c>
      <c r="BC12" s="141">
        <f>BB12*0.890199</f>
        <v/>
      </c>
      <c r="BD12" s="141">
        <f>AO12-AX12</f>
        <v/>
      </c>
      <c r="BE12" s="141">
        <f>BD12*0.890199</f>
        <v/>
      </c>
      <c r="BF12" s="141">
        <f>AP12-AY12</f>
        <v/>
      </c>
      <c r="BG12" s="141">
        <f>BF12*0.890199</f>
        <v/>
      </c>
      <c r="BH12" s="141">
        <f>BB12+BD12+BF12</f>
        <v/>
      </c>
      <c r="BI12" s="141">
        <f>BC12+BE12+BG12</f>
        <v/>
      </c>
      <c r="BJ12" s="324">
        <f>BL12+BS12+BV12+BY12+CB12+CE12+CH12+CK12</f>
        <v/>
      </c>
      <c r="BK12" s="333">
        <f>((AI12+AW12)*AB12)+((AJ12+AK12+AX12+AY12)*AC12)</f>
        <v/>
      </c>
      <c r="BL12" s="132">
        <f>BM12+BN12+AL12</f>
        <v/>
      </c>
      <c r="BM12" s="133">
        <f>AW12</f>
        <v/>
      </c>
      <c r="BN12" s="133">
        <f>AX12+AY12</f>
        <v/>
      </c>
      <c r="BO12" s="334" t="n"/>
      <c r="BP12" s="334" t="n"/>
      <c r="BQ12" s="334" t="n"/>
      <c r="BR12" s="334" t="n"/>
      <c r="BS12" s="143" t="n"/>
      <c r="BT12" s="334" t="n"/>
      <c r="BU12" s="320" t="n"/>
      <c r="BV12" s="124" t="n"/>
      <c r="BW12" s="320" t="n"/>
      <c r="BX12" s="320" t="n"/>
      <c r="BY12" s="124" t="n"/>
      <c r="BZ12" s="320" t="n"/>
      <c r="CA12" s="124" t="n"/>
      <c r="CB12" s="124" t="n"/>
      <c r="CC12" s="320" t="n"/>
      <c r="CD12" s="143" t="n"/>
      <c r="CE12" s="143" t="n"/>
      <c r="CF12" s="334" t="n"/>
      <c r="CG12" s="143" t="n"/>
      <c r="CH12" s="143" t="n"/>
      <c r="CI12" s="334" t="n"/>
      <c r="CJ12" s="143" t="n"/>
      <c r="CK12" s="143" t="n"/>
      <c r="CL12" s="334" t="n"/>
      <c r="CM12" s="143" t="n"/>
      <c r="CN12" s="320">
        <f>BK12+BU12+BX12+CA12+CD12+CG12+CJ12+CM12</f>
        <v/>
      </c>
      <c r="CO12" s="138">
        <f>(AV12-(AZ12+BV12+BY12+CB12+CE12+CH12+CK12+BS12)+CO11)</f>
        <v/>
      </c>
      <c r="CP12" s="320">
        <f>CR12*G12</f>
        <v/>
      </c>
      <c r="CQ12" s="124">
        <f>AL12+AZ12+AQ12</f>
        <v/>
      </c>
      <c r="CR12" s="138" t="n">
        <v>0</v>
      </c>
      <c r="CS12" s="228" t="inlineStr">
        <is>
          <t>A usina apresentou uma eficiência de 91% no mês de janeiro de 2024.</t>
        </is>
      </c>
      <c r="CT12" s="135" t="n"/>
      <c r="CU12" s="177">
        <f>(BB12* AB12)+(BD12* AC12)+(BF12* AC12)+(S12+T12+U12+V12+W12+X12+Y12+Z12)</f>
        <v/>
      </c>
      <c r="CV12" s="177">
        <f>CU12-O12</f>
        <v/>
      </c>
      <c r="CW12" s="325" t="n"/>
    </row>
    <row r="13" ht="19.9" customFormat="1" customHeight="1" s="68">
      <c r="A13" s="233" t="n"/>
      <c r="B13" s="66" t="n">
        <v>10031292940</v>
      </c>
      <c r="C13" s="233" t="inlineStr">
        <is>
          <t>Granja Vitta</t>
        </is>
      </c>
      <c r="D13" s="140" t="inlineStr">
        <is>
          <t>Ap de Goiânia</t>
        </is>
      </c>
      <c r="E13" s="140" t="inlineStr">
        <is>
          <t>Novembro/2022</t>
        </is>
      </c>
      <c r="F13" s="141" t="n">
        <v>17000</v>
      </c>
      <c r="G13" s="326" t="n">
        <v>0.46</v>
      </c>
      <c r="H13" s="173">
        <f>F13*G13</f>
        <v/>
      </c>
      <c r="I13" s="140" t="inlineStr">
        <is>
          <t>Agosto/2023</t>
        </is>
      </c>
      <c r="J13" s="144" t="inlineStr">
        <is>
          <t>1 Growatt de 110kW</t>
        </is>
      </c>
      <c r="K13" s="66" t="inlineStr">
        <is>
          <t>266 de 550W</t>
        </is>
      </c>
      <c r="L13" s="121" t="n"/>
      <c r="M13" s="126" t="inlineStr">
        <is>
          <t>Fevereiro/2024</t>
        </is>
      </c>
      <c r="N13" s="145" t="inlineStr">
        <is>
          <t>01/02/2024 a 01/03/2024</t>
        </is>
      </c>
      <c r="O13" s="331" t="n">
        <v>4805.8</v>
      </c>
      <c r="P13" s="331">
        <f>(R13*AA13)+CV13</f>
        <v/>
      </c>
      <c r="Q13" s="331" t="n">
        <v>0</v>
      </c>
      <c r="R13" s="147" t="n">
        <v>93.23999999999999</v>
      </c>
      <c r="S13" s="331" t="n">
        <v>92.45999999999999</v>
      </c>
      <c r="T13" s="331" t="n">
        <v>0</v>
      </c>
      <c r="U13" s="331" t="n"/>
      <c r="V13" s="331" t="n"/>
      <c r="W13" s="331" t="n"/>
      <c r="X13" s="331" t="n"/>
      <c r="Y13" s="331" t="n"/>
      <c r="Z13" s="331" t="n"/>
      <c r="AA13" s="321" t="n">
        <v>32.235129</v>
      </c>
      <c r="AB13" s="332" t="n">
        <v>2.547084</v>
      </c>
      <c r="AC13" s="332" t="n">
        <v>0.468225</v>
      </c>
      <c r="AD13" s="143" t="n">
        <v>24.81</v>
      </c>
      <c r="AE13" s="173" t="n">
        <v>10662.48</v>
      </c>
      <c r="AF13" s="143" t="n">
        <v>0</v>
      </c>
      <c r="AG13" s="143">
        <f>SUM(AD13:AF13)</f>
        <v/>
      </c>
      <c r="AH13" s="143">
        <f>(AD13*AB13)+((AE13+AF13)*AC13)</f>
        <v/>
      </c>
      <c r="AI13" s="143">
        <f>AD13-AS13</f>
        <v/>
      </c>
      <c r="AJ13" s="143">
        <f>AE13-AT13</f>
        <v/>
      </c>
      <c r="AK13" s="143">
        <f>AF13-AU13</f>
        <v/>
      </c>
      <c r="AL13" s="143">
        <f>SUM(AI13:AK13)</f>
        <v/>
      </c>
      <c r="AM13" s="329">
        <f>(AI13*AB13)+((AJ13+AK13)*AC13)</f>
        <v/>
      </c>
      <c r="AN13" s="143" t="n">
        <v>871.62</v>
      </c>
      <c r="AO13" s="143" t="n">
        <v>5397</v>
      </c>
      <c r="AP13" s="143" t="n">
        <v>1356.6</v>
      </c>
      <c r="AQ13" s="143">
        <f>SUM(AN13:AP13)</f>
        <v/>
      </c>
      <c r="AR13" s="331">
        <f>(AN13*AB13)+((AO13+AP13)*AC13)</f>
        <v/>
      </c>
      <c r="AS13" s="143" t="n">
        <v>0</v>
      </c>
      <c r="AT13" s="143" t="n">
        <v>2436</v>
      </c>
      <c r="AU13" s="143" t="n">
        <v>0</v>
      </c>
      <c r="AV13" s="143">
        <f>SUM(AS13:AU13)</f>
        <v/>
      </c>
      <c r="AW13" s="143" t="n">
        <v>0</v>
      </c>
      <c r="AX13" s="143" t="n">
        <v>2436</v>
      </c>
      <c r="AY13" s="143" t="n">
        <v>0</v>
      </c>
      <c r="AZ13" s="143">
        <f>SUM(AW13:AY13)</f>
        <v/>
      </c>
      <c r="BA13" s="333">
        <f>(AW13*AB13)+((AX13+AY13)*AC13)</f>
        <v/>
      </c>
      <c r="BB13" s="141">
        <f>AN13-AW13</f>
        <v/>
      </c>
      <c r="BC13" s="141">
        <f>BB13*0.908296</f>
        <v/>
      </c>
      <c r="BD13" s="141">
        <f>AO13-AX13</f>
        <v/>
      </c>
      <c r="BE13" s="141">
        <f>BD13*0.908296</f>
        <v/>
      </c>
      <c r="BF13" s="141">
        <f>AP13-AY13</f>
        <v/>
      </c>
      <c r="BG13" s="141">
        <f>BF13*0.908296</f>
        <v/>
      </c>
      <c r="BH13" s="141">
        <f>BB13+BD13+BF13</f>
        <v/>
      </c>
      <c r="BI13" s="141">
        <f>BC13+BE13+BG13</f>
        <v/>
      </c>
      <c r="BJ13" s="324">
        <f>BL13+BS13+BV13+BY13+CB13+CE13+CH13+CK13</f>
        <v/>
      </c>
      <c r="BK13" s="333">
        <f>((AI13+AW13)*AB13)+((AJ13+AK13+AX13+AY13)*AC13)</f>
        <v/>
      </c>
      <c r="BL13" s="132">
        <f>BM13+BN13+AL13</f>
        <v/>
      </c>
      <c r="BM13" s="133">
        <f>AW13</f>
        <v/>
      </c>
      <c r="BN13" s="133">
        <f>AX13+AY13</f>
        <v/>
      </c>
      <c r="BO13" s="334" t="n"/>
      <c r="BP13" s="334" t="n"/>
      <c r="BQ13" s="334" t="n"/>
      <c r="BR13" s="334" t="n"/>
      <c r="BS13" s="143" t="n"/>
      <c r="BT13" s="334" t="n"/>
      <c r="BU13" s="320" t="n"/>
      <c r="BV13" s="124" t="n"/>
      <c r="BW13" s="320" t="n"/>
      <c r="BX13" s="320" t="n"/>
      <c r="BY13" s="124" t="n"/>
      <c r="BZ13" s="320" t="n"/>
      <c r="CA13" s="124" t="n"/>
      <c r="CB13" s="124" t="n"/>
      <c r="CC13" s="320" t="n"/>
      <c r="CD13" s="143" t="n"/>
      <c r="CE13" s="143" t="n"/>
      <c r="CF13" s="334" t="n"/>
      <c r="CG13" s="143" t="n"/>
      <c r="CH13" s="143" t="n"/>
      <c r="CI13" s="334" t="n"/>
      <c r="CJ13" s="143" t="n"/>
      <c r="CK13" s="143" t="n"/>
      <c r="CL13" s="334" t="n"/>
      <c r="CM13" s="143" t="n"/>
      <c r="CN13" s="320">
        <f>BK13+BU13+BX13+CA13+CD13+CG13+CJ13+CM13</f>
        <v/>
      </c>
      <c r="CO13" s="138">
        <f>(AV13-(AZ13+BV13+BY13+CB13+CE13+CH13+CK13+BS13)+CO12)</f>
        <v/>
      </c>
      <c r="CP13" s="320">
        <f>CR13*G13</f>
        <v/>
      </c>
      <c r="CQ13" s="124">
        <f>AL13+AZ13+AQ13</f>
        <v/>
      </c>
      <c r="CR13" s="138" t="n">
        <v>0</v>
      </c>
      <c r="CS13" s="249" t="inlineStr">
        <is>
      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3" s="135" t="n"/>
      <c r="CU13" s="177" t="n"/>
      <c r="CV13" s="177" t="n"/>
      <c r="CW13" s="325" t="n"/>
    </row>
    <row r="14" ht="19.9" customFormat="1" customHeight="1" s="67">
      <c r="A14" s="233" t="n"/>
      <c r="B14" s="66" t="n">
        <v>10032831143</v>
      </c>
      <c r="C14" s="233" t="inlineStr">
        <is>
          <t>VR Label</t>
        </is>
      </c>
      <c r="D14" s="140" t="inlineStr">
        <is>
          <t>Ap de Goiânia</t>
        </is>
      </c>
      <c r="E14" s="140" t="n"/>
      <c r="F14" s="141" t="n">
        <v>34560</v>
      </c>
      <c r="G14" s="326" t="n"/>
      <c r="H14" s="173">
        <f>F14*G14</f>
        <v/>
      </c>
      <c r="I14" s="121" t="inlineStr">
        <is>
          <t>Dezembro/2022</t>
        </is>
      </c>
      <c r="J14" s="125" t="inlineStr">
        <is>
          <t>2 de 100kW</t>
        </is>
      </c>
      <c r="K14" s="65" t="inlineStr">
        <is>
          <t>640 de 450W</t>
        </is>
      </c>
      <c r="L14" s="121" t="n">
        <v>45155</v>
      </c>
      <c r="M14" s="126" t="inlineStr">
        <is>
          <t>Dezembro/2022</t>
        </is>
      </c>
      <c r="N14" s="126" t="inlineStr">
        <is>
          <t>01/12/2022 a 01/01/2023</t>
        </is>
      </c>
      <c r="O14" s="321" t="n">
        <v>45894.9</v>
      </c>
      <c r="P14" s="321" t="n">
        <v>0</v>
      </c>
      <c r="Q14" s="321" t="n">
        <v>10251.06</v>
      </c>
      <c r="R14" s="207" t="n"/>
      <c r="S14" s="321" t="n">
        <v>2212.27</v>
      </c>
      <c r="T14" s="321" t="n">
        <v>0</v>
      </c>
      <c r="U14" s="321" t="n">
        <v>13.06</v>
      </c>
      <c r="V14" s="321" t="n">
        <v>0</v>
      </c>
      <c r="W14" s="321" t="n"/>
      <c r="X14" s="321" t="n"/>
      <c r="Y14" s="321" t="n"/>
      <c r="Z14" s="321" t="n"/>
      <c r="AA14" s="321" t="n"/>
      <c r="AB14" s="322" t="n">
        <v>2.3718</v>
      </c>
      <c r="AC14" s="322" t="n">
        <v>0.51156</v>
      </c>
      <c r="AD14" s="124" t="n">
        <v>0.1</v>
      </c>
      <c r="AE14" s="124" t="n">
        <v>24744.47</v>
      </c>
      <c r="AF14" s="124" t="n">
        <v>37.81</v>
      </c>
      <c r="AG14" s="124">
        <f>SUM(AD14:AF14)</f>
        <v/>
      </c>
      <c r="AH14" s="124">
        <f>(AD14*AB14)+((AE14+AF14)*AC14)</f>
        <v/>
      </c>
      <c r="AI14" s="124">
        <f>AD14-AS14</f>
        <v/>
      </c>
      <c r="AJ14" s="124">
        <f>AE14-AT14</f>
        <v/>
      </c>
      <c r="AK14" s="124">
        <f>AF14-AU14</f>
        <v/>
      </c>
      <c r="AL14" s="124">
        <f>SUM(AI14:AK14)</f>
        <v/>
      </c>
      <c r="AM14" s="323">
        <f>(AI14*AB14)+((AJ14+AK14)*AC14)</f>
        <v/>
      </c>
      <c r="AN14" s="124" t="n">
        <v>5656.35</v>
      </c>
      <c r="AO14" s="124" t="n">
        <v>40215</v>
      </c>
      <c r="AP14" s="124" t="n">
        <v>5092.5</v>
      </c>
      <c r="AQ14" s="124">
        <f>SUM(AN14:AP14)</f>
        <v/>
      </c>
      <c r="AR14" s="321">
        <f>(AN14*AB14)+((AO14+AP14)*AC14)</f>
        <v/>
      </c>
      <c r="AS14" s="124" t="n">
        <v>0.1</v>
      </c>
      <c r="AT14" s="124" t="n">
        <v>6205.5</v>
      </c>
      <c r="AU14" s="124" t="n">
        <v>0</v>
      </c>
      <c r="AV14" s="124">
        <f>SUM(AS14:AU14)</f>
        <v/>
      </c>
      <c r="AW14" s="124" t="n">
        <v>0.1</v>
      </c>
      <c r="AX14" s="124" t="n">
        <v>6205.5</v>
      </c>
      <c r="AY14" s="124" t="n">
        <v>0</v>
      </c>
      <c r="AZ14" s="124">
        <f>SUM(AW14:AY14)</f>
        <v/>
      </c>
      <c r="BA14" s="323">
        <f>(AW14*AB14)+((AX14+AY14)*AC14)</f>
        <v/>
      </c>
      <c r="BB14" s="122">
        <f>AN14-AW14</f>
        <v/>
      </c>
      <c r="BC14" s="122">
        <f>BB14*AB14</f>
        <v/>
      </c>
      <c r="BD14" s="122">
        <f>AO14-AX14</f>
        <v/>
      </c>
      <c r="BE14" s="122">
        <f>BD14*AC14</f>
        <v/>
      </c>
      <c r="BF14" s="122">
        <f>AP14-AY14</f>
        <v/>
      </c>
      <c r="BG14" s="122">
        <f>BF14*AC14</f>
        <v/>
      </c>
      <c r="BH14" s="122">
        <f>BB14+BD14+BF14</f>
        <v/>
      </c>
      <c r="BI14" s="122">
        <f>BC14+BE14+BG14</f>
        <v/>
      </c>
      <c r="BJ14" s="324">
        <f>BL14+BS14+BV14+BY14+CB14+CE14+CH14+CK14</f>
        <v/>
      </c>
      <c r="BK14" s="320">
        <f>((AI14+AW14)*AB14)+((AJ14+AK14+AX14+AY14)*AC14)</f>
        <v/>
      </c>
      <c r="BL14" s="132">
        <f>BM14+BN14+AL14</f>
        <v/>
      </c>
      <c r="BM14" s="124">
        <f>AW14</f>
        <v/>
      </c>
      <c r="BN14" s="124">
        <f>AX14+AY14</f>
        <v/>
      </c>
      <c r="BO14" s="320" t="n"/>
      <c r="BP14" s="320" t="n"/>
      <c r="BQ14" s="320" t="n">
        <v>0</v>
      </c>
      <c r="BR14" s="320" t="n"/>
      <c r="BS14" s="124" t="n">
        <v>0</v>
      </c>
      <c r="BT14" s="320" t="n"/>
      <c r="BU14" s="326" t="n">
        <v>0</v>
      </c>
      <c r="BV14" s="173" t="n">
        <v>0</v>
      </c>
      <c r="BW14" s="326" t="n"/>
      <c r="BX14" s="326" t="n">
        <v>0</v>
      </c>
      <c r="BY14" s="173" t="n"/>
      <c r="BZ14" s="326" t="n"/>
      <c r="CA14" s="173" t="n"/>
      <c r="CB14" s="173" t="n"/>
      <c r="CC14" s="326" t="n"/>
      <c r="CD14" s="124" t="n"/>
      <c r="CE14" s="124" t="n"/>
      <c r="CF14" s="320" t="n"/>
      <c r="CG14" s="124" t="n"/>
      <c r="CH14" s="124" t="n"/>
      <c r="CI14" s="320" t="n"/>
      <c r="CJ14" s="124" t="n"/>
      <c r="CK14" s="124" t="n"/>
      <c r="CL14" s="320" t="n"/>
      <c r="CM14" s="124" t="n"/>
      <c r="CN14" s="320">
        <f>BK14+BU14+BX14+CA14+CD14+CG14+CJ14+CM14</f>
        <v/>
      </c>
      <c r="CO14" s="152">
        <f>AV14-(AZ14+BS14+BV14+BY14)</f>
        <v/>
      </c>
      <c r="CP14" s="320">
        <f>CR14*G14</f>
        <v/>
      </c>
      <c r="CQ14" s="124">
        <f>AL14+AZ14+AQ14</f>
        <v/>
      </c>
      <c r="CR14" s="152" t="n"/>
      <c r="CS14" s="155" t="n"/>
      <c r="CT14" s="155" t="n"/>
      <c r="CU14" s="177" t="n"/>
      <c r="CV14" s="177" t="n"/>
      <c r="CW14" s="325" t="n"/>
    </row>
    <row r="15" ht="19.9" customFormat="1" customHeight="1" s="67">
      <c r="A15" s="120" t="n"/>
      <c r="B15" s="65" t="n">
        <v>10032831143</v>
      </c>
      <c r="C15" s="120" t="inlineStr">
        <is>
          <t>VR Label</t>
        </is>
      </c>
      <c r="D15" s="121" t="inlineStr">
        <is>
          <t>Ap de Goiânia</t>
        </is>
      </c>
      <c r="E15" s="121" t="n"/>
      <c r="F15" s="122" t="n">
        <v>34560</v>
      </c>
      <c r="G15" s="320" t="n"/>
      <c r="H15" s="124">
        <f>F15*G15</f>
        <v/>
      </c>
      <c r="I15" s="140" t="inlineStr">
        <is>
          <t>Dezembro/2022</t>
        </is>
      </c>
      <c r="J15" s="144" t="inlineStr">
        <is>
          <t>2 de 100kW</t>
        </is>
      </c>
      <c r="K15" s="66" t="inlineStr">
        <is>
          <t>640 de 450W</t>
        </is>
      </c>
      <c r="L15" s="140" t="n">
        <v>45155</v>
      </c>
      <c r="M15" s="145" t="inlineStr">
        <is>
          <t>Janeiro/2023</t>
        </is>
      </c>
      <c r="N15" s="145" t="inlineStr">
        <is>
          <t>01/01/2023 a 01/02/2023</t>
        </is>
      </c>
      <c r="O15" s="331" t="n">
        <v>34592.94</v>
      </c>
      <c r="P15" s="331" t="n">
        <v>0</v>
      </c>
      <c r="Q15" s="331" t="n">
        <v>10242.65</v>
      </c>
      <c r="R15" s="147" t="n"/>
      <c r="S15" s="331" t="n">
        <v>1804.71</v>
      </c>
      <c r="T15" s="331" t="n">
        <v>0</v>
      </c>
      <c r="U15" s="331" t="n">
        <v>13.06</v>
      </c>
      <c r="V15" s="331" t="n">
        <v>70.20999999999999</v>
      </c>
      <c r="W15" s="331" t="n"/>
      <c r="X15" s="331" t="n"/>
      <c r="Y15" s="331" t="n"/>
      <c r="Z15" s="331" t="n"/>
      <c r="AA15" s="331" t="n"/>
      <c r="AB15" s="332" t="n">
        <v>2.36985</v>
      </c>
      <c r="AC15" s="332" t="n">
        <v>0.51115</v>
      </c>
      <c r="AD15" s="143" t="n">
        <v>2.62</v>
      </c>
      <c r="AE15" s="173" t="n">
        <v>25097.57</v>
      </c>
      <c r="AF15" s="143" t="n">
        <v>78.81999999999999</v>
      </c>
      <c r="AG15" s="143">
        <f>SUM(AD15:AF15)</f>
        <v/>
      </c>
      <c r="AH15" s="143">
        <f>(AD15*AB15)+((AE15+AF15)*AC15)</f>
        <v/>
      </c>
      <c r="AI15" s="143">
        <f>AD15-AS15</f>
        <v/>
      </c>
      <c r="AJ15" s="143">
        <f>AE15-AT15</f>
        <v/>
      </c>
      <c r="AK15" s="143">
        <f>AF15-AU15</f>
        <v/>
      </c>
      <c r="AL15" s="173">
        <f>SUM(AI15:AK15)</f>
        <v/>
      </c>
      <c r="AM15" s="329">
        <f>(AI15*AB15)+((AJ15+AK15)*AC15)</f>
        <v/>
      </c>
      <c r="AN15" s="173" t="n">
        <v>3520.23</v>
      </c>
      <c r="AO15" s="173" t="n">
        <v>33390</v>
      </c>
      <c r="AP15" s="173" t="n">
        <v>1134</v>
      </c>
      <c r="AQ15" s="143">
        <f>SUM(AN15:AP15)</f>
        <v/>
      </c>
      <c r="AR15" s="331">
        <f>(AN15*AB15)+((AO15+AP15)*AC15)</f>
        <v/>
      </c>
      <c r="AS15" s="173" t="n">
        <v>2.62</v>
      </c>
      <c r="AT15" s="173" t="n">
        <v>6888</v>
      </c>
      <c r="AU15" s="173" t="n">
        <v>0</v>
      </c>
      <c r="AV15" s="173">
        <f>SUM(AS15:AU15)</f>
        <v/>
      </c>
      <c r="AW15" s="173" t="n">
        <v>2.62</v>
      </c>
      <c r="AX15" s="173" t="n">
        <v>6888</v>
      </c>
      <c r="AY15" s="173" t="n">
        <v>0</v>
      </c>
      <c r="AZ15" s="173">
        <f>SUM(AW15:AY15)</f>
        <v/>
      </c>
      <c r="BA15" s="335">
        <f>(AW15*AB15)+((AX15+AY15)*AC15)</f>
        <v/>
      </c>
      <c r="BB15" s="122">
        <f>AN15-AW15</f>
        <v/>
      </c>
      <c r="BC15" s="141">
        <f>BB15*AB15</f>
        <v/>
      </c>
      <c r="BD15" s="122">
        <f>AO15-AX15</f>
        <v/>
      </c>
      <c r="BE15" s="122">
        <f>BD15*AC15</f>
        <v/>
      </c>
      <c r="BF15" s="122">
        <f>AP15-AY15</f>
        <v/>
      </c>
      <c r="BG15" s="122">
        <f>BF15*AC15</f>
        <v/>
      </c>
      <c r="BH15" s="122">
        <f>BB15+BD15+BF15</f>
        <v/>
      </c>
      <c r="BI15" s="122">
        <f>BC15+BE15+BG15</f>
        <v/>
      </c>
      <c r="BJ15" s="324">
        <f>BL15+BS15+BV15+BY15+CB15+CE15+CH15+CK15</f>
        <v/>
      </c>
      <c r="BK15" s="320">
        <f>((AI15+AW15)*AB15)+((AJ15+AK15+AX15+AY15)*AC15)</f>
        <v/>
      </c>
      <c r="BL15" s="132">
        <f>BM15+BN15+AL15</f>
        <v/>
      </c>
      <c r="BM15" s="133">
        <f>AW15</f>
        <v/>
      </c>
      <c r="BN15" s="133">
        <f>AX15+AY15</f>
        <v/>
      </c>
      <c r="BO15" s="320" t="n"/>
      <c r="BP15" s="320" t="n"/>
      <c r="BQ15" s="320" t="n">
        <v>0</v>
      </c>
      <c r="BR15" s="320" t="n"/>
      <c r="BS15" s="124" t="n">
        <v>0</v>
      </c>
      <c r="BT15" s="320" t="n"/>
      <c r="BU15" s="320" t="n">
        <v>0</v>
      </c>
      <c r="BV15" s="124" t="n">
        <v>0</v>
      </c>
      <c r="BW15" s="320" t="n"/>
      <c r="BX15" s="320" t="n">
        <v>0</v>
      </c>
      <c r="BY15" s="124" t="n"/>
      <c r="BZ15" s="320" t="n"/>
      <c r="CA15" s="124" t="n"/>
      <c r="CB15" s="124" t="n"/>
      <c r="CC15" s="320" t="n"/>
      <c r="CD15" s="124" t="n"/>
      <c r="CE15" s="124" t="n"/>
      <c r="CF15" s="320" t="n"/>
      <c r="CG15" s="124" t="n"/>
      <c r="CH15" s="124" t="n"/>
      <c r="CI15" s="320" t="n"/>
      <c r="CJ15" s="124" t="n"/>
      <c r="CK15" s="124" t="n"/>
      <c r="CL15" s="320" t="n"/>
      <c r="CM15" s="124" t="n"/>
      <c r="CN15" s="320">
        <f>BK15+BU15+BX15+CA15+CD15+CG15+CJ15+CM15</f>
        <v/>
      </c>
      <c r="CO15" s="152">
        <f>(AV15-(AZ15+BV15+BY15+CB15+CE15+CH15+CK15+BS15)+CO14)</f>
        <v/>
      </c>
      <c r="CP15" s="320">
        <f>CR15*G15</f>
        <v/>
      </c>
      <c r="CQ15" s="124">
        <f>AL15+AZ15+AQ15</f>
        <v/>
      </c>
      <c r="CR15" s="152" t="n"/>
      <c r="CS15" s="155" t="n"/>
      <c r="CT15" s="155" t="n"/>
      <c r="CU15" s="177" t="n"/>
      <c r="CV15" s="177" t="n"/>
      <c r="CW15" s="325" t="n"/>
    </row>
    <row r="16" ht="19.9" customFormat="1" customHeight="1" s="67">
      <c r="A16" s="233" t="n"/>
      <c r="B16" s="66" t="n">
        <v>10032831143</v>
      </c>
      <c r="C16" s="233" t="inlineStr">
        <is>
          <t>VR Label</t>
        </is>
      </c>
      <c r="D16" s="140" t="inlineStr">
        <is>
          <t>Ap de Goiânia</t>
        </is>
      </c>
      <c r="E16" s="140" t="n"/>
      <c r="F16" s="141" t="n">
        <v>34560</v>
      </c>
      <c r="G16" s="326" t="n"/>
      <c r="H16" s="173">
        <f>F16*G16</f>
        <v/>
      </c>
      <c r="I16" s="121" t="inlineStr">
        <is>
          <t>Dezembro/2022</t>
        </is>
      </c>
      <c r="J16" s="125" t="inlineStr">
        <is>
          <t>2 de 100kW</t>
        </is>
      </c>
      <c r="K16" s="65" t="inlineStr">
        <is>
          <t>640 de 450W</t>
        </is>
      </c>
      <c r="L16" s="121" t="n">
        <v>45155</v>
      </c>
      <c r="M16" s="126" t="inlineStr">
        <is>
          <t>Fevereiro/2023</t>
        </is>
      </c>
      <c r="N16" s="126" t="inlineStr">
        <is>
          <t>01/02/2023 a 01/03/2023</t>
        </is>
      </c>
      <c r="O16" s="321" t="n">
        <v>49661.47</v>
      </c>
      <c r="P16" s="321" t="n">
        <v>0</v>
      </c>
      <c r="Q16" s="321" t="n">
        <v>10657.18</v>
      </c>
      <c r="R16" s="207" t="n"/>
      <c r="S16" s="321" t="n">
        <v>1740.62</v>
      </c>
      <c r="T16" s="321" t="n">
        <v>0</v>
      </c>
      <c r="U16" s="321" t="n">
        <v>13.06</v>
      </c>
      <c r="V16" s="321" t="n">
        <v>0</v>
      </c>
      <c r="W16" s="321" t="n"/>
      <c r="X16" s="321" t="n"/>
      <c r="Y16" s="321" t="n"/>
      <c r="Z16" s="321" t="n">
        <v>73.84999999999999</v>
      </c>
      <c r="AA16" s="321" t="n"/>
      <c r="AB16" s="322" t="n">
        <v>2.46576</v>
      </c>
      <c r="AC16" s="322" t="n">
        <v>0.53185</v>
      </c>
      <c r="AD16" s="124" t="n">
        <v>0</v>
      </c>
      <c r="AE16" s="124" t="n">
        <v>13601.58</v>
      </c>
      <c r="AF16" s="124" t="n">
        <v>31.98</v>
      </c>
      <c r="AG16" s="124">
        <f>SUM(AD16:AF16)</f>
        <v/>
      </c>
      <c r="AH16" s="124">
        <f>(AD16*AB16)+((AE16+AF16)*AC16)</f>
        <v/>
      </c>
      <c r="AI16" s="124">
        <f>AD16-AS16</f>
        <v/>
      </c>
      <c r="AJ16" s="124">
        <f>AE16-AT16</f>
        <v/>
      </c>
      <c r="AK16" s="124">
        <f>AF16-AU16</f>
        <v/>
      </c>
      <c r="AL16" s="124">
        <f>SUM(AI16:AK16)</f>
        <v/>
      </c>
      <c r="AM16" s="323">
        <f>(AI16*AB16)+((AJ16+AK16)*AC16)</f>
        <v/>
      </c>
      <c r="AN16" s="124" t="n">
        <v>8226.219999999999</v>
      </c>
      <c r="AO16" s="124" t="n">
        <v>35521.5</v>
      </c>
      <c r="AP16" s="124" t="n">
        <v>1228.5</v>
      </c>
      <c r="AQ16" s="124">
        <f>SUM(AN16:AP16)</f>
        <v/>
      </c>
      <c r="AR16" s="321">
        <f>(AN16*AB16)+((AO16+AP16)*AC16)</f>
        <v/>
      </c>
      <c r="AS16" s="124" t="n">
        <v>0</v>
      </c>
      <c r="AT16" s="124" t="n">
        <v>4987.5</v>
      </c>
      <c r="AU16" s="124" t="n">
        <v>0</v>
      </c>
      <c r="AV16" s="215">
        <f>SUM(AS16:AU16)</f>
        <v/>
      </c>
      <c r="AW16" s="124" t="n">
        <v>0</v>
      </c>
      <c r="AX16" s="124" t="n">
        <v>4987.5</v>
      </c>
      <c r="AY16" s="124" t="n">
        <v>0</v>
      </c>
      <c r="AZ16" s="124">
        <f>SUM(AW16:AY16)</f>
        <v/>
      </c>
      <c r="BA16" s="323">
        <f>(AW16*AB16)+((AX16+AY16)*AC16)</f>
        <v/>
      </c>
      <c r="BB16" s="122">
        <f>AN16-AW16</f>
        <v/>
      </c>
      <c r="BC16" s="122">
        <f>BB16*AB16</f>
        <v/>
      </c>
      <c r="BD16" s="122">
        <f>AO16-AX16</f>
        <v/>
      </c>
      <c r="BE16" s="122">
        <f>BD16*AC16</f>
        <v/>
      </c>
      <c r="BF16" s="122">
        <f>AP16-AY16</f>
        <v/>
      </c>
      <c r="BG16" s="122">
        <f>BF16*AC16</f>
        <v/>
      </c>
      <c r="BH16" s="122">
        <f>BB16+BD16+BF16</f>
        <v/>
      </c>
      <c r="BI16" s="122">
        <f>BC16+BE16+BG16</f>
        <v/>
      </c>
      <c r="BJ16" s="324">
        <f>BL16+BS16+BV16+BY16+CB16+CE16+CH16+CK16</f>
        <v/>
      </c>
      <c r="BK16" s="320">
        <f>((AI16+AW16)*AB16)+((AJ16+AK16+AX16+AY16)*AC16)</f>
        <v/>
      </c>
      <c r="BL16" s="132">
        <f>BM16+BN16+AL16</f>
        <v/>
      </c>
      <c r="BM16" s="124">
        <f>AW16</f>
        <v/>
      </c>
      <c r="BN16" s="124">
        <f>AX16+AY16</f>
        <v/>
      </c>
      <c r="BO16" s="320" t="n"/>
      <c r="BP16" s="320" t="n"/>
      <c r="BQ16" s="320" t="n">
        <v>0</v>
      </c>
      <c r="BR16" s="320" t="n"/>
      <c r="BS16" s="124" t="n">
        <v>0</v>
      </c>
      <c r="BT16" s="320" t="n"/>
      <c r="BU16" s="326" t="n">
        <v>0</v>
      </c>
      <c r="BV16" s="173" t="n">
        <v>0</v>
      </c>
      <c r="BW16" s="326" t="n"/>
      <c r="BX16" s="326" t="n">
        <v>0</v>
      </c>
      <c r="BY16" s="173" t="n"/>
      <c r="BZ16" s="326" t="n"/>
      <c r="CA16" s="173" t="n"/>
      <c r="CB16" s="173" t="n"/>
      <c r="CC16" s="326" t="n"/>
      <c r="CD16" s="124" t="n"/>
      <c r="CE16" s="124" t="n"/>
      <c r="CF16" s="320" t="n"/>
      <c r="CG16" s="124" t="n"/>
      <c r="CH16" s="124" t="n"/>
      <c r="CI16" s="320" t="n"/>
      <c r="CJ16" s="124" t="n"/>
      <c r="CK16" s="124" t="n"/>
      <c r="CL16" s="320" t="n"/>
      <c r="CM16" s="124" t="n"/>
      <c r="CN16" s="320">
        <f>BK16+BU16+BX16+CA16+CD16+CG16+CJ16+CM16</f>
        <v/>
      </c>
      <c r="CO16" s="152">
        <f>(AV16-(AZ16+BV16+BY16+CB16+CE16+CH16+CK16+BS16)+CO15)</f>
        <v/>
      </c>
      <c r="CP16" s="320">
        <f>CR16*G16</f>
        <v/>
      </c>
      <c r="CQ16" s="124">
        <f>AL16+AZ16+AQ16</f>
        <v/>
      </c>
      <c r="CR16" s="152" t="n"/>
      <c r="CS16" s="155" t="n"/>
      <c r="CT16" s="155" t="n"/>
      <c r="CU16" s="177" t="n"/>
      <c r="CV16" s="177" t="n"/>
      <c r="CW16" s="325" t="n"/>
    </row>
    <row r="17" ht="19.9" customFormat="1" customHeight="1" s="67">
      <c r="A17" s="120" t="n"/>
      <c r="B17" s="65" t="n">
        <v>10032831143</v>
      </c>
      <c r="C17" s="120" t="inlineStr">
        <is>
          <t>VR Label</t>
        </is>
      </c>
      <c r="D17" s="121" t="inlineStr">
        <is>
          <t>Ap de Goiânia</t>
        </is>
      </c>
      <c r="E17" s="121" t="n"/>
      <c r="F17" s="122" t="n">
        <v>34560</v>
      </c>
      <c r="G17" s="320" t="n"/>
      <c r="H17" s="124">
        <f>F17*G17</f>
        <v/>
      </c>
      <c r="I17" s="140" t="inlineStr">
        <is>
          <t>Dezembro/2022</t>
        </is>
      </c>
      <c r="J17" s="144" t="inlineStr">
        <is>
          <t>2 de 100kW</t>
        </is>
      </c>
      <c r="K17" s="66" t="inlineStr">
        <is>
          <t>640 de 450W</t>
        </is>
      </c>
      <c r="L17" s="140" t="n">
        <v>45155</v>
      </c>
      <c r="M17" s="145" t="inlineStr">
        <is>
          <t>Março/2023</t>
        </is>
      </c>
      <c r="N17" s="145" t="inlineStr">
        <is>
          <t>01/03/2023 a 01/04/2023</t>
        </is>
      </c>
      <c r="O17" s="331" t="n">
        <v>56234.04</v>
      </c>
      <c r="P17" s="331" t="n">
        <v>0</v>
      </c>
      <c r="Q17" s="331" t="n">
        <v>10592.77</v>
      </c>
      <c r="R17" s="147" t="n"/>
      <c r="S17" s="331" t="n">
        <v>1244.32</v>
      </c>
      <c r="T17" s="331" t="n">
        <v>0</v>
      </c>
      <c r="U17" s="331" t="n">
        <v>13.06</v>
      </c>
      <c r="V17" s="331" t="n">
        <v>0</v>
      </c>
      <c r="W17" s="331" t="n"/>
      <c r="X17" s="331" t="n"/>
      <c r="Y17" s="331" t="n"/>
      <c r="Z17" s="331" t="n"/>
      <c r="AA17" s="331" t="n"/>
      <c r="AB17" s="332" t="n">
        <v>2.45086</v>
      </c>
      <c r="AC17" s="332" t="n">
        <v>0.52863</v>
      </c>
      <c r="AD17" s="143" t="n">
        <v>0</v>
      </c>
      <c r="AE17" s="173" t="n">
        <v>21715.51</v>
      </c>
      <c r="AF17" s="143" t="n">
        <v>12.09</v>
      </c>
      <c r="AG17" s="143">
        <f>SUM(AD17:AF17)</f>
        <v/>
      </c>
      <c r="AH17" s="143">
        <f>(AD17*AB17)+((AE17+AF17)*AC17)</f>
        <v/>
      </c>
      <c r="AI17" s="143">
        <f>AD17-AS17</f>
        <v/>
      </c>
      <c r="AJ17" s="143">
        <f>AE17-AT17</f>
        <v/>
      </c>
      <c r="AK17" s="143">
        <f>AF17-AU17</f>
        <v/>
      </c>
      <c r="AL17" s="208">
        <f>SUM(AI17:AK17)</f>
        <v/>
      </c>
      <c r="AM17" s="336">
        <f>(AI17*AB17)+((AJ17+AK17)*AC17)</f>
        <v/>
      </c>
      <c r="AN17" s="208" t="n">
        <v>8873.860000000001</v>
      </c>
      <c r="AO17" s="208" t="n">
        <v>43732.5</v>
      </c>
      <c r="AP17" s="208" t="n">
        <v>3948</v>
      </c>
      <c r="AQ17" s="143">
        <f>SUM(AN17:AP17)</f>
        <v/>
      </c>
      <c r="AR17" s="331">
        <f>(AN17*AB17)+((AO17+AP17)*AC17)</f>
        <v/>
      </c>
      <c r="AS17" s="208" t="n">
        <v>0</v>
      </c>
      <c r="AT17" s="208" t="n">
        <v>4861.5</v>
      </c>
      <c r="AU17" s="208" t="n">
        <v>0</v>
      </c>
      <c r="AV17" s="216">
        <f>SUM(AS17:AU17)</f>
        <v/>
      </c>
      <c r="AW17" s="208" t="n">
        <v>0</v>
      </c>
      <c r="AX17" s="208" t="n">
        <v>4861.5</v>
      </c>
      <c r="AY17" s="208" t="n">
        <v>0</v>
      </c>
      <c r="AZ17" s="208">
        <f>SUM(AW17:AY17)</f>
        <v/>
      </c>
      <c r="BA17" s="335">
        <f>(AW17*AB17)+((AX17+AY17)*AC17)</f>
        <v/>
      </c>
      <c r="BB17" s="122">
        <f>AN17-AW17</f>
        <v/>
      </c>
      <c r="BC17" s="141">
        <f>BB17*AB17</f>
        <v/>
      </c>
      <c r="BD17" s="122">
        <f>AO17-AX17</f>
        <v/>
      </c>
      <c r="BE17" s="122">
        <f>BD17*AC17</f>
        <v/>
      </c>
      <c r="BF17" s="122">
        <f>AP17-AY17</f>
        <v/>
      </c>
      <c r="BG17" s="122">
        <f>BF17*AC17</f>
        <v/>
      </c>
      <c r="BH17" s="122">
        <f>BB17+BD17+BF17</f>
        <v/>
      </c>
      <c r="BI17" s="122">
        <f>BC17+BE17+BG17</f>
        <v/>
      </c>
      <c r="BJ17" s="324">
        <f>BL17+BS17+BV17+BY17+CB17+CE17+CH17+CK17</f>
        <v/>
      </c>
      <c r="BK17" s="320">
        <f>((AI17+AW17)*AB17)+((AJ17+AK17+AX17+AY17)*AC17)</f>
        <v/>
      </c>
      <c r="BL17" s="132">
        <f>BM17+BN17+AL17</f>
        <v/>
      </c>
      <c r="BM17" s="133">
        <f>AW17</f>
        <v/>
      </c>
      <c r="BN17" s="133">
        <f>AX17+AY17</f>
        <v/>
      </c>
      <c r="BO17" s="320" t="n"/>
      <c r="BP17" s="320" t="n"/>
      <c r="BQ17" s="320" t="n">
        <v>0</v>
      </c>
      <c r="BR17" s="320" t="n"/>
      <c r="BS17" s="124" t="n">
        <v>0</v>
      </c>
      <c r="BT17" s="320" t="n"/>
      <c r="BU17" s="320" t="n">
        <v>0</v>
      </c>
      <c r="BV17" s="124" t="n">
        <v>0</v>
      </c>
      <c r="BW17" s="320" t="n"/>
      <c r="BX17" s="320" t="n">
        <v>0</v>
      </c>
      <c r="BY17" s="124" t="n"/>
      <c r="BZ17" s="320" t="n"/>
      <c r="CA17" s="124" t="n"/>
      <c r="CB17" s="124" t="n"/>
      <c r="CC17" s="320" t="n"/>
      <c r="CD17" s="124" t="n"/>
      <c r="CE17" s="124" t="n"/>
      <c r="CF17" s="320" t="n"/>
      <c r="CG17" s="124" t="n"/>
      <c r="CH17" s="124" t="n"/>
      <c r="CI17" s="320" t="n"/>
      <c r="CJ17" s="124" t="n"/>
      <c r="CK17" s="124" t="n"/>
      <c r="CL17" s="320" t="n"/>
      <c r="CM17" s="124" t="n"/>
      <c r="CN17" s="320">
        <f>BK17+BU17+BX17+CA17+CD17+CG17+CJ17+CM17</f>
        <v/>
      </c>
      <c r="CO17" s="152">
        <f>(AV17-(AZ17+BV17+BY17+CB17+CE17+CH17+CK17+BS17)+CO16)</f>
        <v/>
      </c>
      <c r="CP17" s="320">
        <f>CR17*G17</f>
        <v/>
      </c>
      <c r="CQ17" s="124">
        <f>AL17+AZ17+AQ17</f>
        <v/>
      </c>
      <c r="CR17" s="152" t="n"/>
      <c r="CS17" s="155" t="n"/>
      <c r="CT17" s="155" t="n"/>
      <c r="CU17" s="177" t="n"/>
      <c r="CV17" s="177" t="n"/>
      <c r="CW17" s="325" t="n"/>
    </row>
    <row r="18" ht="19.9" customFormat="1" customHeight="1" s="67">
      <c r="A18" s="233" t="n"/>
      <c r="B18" s="66" t="n">
        <v>10032831143</v>
      </c>
      <c r="C18" s="233" t="inlineStr">
        <is>
          <t>VR Label</t>
        </is>
      </c>
      <c r="D18" s="140" t="inlineStr">
        <is>
          <t>Ap de Goiânia</t>
        </is>
      </c>
      <c r="E18" s="140" t="n"/>
      <c r="F18" s="141" t="n">
        <v>34560</v>
      </c>
      <c r="G18" s="326" t="n"/>
      <c r="H18" s="173">
        <f>F18*G18</f>
        <v/>
      </c>
      <c r="I18" s="121" t="inlineStr">
        <is>
          <t>Dezembro/2022</t>
        </is>
      </c>
      <c r="J18" s="125" t="inlineStr">
        <is>
          <t>2 de 100kW</t>
        </is>
      </c>
      <c r="K18" s="65" t="inlineStr">
        <is>
          <t>640 de 450W</t>
        </is>
      </c>
      <c r="L18" s="121" t="n">
        <v>45155</v>
      </c>
      <c r="M18" s="126" t="inlineStr">
        <is>
          <t>Abril/2023</t>
        </is>
      </c>
      <c r="N18" s="126" t="inlineStr">
        <is>
          <t>01/04/2023 a 01/05/2023</t>
        </is>
      </c>
      <c r="O18" s="321" t="n">
        <v>56356.17</v>
      </c>
      <c r="P18" s="321" t="n">
        <v>0</v>
      </c>
      <c r="Q18" s="321" t="n">
        <v>10634.45</v>
      </c>
      <c r="R18" s="207" t="n"/>
      <c r="S18" s="321" t="n">
        <v>1215.24</v>
      </c>
      <c r="T18" s="321" t="n">
        <v>0</v>
      </c>
      <c r="U18" s="321" t="n">
        <v>13.06</v>
      </c>
      <c r="V18" s="321" t="n">
        <v>0</v>
      </c>
      <c r="W18" s="321" t="n"/>
      <c r="X18" s="321" t="n"/>
      <c r="Y18" s="321" t="n"/>
      <c r="Z18" s="321" t="n"/>
      <c r="AA18" s="321" t="n"/>
      <c r="AB18" s="322" t="n">
        <v>2.460523</v>
      </c>
      <c r="AC18" s="322" t="n">
        <v>0.53073</v>
      </c>
      <c r="AD18" s="124" t="n">
        <v>0</v>
      </c>
      <c r="AE18" s="124" t="n">
        <v>19887.18</v>
      </c>
      <c r="AF18" s="124" t="n">
        <v>0.08</v>
      </c>
      <c r="AG18" s="124">
        <f>SUM(AD18:AF18)</f>
        <v/>
      </c>
      <c r="AH18" s="124">
        <f>(AD18*AB18)+((AE18+AF18)*AC18)</f>
        <v/>
      </c>
      <c r="AI18" s="124">
        <f>AD18-AS18</f>
        <v/>
      </c>
      <c r="AJ18" s="124">
        <f>AE18-AT18</f>
        <v/>
      </c>
      <c r="AK18" s="124">
        <f>AF18-AU18</f>
        <v/>
      </c>
      <c r="AL18" s="124">
        <f>SUM(AI18:AK18)</f>
        <v/>
      </c>
      <c r="AM18" s="323">
        <f>(AI18*AB18)+((AJ18+AK18)*AC18)</f>
        <v/>
      </c>
      <c r="AN18" s="124" t="n">
        <v>9571.690000000001</v>
      </c>
      <c r="AO18" s="124" t="n">
        <v>42640.5</v>
      </c>
      <c r="AP18" s="124" t="n">
        <v>1354.5</v>
      </c>
      <c r="AQ18" s="124">
        <f>SUM(AN18:AP18)</f>
        <v/>
      </c>
      <c r="AR18" s="321">
        <f>(AN18*AB18)+((AO18+AP18)*AC18)</f>
        <v/>
      </c>
      <c r="AS18" s="124" t="n">
        <v>0</v>
      </c>
      <c r="AT18" s="124" t="n">
        <v>4536</v>
      </c>
      <c r="AU18" s="124" t="n">
        <v>0</v>
      </c>
      <c r="AV18" s="215">
        <f>SUM(AS18:AU18)</f>
        <v/>
      </c>
      <c r="AW18" s="124" t="n">
        <v>0</v>
      </c>
      <c r="AX18" s="124" t="n">
        <v>4536</v>
      </c>
      <c r="AY18" s="124" t="n">
        <v>0</v>
      </c>
      <c r="AZ18" s="124">
        <f>SUM(AW18:AY18)</f>
        <v/>
      </c>
      <c r="BA18" s="323">
        <f>(AW18*AB18)+((AX18+AY18)*AC18)</f>
        <v/>
      </c>
      <c r="BB18" s="122">
        <f>AN18-AW18</f>
        <v/>
      </c>
      <c r="BC18" s="122">
        <f>BB18*AB18</f>
        <v/>
      </c>
      <c r="BD18" s="122">
        <f>AO18-AX18</f>
        <v/>
      </c>
      <c r="BE18" s="122">
        <f>BD18*AC18</f>
        <v/>
      </c>
      <c r="BF18" s="122">
        <f>AP18-AY18</f>
        <v/>
      </c>
      <c r="BG18" s="122">
        <f>BF18*AC18</f>
        <v/>
      </c>
      <c r="BH18" s="122">
        <f>BB18+BD18+BF18</f>
        <v/>
      </c>
      <c r="BI18" s="122">
        <f>BC18+BE18+BG18</f>
        <v/>
      </c>
      <c r="BJ18" s="324">
        <f>BL18+BS18+BV18+BY18+CB18+CE18+CH18+CK18</f>
        <v/>
      </c>
      <c r="BK18" s="320">
        <f>((AI18+AW18)*AB18)+((AJ18+AK18+AX18+AY18)*AC18)</f>
        <v/>
      </c>
      <c r="BL18" s="132">
        <f>BM18+BN18+AL18</f>
        <v/>
      </c>
      <c r="BM18" s="124">
        <f>AW18</f>
        <v/>
      </c>
      <c r="BN18" s="124">
        <f>AX18+AY18</f>
        <v/>
      </c>
      <c r="BO18" s="320" t="n"/>
      <c r="BP18" s="320" t="n"/>
      <c r="BQ18" s="320" t="n">
        <v>0</v>
      </c>
      <c r="BR18" s="320" t="n"/>
      <c r="BS18" s="124" t="n">
        <v>0</v>
      </c>
      <c r="BT18" s="320" t="n"/>
      <c r="BU18" s="326" t="n">
        <v>0</v>
      </c>
      <c r="BV18" s="173" t="n">
        <v>0</v>
      </c>
      <c r="BW18" s="326" t="n"/>
      <c r="BX18" s="326" t="n">
        <v>0</v>
      </c>
      <c r="BY18" s="173" t="n"/>
      <c r="BZ18" s="326" t="n"/>
      <c r="CA18" s="173" t="n"/>
      <c r="CB18" s="173" t="n"/>
      <c r="CC18" s="326" t="n"/>
      <c r="CD18" s="124" t="n"/>
      <c r="CE18" s="124" t="n"/>
      <c r="CF18" s="320" t="n"/>
      <c r="CG18" s="124" t="n"/>
      <c r="CH18" s="124" t="n"/>
      <c r="CI18" s="320" t="n"/>
      <c r="CJ18" s="124" t="n"/>
      <c r="CK18" s="124" t="n"/>
      <c r="CL18" s="320" t="n"/>
      <c r="CM18" s="124" t="n"/>
      <c r="CN18" s="320">
        <f>BK18+BU18+BX18+CA18+CD18+CG18+CJ18+CM18</f>
        <v/>
      </c>
      <c r="CO18" s="152">
        <f>(AV18-(AZ18+BV18+BY18+CB18+CE18+CH18+CK18+BS18)+CO17)</f>
        <v/>
      </c>
      <c r="CP18" s="320">
        <f>CR18*G18</f>
        <v/>
      </c>
      <c r="CQ18" s="124">
        <f>AL18+AZ18+AQ18</f>
        <v/>
      </c>
      <c r="CR18" s="152" t="n"/>
      <c r="CS18" s="155" t="n"/>
      <c r="CT18" s="155" t="n"/>
      <c r="CU18" s="177" t="n"/>
      <c r="CV18" s="177" t="n"/>
      <c r="CW18" s="325" t="n"/>
    </row>
    <row r="19" ht="19.9" customFormat="1" customHeight="1" s="67">
      <c r="A19" s="120" t="n"/>
      <c r="B19" s="65" t="n">
        <v>10032831143</v>
      </c>
      <c r="C19" s="120" t="inlineStr">
        <is>
          <t>VR Label</t>
        </is>
      </c>
      <c r="D19" s="121" t="inlineStr">
        <is>
          <t>Ap de Goiânia</t>
        </is>
      </c>
      <c r="E19" s="121" t="n"/>
      <c r="F19" s="122" t="n">
        <v>34560</v>
      </c>
      <c r="G19" s="320" t="n"/>
      <c r="H19" s="124">
        <f>F19*G19</f>
        <v/>
      </c>
      <c r="I19" s="140" t="inlineStr">
        <is>
          <t>Dezembro/2022</t>
        </is>
      </c>
      <c r="J19" s="144" t="inlineStr">
        <is>
          <t>2 de 100kW</t>
        </is>
      </c>
      <c r="K19" s="66" t="inlineStr">
        <is>
          <t>640 de 450W</t>
        </is>
      </c>
      <c r="L19" s="140" t="n">
        <v>45155</v>
      </c>
      <c r="M19" s="145" t="inlineStr">
        <is>
          <t>Maio/2023</t>
        </is>
      </c>
      <c r="N19" s="145" t="inlineStr">
        <is>
          <t>01/05/2023 a 01/06/2023</t>
        </is>
      </c>
      <c r="O19" s="331" t="n">
        <v>52467.47</v>
      </c>
      <c r="P19" s="331" t="n">
        <v>0</v>
      </c>
      <c r="Q19" s="331" t="n">
        <v>10148.83</v>
      </c>
      <c r="R19" s="147" t="n"/>
      <c r="S19" s="331" t="n">
        <v>1196.56</v>
      </c>
      <c r="T19" s="331" t="n">
        <v>0</v>
      </c>
      <c r="U19" s="331" t="n">
        <v>13.06</v>
      </c>
      <c r="V19" s="331" t="n">
        <v>0</v>
      </c>
      <c r="W19" s="331" t="n"/>
      <c r="X19" s="331" t="n"/>
      <c r="Y19" s="331" t="n"/>
      <c r="Z19" s="331" t="n"/>
      <c r="AA19" s="331" t="n"/>
      <c r="AB19" s="332" t="n">
        <v>2.348162</v>
      </c>
      <c r="AC19" s="332" t="n">
        <v>0.506494</v>
      </c>
      <c r="AD19" s="143" t="n">
        <v>0</v>
      </c>
      <c r="AE19" s="173" t="n">
        <v>22279.55</v>
      </c>
      <c r="AF19" s="143" t="n">
        <v>0</v>
      </c>
      <c r="AG19" s="143">
        <f>SUM(AD19:AF19)</f>
        <v/>
      </c>
      <c r="AH19" s="143">
        <f>(AD19*AB19)+((AE19+AF19)*AC19)</f>
        <v/>
      </c>
      <c r="AI19" s="143">
        <f>AD19-AS19</f>
        <v/>
      </c>
      <c r="AJ19" s="143">
        <f>AE19-AT19</f>
        <v/>
      </c>
      <c r="AK19" s="143">
        <f>AF19-AU19</f>
        <v/>
      </c>
      <c r="AL19" s="208">
        <f>SUM(AI19:AK19)</f>
        <v/>
      </c>
      <c r="AM19" s="336">
        <f>(AI19*AB19)+((AJ19+AK19)*AC19)</f>
        <v/>
      </c>
      <c r="AN19" s="208" t="n">
        <v>9190.440000000001</v>
      </c>
      <c r="AO19" s="208" t="n">
        <v>41947.5</v>
      </c>
      <c r="AP19" s="208" t="n">
        <v>2121</v>
      </c>
      <c r="AQ19" s="143">
        <f>SUM(AN19:AP19)</f>
        <v/>
      </c>
      <c r="AR19" s="331">
        <f>(AN19*AB19)+((AO19+AP19)*AC19)</f>
        <v/>
      </c>
      <c r="AS19" s="208" t="n">
        <v>0</v>
      </c>
      <c r="AT19" s="208" t="n">
        <v>5512.5</v>
      </c>
      <c r="AU19" s="208" t="n">
        <v>0</v>
      </c>
      <c r="AV19" s="216">
        <f>SUM(AS19:AU19)</f>
        <v/>
      </c>
      <c r="AW19" s="208" t="n">
        <v>0</v>
      </c>
      <c r="AX19" s="208" t="n">
        <v>5512.5</v>
      </c>
      <c r="AY19" s="208" t="n">
        <v>0</v>
      </c>
      <c r="AZ19" s="208">
        <f>SUM(AW19:AY19)</f>
        <v/>
      </c>
      <c r="BA19" s="335">
        <f>(AW19*AB19)+((AX19+AY19)*AC19)</f>
        <v/>
      </c>
      <c r="BB19" s="122">
        <f>AN19-AW19</f>
        <v/>
      </c>
      <c r="BC19" s="141">
        <f>BB19*AB19</f>
        <v/>
      </c>
      <c r="BD19" s="122">
        <f>AO19-AX19</f>
        <v/>
      </c>
      <c r="BE19" s="122">
        <f>BD19*AC19</f>
        <v/>
      </c>
      <c r="BF19" s="122">
        <f>AP19-AY19</f>
        <v/>
      </c>
      <c r="BG19" s="122">
        <f>BF19*AC19</f>
        <v/>
      </c>
      <c r="BH19" s="122">
        <f>BB19+BD19+BF19</f>
        <v/>
      </c>
      <c r="BI19" s="122">
        <f>BC19+BE19+BG19</f>
        <v/>
      </c>
      <c r="BJ19" s="324">
        <f>BL19+BS19+BV19+BY19+CB19+CE19+CH19+CK19</f>
        <v/>
      </c>
      <c r="BK19" s="320">
        <f>((AI19+AW19)*AB19)+((AJ19+AK19+AX19+AY19)*AC19)</f>
        <v/>
      </c>
      <c r="BL19" s="132">
        <f>BM19+BN19+AL19</f>
        <v/>
      </c>
      <c r="BM19" s="133">
        <f>AW19</f>
        <v/>
      </c>
      <c r="BN19" s="133">
        <f>AX19+AY19</f>
        <v/>
      </c>
      <c r="BO19" s="320" t="n"/>
      <c r="BP19" s="320" t="n"/>
      <c r="BQ19" s="320" t="n">
        <v>0</v>
      </c>
      <c r="BR19" s="320" t="n"/>
      <c r="BS19" s="124" t="n">
        <v>0</v>
      </c>
      <c r="BT19" s="320" t="n"/>
      <c r="BU19" s="320" t="n">
        <v>0</v>
      </c>
      <c r="BV19" s="124" t="n">
        <v>0</v>
      </c>
      <c r="BW19" s="320" t="n"/>
      <c r="BX19" s="320" t="n">
        <v>0</v>
      </c>
      <c r="BY19" s="124" t="n"/>
      <c r="BZ19" s="320" t="n"/>
      <c r="CA19" s="124" t="n"/>
      <c r="CB19" s="124" t="n"/>
      <c r="CC19" s="320" t="n"/>
      <c r="CD19" s="124" t="n"/>
      <c r="CE19" s="124" t="n"/>
      <c r="CF19" s="320" t="n"/>
      <c r="CG19" s="124" t="n"/>
      <c r="CH19" s="124" t="n"/>
      <c r="CI19" s="320" t="n"/>
      <c r="CJ19" s="124" t="n"/>
      <c r="CK19" s="124" t="n"/>
      <c r="CL19" s="320" t="n"/>
      <c r="CM19" s="124" t="n"/>
      <c r="CN19" s="320">
        <f>BK19+BU19+BX19+CA19+CD19+CG19+CJ19+CM19</f>
        <v/>
      </c>
      <c r="CO19" s="152">
        <f>(AV19-(AZ19+BV19+BY19+CB19+CE19+CH19+CK19+BS19)+CO18)</f>
        <v/>
      </c>
      <c r="CP19" s="320">
        <f>CR19*G19</f>
        <v/>
      </c>
      <c r="CQ19" s="124">
        <f>AL19+AZ19+AQ19</f>
        <v/>
      </c>
      <c r="CR19" s="152" t="n"/>
      <c r="CS19" s="155" t="n"/>
      <c r="CT19" s="155" t="n"/>
      <c r="CU19" s="177" t="n"/>
      <c r="CV19" s="177" t="n"/>
      <c r="CW19" s="325" t="n"/>
    </row>
    <row r="20" ht="19.9" customFormat="1" customHeight="1" s="67">
      <c r="A20" s="233" t="n"/>
      <c r="B20" s="66" t="n">
        <v>10032831143</v>
      </c>
      <c r="C20" s="233" t="inlineStr">
        <is>
          <t>VR Label</t>
        </is>
      </c>
      <c r="D20" s="140" t="inlineStr">
        <is>
          <t>Ap de Goiânia</t>
        </is>
      </c>
      <c r="E20" s="140" t="n"/>
      <c r="F20" s="141" t="n">
        <v>34560</v>
      </c>
      <c r="G20" s="326" t="n"/>
      <c r="H20" s="173">
        <f>F20*G20</f>
        <v/>
      </c>
      <c r="I20" s="121" t="inlineStr">
        <is>
          <t>Dezembro/2022</t>
        </is>
      </c>
      <c r="J20" s="125" t="inlineStr">
        <is>
          <t>2 de 100kW</t>
        </is>
      </c>
      <c r="K20" s="65" t="inlineStr">
        <is>
          <t>640 de 450W</t>
        </is>
      </c>
      <c r="L20" s="121" t="n">
        <v>45155</v>
      </c>
      <c r="M20" s="126" t="inlineStr">
        <is>
          <t>Junho/2023</t>
        </is>
      </c>
      <c r="N20" s="126" t="inlineStr">
        <is>
          <t>01/06/2023 a 01/07/2023</t>
        </is>
      </c>
      <c r="O20" s="321" t="n">
        <v>35572.7</v>
      </c>
      <c r="P20" s="321" t="n">
        <v>0</v>
      </c>
      <c r="Q20" s="321" t="n">
        <v>10278.22</v>
      </c>
      <c r="R20" s="207" t="n"/>
      <c r="S20" s="321" t="n">
        <v>555.37</v>
      </c>
      <c r="T20" s="321" t="n">
        <v>0</v>
      </c>
      <c r="U20" s="321" t="n">
        <v>13.06</v>
      </c>
      <c r="V20" s="321" t="n">
        <v>0</v>
      </c>
      <c r="W20" s="321" t="n"/>
      <c r="X20" s="321" t="n"/>
      <c r="Y20" s="321" t="n"/>
      <c r="Z20" s="321" t="n">
        <v>-22043.72</v>
      </c>
      <c r="AA20" s="321" t="n"/>
      <c r="AB20" s="322" t="n">
        <v>2.378099</v>
      </c>
      <c r="AC20" s="322" t="n">
        <v>0.512951</v>
      </c>
      <c r="AD20" s="124" t="n">
        <v>0</v>
      </c>
      <c r="AE20" s="124" t="n">
        <v>22129.85</v>
      </c>
      <c r="AF20" s="124" t="n">
        <v>0</v>
      </c>
      <c r="AG20" s="124">
        <f>SUM(AD20:AF20)</f>
        <v/>
      </c>
      <c r="AH20" s="124">
        <f>(AD20*AB20)+((AE20+AF20)*AC20)</f>
        <v/>
      </c>
      <c r="AI20" s="124">
        <f>AD20-AS20</f>
        <v/>
      </c>
      <c r="AJ20" s="124">
        <f>AE20-AT20</f>
        <v/>
      </c>
      <c r="AK20" s="124">
        <f>AF20-AU20</f>
        <v/>
      </c>
      <c r="AL20" s="124">
        <f>SUM(AI20:AK20)</f>
        <v/>
      </c>
      <c r="AM20" s="323">
        <f>(AI20*AB20)+((AJ20+AK20)*AC20)</f>
        <v/>
      </c>
      <c r="AN20" s="124" t="n">
        <v>10156.86</v>
      </c>
      <c r="AO20" s="124" t="n">
        <v>45549</v>
      </c>
      <c r="AP20" s="124" t="n">
        <v>2625</v>
      </c>
      <c r="AQ20" s="124">
        <f>SUM(AN20:AP20)</f>
        <v/>
      </c>
      <c r="AR20" s="321">
        <f>(AN20*AB20)+((AO20+AP20)*AC20)</f>
        <v/>
      </c>
      <c r="AS20" s="124" t="n">
        <v>0</v>
      </c>
      <c r="AT20" s="124" t="n">
        <v>4084.5</v>
      </c>
      <c r="AU20" s="124" t="n">
        <v>0</v>
      </c>
      <c r="AV20" s="215">
        <f>SUM(AS20:AU20)</f>
        <v/>
      </c>
      <c r="AW20" s="124" t="n">
        <v>0</v>
      </c>
      <c r="AX20" s="124" t="n">
        <v>4084.5</v>
      </c>
      <c r="AY20" s="124" t="n">
        <v>0</v>
      </c>
      <c r="AZ20" s="124">
        <f>SUM(AW20:AY20)</f>
        <v/>
      </c>
      <c r="BA20" s="323">
        <f>(AW20*AB20)+((AX20+AY20)*AC20)</f>
        <v/>
      </c>
      <c r="BB20" s="122">
        <f>AN20-AW20</f>
        <v/>
      </c>
      <c r="BC20" s="122">
        <f>BB20*AB20</f>
        <v/>
      </c>
      <c r="BD20" s="122">
        <f>AO20-AX20</f>
        <v/>
      </c>
      <c r="BE20" s="122">
        <f>BD20*AC20</f>
        <v/>
      </c>
      <c r="BF20" s="122">
        <f>AP20-AY20</f>
        <v/>
      </c>
      <c r="BG20" s="122">
        <f>BF20*AC20</f>
        <v/>
      </c>
      <c r="BH20" s="122">
        <f>BB20+BD20+BF20</f>
        <v/>
      </c>
      <c r="BI20" s="122">
        <f>BC20+BE20+BG20</f>
        <v/>
      </c>
      <c r="BJ20" s="324">
        <f>BL20+BS20+BV20+BY20+CB20+CE20+CH20+CK20</f>
        <v/>
      </c>
      <c r="BK20" s="320">
        <f>((AI20+AW20)*AB20)+((AJ20+AK20+AX20+AY20)*AC20)</f>
        <v/>
      </c>
      <c r="BL20" s="132">
        <f>BM20+BN20+AL20</f>
        <v/>
      </c>
      <c r="BM20" s="124">
        <f>AW20</f>
        <v/>
      </c>
      <c r="BN20" s="124">
        <f>AX20+AY20</f>
        <v/>
      </c>
      <c r="BO20" s="320" t="n"/>
      <c r="BP20" s="320" t="n"/>
      <c r="BQ20" s="320" t="n">
        <v>0</v>
      </c>
      <c r="BR20" s="320" t="n"/>
      <c r="BS20" s="124" t="n">
        <v>0</v>
      </c>
      <c r="BT20" s="320" t="n"/>
      <c r="BU20" s="326" t="n">
        <v>0</v>
      </c>
      <c r="BV20" s="173" t="n">
        <v>0</v>
      </c>
      <c r="BW20" s="326" t="n"/>
      <c r="BX20" s="326" t="n">
        <v>0</v>
      </c>
      <c r="BY20" s="173" t="n"/>
      <c r="BZ20" s="326" t="n"/>
      <c r="CA20" s="173" t="n"/>
      <c r="CB20" s="173" t="n"/>
      <c r="CC20" s="326" t="n"/>
      <c r="CD20" s="124" t="n"/>
      <c r="CE20" s="124" t="n"/>
      <c r="CF20" s="320" t="n"/>
      <c r="CG20" s="124" t="n"/>
      <c r="CH20" s="124" t="n"/>
      <c r="CI20" s="320" t="n"/>
      <c r="CJ20" s="124" t="n"/>
      <c r="CK20" s="124" t="n"/>
      <c r="CL20" s="320" t="n"/>
      <c r="CM20" s="124" t="n"/>
      <c r="CN20" s="320">
        <f>BK20+BU20+BX20+CA20+CD20+CG20+CJ20+CM20</f>
        <v/>
      </c>
      <c r="CO20" s="152">
        <f>(AV20-(AZ20+BV20+BY20+CB20+CE20+CH20+CK20+BS20)+CO19)</f>
        <v/>
      </c>
      <c r="CP20" s="320">
        <f>CR20*G20</f>
        <v/>
      </c>
      <c r="CQ20" s="124">
        <f>AL20+AZ20+AQ20</f>
        <v/>
      </c>
      <c r="CR20" s="152" t="n"/>
      <c r="CS20" s="155" t="n"/>
      <c r="CT20" s="155" t="n"/>
      <c r="CU20" s="177" t="n"/>
      <c r="CV20" s="177" t="n"/>
      <c r="CW20" s="325" t="n"/>
    </row>
    <row r="21" ht="19.9" customFormat="1" customHeight="1" s="67">
      <c r="A21" s="120" t="n"/>
      <c r="B21" s="65" t="n">
        <v>10032831143</v>
      </c>
      <c r="C21" s="120" t="inlineStr">
        <is>
          <t>VR Label</t>
        </is>
      </c>
      <c r="D21" s="121" t="inlineStr">
        <is>
          <t>Ap de Goiânia</t>
        </is>
      </c>
      <c r="E21" s="121" t="n"/>
      <c r="F21" s="122" t="n">
        <v>34560</v>
      </c>
      <c r="G21" s="320" t="n"/>
      <c r="H21" s="124">
        <f>F21*G21</f>
        <v/>
      </c>
      <c r="I21" s="140" t="inlineStr">
        <is>
          <t>Dezembro/2022</t>
        </is>
      </c>
      <c r="J21" s="144" t="inlineStr">
        <is>
          <t>2 de 100kW</t>
        </is>
      </c>
      <c r="K21" s="66" t="inlineStr">
        <is>
          <t>640 de 450W</t>
        </is>
      </c>
      <c r="L21" s="140" t="n">
        <v>45155</v>
      </c>
      <c r="M21" s="145" t="inlineStr">
        <is>
          <t>Julho/2023</t>
        </is>
      </c>
      <c r="N21" s="145" t="inlineStr">
        <is>
          <t>01/07/2023 a 01/08/2023</t>
        </is>
      </c>
      <c r="O21" s="331" t="n">
        <v>64637.15</v>
      </c>
      <c r="P21" s="331" t="n">
        <v>0</v>
      </c>
      <c r="Q21" s="331" t="n">
        <v>14439.68</v>
      </c>
      <c r="R21" s="147" t="n"/>
      <c r="S21" s="331" t="n">
        <v>469.62</v>
      </c>
      <c r="T21" s="331" t="n">
        <v>0</v>
      </c>
      <c r="U21" s="331" t="n">
        <v>13.06</v>
      </c>
      <c r="V21" s="331" t="n">
        <v>0</v>
      </c>
      <c r="W21" s="331" t="n"/>
      <c r="X21" s="331" t="n"/>
      <c r="Y21" s="331" t="n"/>
      <c r="Z21" s="331" t="n"/>
      <c r="AA21" s="331" t="n"/>
      <c r="AB21" s="332" t="n">
        <v>2.405483</v>
      </c>
      <c r="AC21" s="332" t="n">
        <v>0.518858</v>
      </c>
      <c r="AD21" s="143" t="n">
        <v>0</v>
      </c>
      <c r="AE21" s="173" t="n">
        <v>24443.33</v>
      </c>
      <c r="AF21" s="143" t="n">
        <v>0</v>
      </c>
      <c r="AG21" s="143">
        <f>SUM(AD21:AF21)</f>
        <v/>
      </c>
      <c r="AH21" s="143">
        <f>(AD21*AB21)+((AE21+AF21)*AC21)</f>
        <v/>
      </c>
      <c r="AI21" s="143">
        <f>AD21-AS21</f>
        <v/>
      </c>
      <c r="AJ21" s="143">
        <f>AE21-AT21</f>
        <v/>
      </c>
      <c r="AK21" s="143">
        <f>AF21-AU21</f>
        <v/>
      </c>
      <c r="AL21" s="208">
        <f>SUM(AI21:AK21)</f>
        <v/>
      </c>
      <c r="AM21" s="336">
        <f>(AI21*AB21)+((AJ21+AK21)*AC21)</f>
        <v/>
      </c>
      <c r="AN21" s="208" t="n">
        <v>10339.66</v>
      </c>
      <c r="AO21" s="208" t="n">
        <v>48541.5</v>
      </c>
      <c r="AP21" s="208" t="n">
        <v>4546.5</v>
      </c>
      <c r="AQ21" s="143">
        <f>SUM(AN21:AP21)</f>
        <v/>
      </c>
      <c r="AR21" s="331">
        <f>(AN21*AB21)+((AO21+AP21)*AC21)</f>
        <v/>
      </c>
      <c r="AS21" s="208" t="n">
        <v>0</v>
      </c>
      <c r="AT21" s="208" t="n">
        <v>5208</v>
      </c>
      <c r="AU21" s="208" t="n">
        <v>0</v>
      </c>
      <c r="AV21" s="216">
        <f>SUM(AS21:AU21)</f>
        <v/>
      </c>
      <c r="AW21" s="208" t="n">
        <v>0</v>
      </c>
      <c r="AX21" s="208" t="n">
        <v>5208</v>
      </c>
      <c r="AY21" s="208" t="n">
        <v>0</v>
      </c>
      <c r="AZ21" s="208">
        <f>SUM(AW21:AY21)</f>
        <v/>
      </c>
      <c r="BA21" s="335">
        <f>(AW21*AB21)+((AX21+AY21)*AC21)</f>
        <v/>
      </c>
      <c r="BB21" s="122">
        <f>AN21-AW21</f>
        <v/>
      </c>
      <c r="BC21" s="141">
        <f>BB21*AB21</f>
        <v/>
      </c>
      <c r="BD21" s="122">
        <f>AO21-AX21</f>
        <v/>
      </c>
      <c r="BE21" s="122">
        <f>BD21*AC21</f>
        <v/>
      </c>
      <c r="BF21" s="122">
        <f>AP21-AY21</f>
        <v/>
      </c>
      <c r="BG21" s="122">
        <f>BF21*AC21</f>
        <v/>
      </c>
      <c r="BH21" s="122">
        <f>BB21+BD21+BF21</f>
        <v/>
      </c>
      <c r="BI21" s="122">
        <f>BC21+BE21+BG21</f>
        <v/>
      </c>
      <c r="BJ21" s="324">
        <f>BL21+BS21+BV21+BY21+CB21+CE21+CH21+CK21</f>
        <v/>
      </c>
      <c r="BK21" s="320">
        <f>((AI21+AW21)*AB21)+((AJ21+AK21+AX21+AY21)*AC21)</f>
        <v/>
      </c>
      <c r="BL21" s="132">
        <f>BM21+BN21+AL21</f>
        <v/>
      </c>
      <c r="BM21" s="133">
        <f>AW21</f>
        <v/>
      </c>
      <c r="BN21" s="133">
        <f>AX21+AY21</f>
        <v/>
      </c>
      <c r="BO21" s="320" t="n"/>
      <c r="BP21" s="320" t="n"/>
      <c r="BQ21" s="320" t="n">
        <v>0</v>
      </c>
      <c r="BR21" s="320" t="n"/>
      <c r="BS21" s="124" t="n">
        <v>0</v>
      </c>
      <c r="BT21" s="320" t="n"/>
      <c r="BU21" s="320" t="n">
        <v>0</v>
      </c>
      <c r="BV21" s="124" t="n">
        <v>0</v>
      </c>
      <c r="BW21" s="320" t="n"/>
      <c r="BX21" s="320" t="n">
        <v>0</v>
      </c>
      <c r="BY21" s="124" t="n"/>
      <c r="BZ21" s="320" t="n"/>
      <c r="CA21" s="124" t="n"/>
      <c r="CB21" s="124" t="n"/>
      <c r="CC21" s="320" t="n"/>
      <c r="CD21" s="124" t="n"/>
      <c r="CE21" s="124" t="n"/>
      <c r="CF21" s="320" t="n"/>
      <c r="CG21" s="124" t="n"/>
      <c r="CH21" s="124" t="n"/>
      <c r="CI21" s="320" t="n"/>
      <c r="CJ21" s="124" t="n"/>
      <c r="CK21" s="124" t="n"/>
      <c r="CL21" s="320" t="n"/>
      <c r="CM21" s="124" t="n"/>
      <c r="CN21" s="320">
        <f>BK21+BU21+BX21+CA21+CD21+CG21+CJ21+CM21</f>
        <v/>
      </c>
      <c r="CO21" s="152">
        <f>(AV21-(AZ21+BV21+BY21+CB21+CE21+CH21+CK21+BS21)+CO20)</f>
        <v/>
      </c>
      <c r="CP21" s="320">
        <f>CR21*G21</f>
        <v/>
      </c>
      <c r="CQ21" s="124">
        <f>AL21+AZ21+AQ21</f>
        <v/>
      </c>
      <c r="CR21" s="152" t="n"/>
      <c r="CS21" s="155" t="n"/>
      <c r="CT21" s="155" t="n"/>
      <c r="CU21" s="177" t="n"/>
      <c r="CV21" s="177" t="n"/>
      <c r="CW21" s="325" t="n"/>
    </row>
    <row r="22" ht="19.9" customFormat="1" customHeight="1" s="67">
      <c r="A22" s="233" t="n"/>
      <c r="B22" s="66" t="n">
        <v>10032831143</v>
      </c>
      <c r="C22" s="233" t="inlineStr">
        <is>
          <t>VR Label</t>
        </is>
      </c>
      <c r="D22" s="140" t="inlineStr">
        <is>
          <t>Ap de Goiânia</t>
        </is>
      </c>
      <c r="E22" s="140" t="n"/>
      <c r="F22" s="141" t="n">
        <v>34560</v>
      </c>
      <c r="G22" s="326" t="n"/>
      <c r="H22" s="173">
        <f>F22*G22</f>
        <v/>
      </c>
      <c r="I22" s="121" t="inlineStr">
        <is>
          <t>Dezembro/2022</t>
        </is>
      </c>
      <c r="J22" s="125" t="inlineStr">
        <is>
          <t>2 de 100kW</t>
        </is>
      </c>
      <c r="K22" s="65" t="inlineStr">
        <is>
          <t>640 de 450W</t>
        </is>
      </c>
      <c r="L22" s="121" t="n">
        <v>45155</v>
      </c>
      <c r="M22" s="126" t="inlineStr">
        <is>
          <t>Agosto/2023</t>
        </is>
      </c>
      <c r="N22" s="126" t="inlineStr">
        <is>
          <t>01/08/2023 a 01/09/2023</t>
        </is>
      </c>
      <c r="O22" s="321" t="n">
        <v>69555.85000000001</v>
      </c>
      <c r="P22" s="321" t="n">
        <v>0</v>
      </c>
      <c r="Q22" s="321" t="n">
        <v>14053.74</v>
      </c>
      <c r="R22" s="207" t="n"/>
      <c r="S22" s="321" t="n">
        <v>450.5</v>
      </c>
      <c r="T22" s="321" t="n">
        <v>0</v>
      </c>
      <c r="U22" s="321" t="n">
        <v>13.06</v>
      </c>
      <c r="V22" s="321" t="n">
        <v>0</v>
      </c>
      <c r="W22" s="321" t="n"/>
      <c r="X22" s="321" t="n"/>
      <c r="Y22" s="321" t="n"/>
      <c r="Z22" s="321" t="n"/>
      <c r="AA22" s="321" t="n"/>
      <c r="AB22" s="322" t="n">
        <v>2.34119</v>
      </c>
      <c r="AC22" s="322" t="n">
        <v>0.504989</v>
      </c>
      <c r="AD22" s="124" t="n">
        <v>0</v>
      </c>
      <c r="AE22" s="124" t="n">
        <v>19983.78</v>
      </c>
      <c r="AF22" s="124" t="n">
        <v>0</v>
      </c>
      <c r="AG22" s="124">
        <f>SUM(AD22:AF22)</f>
        <v/>
      </c>
      <c r="AH22" s="124">
        <f>(AD22*AB22)+((AE22+AF22)*AC22)</f>
        <v/>
      </c>
      <c r="AI22" s="124">
        <f>AD22-AS22</f>
        <v/>
      </c>
      <c r="AJ22" s="124">
        <f>AE22-AT22</f>
        <v/>
      </c>
      <c r="AK22" s="124">
        <f>AF22-AU22</f>
        <v/>
      </c>
      <c r="AL22" s="124">
        <f>SUM(AI22:AK22)</f>
        <v/>
      </c>
      <c r="AM22" s="323">
        <f>(AI22*AB22)+((AJ22+AK22)*AC22)</f>
        <v/>
      </c>
      <c r="AN22" s="124" t="n">
        <v>11681.88</v>
      </c>
      <c r="AO22" s="124" t="n">
        <v>53917.5</v>
      </c>
      <c r="AP22" s="124" t="n">
        <v>3412.5</v>
      </c>
      <c r="AQ22" s="124">
        <f>SUM(AN22:AP22)</f>
        <v/>
      </c>
      <c r="AR22" s="321">
        <f>(AN22*AB22)+((AO22+AP22)*AC22)</f>
        <v/>
      </c>
      <c r="AS22" s="124" t="n">
        <v>0</v>
      </c>
      <c r="AT22" s="124" t="n">
        <v>2499</v>
      </c>
      <c r="AU22" s="124" t="n">
        <v>0</v>
      </c>
      <c r="AV22" s="215">
        <f>SUM(AS22:AU22)</f>
        <v/>
      </c>
      <c r="AW22" s="124" t="n">
        <v>0</v>
      </c>
      <c r="AX22" s="124" t="n">
        <v>2499</v>
      </c>
      <c r="AY22" s="124" t="n">
        <v>0</v>
      </c>
      <c r="AZ22" s="124">
        <f>SUM(AW22:AY22)</f>
        <v/>
      </c>
      <c r="BA22" s="323">
        <f>(AW22*AB22)+((AX22+AY22)*AC22)</f>
        <v/>
      </c>
      <c r="BB22" s="122">
        <f>AN22-AW22</f>
        <v/>
      </c>
      <c r="BC22" s="122">
        <f>BB22*AB22</f>
        <v/>
      </c>
      <c r="BD22" s="122">
        <f>AO22-AX22</f>
        <v/>
      </c>
      <c r="BE22" s="122">
        <f>BD22*AC22</f>
        <v/>
      </c>
      <c r="BF22" s="122">
        <f>AP22-AY22</f>
        <v/>
      </c>
      <c r="BG22" s="122">
        <f>BF22*AC22</f>
        <v/>
      </c>
      <c r="BH22" s="122">
        <f>BB22+BD22+BF22</f>
        <v/>
      </c>
      <c r="BI22" s="122">
        <f>BC22+BE22+BG22</f>
        <v/>
      </c>
      <c r="BJ22" s="324">
        <f>BL22+BS22+BV22+BY22+CB22+CE22+CH22+CK22</f>
        <v/>
      </c>
      <c r="BK22" s="320">
        <f>((AI22+AW22)*AB22)+((AJ22+AK22+AX22+AY22)*AC22)</f>
        <v/>
      </c>
      <c r="BL22" s="132">
        <f>BM22+BN22+AL22</f>
        <v/>
      </c>
      <c r="BM22" s="124">
        <f>AW22</f>
        <v/>
      </c>
      <c r="BN22" s="124">
        <f>AX22+AY22</f>
        <v/>
      </c>
      <c r="BO22" s="320" t="n"/>
      <c r="BP22" s="320" t="n"/>
      <c r="BQ22" s="320" t="n">
        <v>0</v>
      </c>
      <c r="BR22" s="320" t="n"/>
      <c r="BS22" s="124" t="n">
        <v>0</v>
      </c>
      <c r="BT22" s="320" t="n"/>
      <c r="BU22" s="326" t="n">
        <v>0</v>
      </c>
      <c r="BV22" s="173" t="n">
        <v>0</v>
      </c>
      <c r="BW22" s="326" t="n"/>
      <c r="BX22" s="326" t="n">
        <v>0</v>
      </c>
      <c r="BY22" s="173" t="n"/>
      <c r="BZ22" s="326" t="n"/>
      <c r="CA22" s="173" t="n"/>
      <c r="CB22" s="173" t="n"/>
      <c r="CC22" s="326" t="n"/>
      <c r="CD22" s="124" t="n"/>
      <c r="CE22" s="124" t="n"/>
      <c r="CF22" s="320" t="n"/>
      <c r="CG22" s="124" t="n"/>
      <c r="CH22" s="124" t="n"/>
      <c r="CI22" s="320" t="n"/>
      <c r="CJ22" s="124" t="n"/>
      <c r="CK22" s="124" t="n"/>
      <c r="CL22" s="320" t="n"/>
      <c r="CM22" s="124" t="n"/>
      <c r="CN22" s="320">
        <f>BK22+BU22+BX22+CA22+CD22+CG22+CJ22+CM22</f>
        <v/>
      </c>
      <c r="CO22" s="152">
        <f>(AV22-(AZ22+BV22+BY22+CB22+CE22+CH22+CK22+BS22)+CO21)</f>
        <v/>
      </c>
      <c r="CP22" s="320">
        <f>CR22*G22</f>
        <v/>
      </c>
      <c r="CQ22" s="124">
        <f>AL22+AZ22+AQ22</f>
        <v/>
      </c>
      <c r="CR22" s="152" t="n"/>
      <c r="CS22" s="155" t="n"/>
      <c r="CT22" s="155" t="n"/>
      <c r="CU22" s="177" t="n"/>
      <c r="CV22" s="177" t="n"/>
      <c r="CW22" s="325" t="n"/>
    </row>
    <row r="23" ht="19.9" customFormat="1" customHeight="1" s="67">
      <c r="A23" s="120" t="n"/>
      <c r="B23" s="65" t="n">
        <v>10032831143</v>
      </c>
      <c r="C23" s="120" t="inlineStr">
        <is>
          <t>VR Label</t>
        </is>
      </c>
      <c r="D23" s="121" t="inlineStr">
        <is>
          <t>Ap de Goiânia</t>
        </is>
      </c>
      <c r="E23" s="121" t="n"/>
      <c r="F23" s="122" t="n">
        <v>34560</v>
      </c>
      <c r="G23" s="320" t="n"/>
      <c r="H23" s="124">
        <f>F23*G23</f>
        <v/>
      </c>
      <c r="I23" s="140" t="inlineStr">
        <is>
          <t>Dezembro/2022</t>
        </is>
      </c>
      <c r="J23" s="144" t="inlineStr">
        <is>
          <t>2 de 100kW</t>
        </is>
      </c>
      <c r="K23" s="66" t="inlineStr">
        <is>
          <t>640 de 450W</t>
        </is>
      </c>
      <c r="L23" s="140" t="n">
        <v>45155</v>
      </c>
      <c r="M23" s="145" t="inlineStr">
        <is>
          <t>Setembro/2023</t>
        </is>
      </c>
      <c r="N23" s="145" t="inlineStr">
        <is>
          <t>01/09/2023 a 01/10/2023</t>
        </is>
      </c>
      <c r="O23" s="331" t="n">
        <v>66393.42</v>
      </c>
      <c r="P23" s="331" t="n">
        <v>0</v>
      </c>
      <c r="Q23" s="331" t="n">
        <v>14348.84</v>
      </c>
      <c r="R23" s="147" t="n"/>
      <c r="S23" s="331" t="n">
        <v>485.89</v>
      </c>
      <c r="T23" s="331" t="n">
        <v>0</v>
      </c>
      <c r="U23" s="331" t="n">
        <v>13.06</v>
      </c>
      <c r="V23" s="331" t="n">
        <v>0</v>
      </c>
      <c r="W23" s="331" t="n"/>
      <c r="X23" s="331" t="n"/>
      <c r="Y23" s="331" t="n"/>
      <c r="Z23" s="331" t="n"/>
      <c r="AA23" s="331" t="n"/>
      <c r="AB23" s="332" t="n">
        <v>2.390349</v>
      </c>
      <c r="AC23" s="332" t="n">
        <v>0.515594</v>
      </c>
      <c r="AD23" s="143" t="n">
        <v>0</v>
      </c>
      <c r="AE23" s="173" t="n">
        <v>26770.94</v>
      </c>
      <c r="AF23" s="143" t="n">
        <v>1.09</v>
      </c>
      <c r="AG23" s="143">
        <f>SUM(AD23:AF23)</f>
        <v/>
      </c>
      <c r="AH23" s="143">
        <f>(AD23*AB23)+((AE23+AF23)*AC23)</f>
        <v/>
      </c>
      <c r="AI23" s="143">
        <f>AD23-AS23</f>
        <v/>
      </c>
      <c r="AJ23" s="143">
        <f>AE23-AT23</f>
        <v/>
      </c>
      <c r="AK23" s="143">
        <f>AF23-AU23</f>
        <v/>
      </c>
      <c r="AL23" s="208">
        <f>SUM(AI23:AK23)</f>
        <v/>
      </c>
      <c r="AM23" s="336">
        <f>(AI23*AB23)+((AJ23+AK23)*AC23)</f>
        <v/>
      </c>
      <c r="AN23" s="208" t="n">
        <v>11766.4</v>
      </c>
      <c r="AO23" s="208" t="n">
        <v>46861.5</v>
      </c>
      <c r="AP23" s="208" t="n">
        <v>2467.5</v>
      </c>
      <c r="AQ23" s="143">
        <f>SUM(AN23:AP23)</f>
        <v/>
      </c>
      <c r="AR23" s="331">
        <f>(AN23*AB23)+((AO23+AP23)*AC23)</f>
        <v/>
      </c>
      <c r="AS23" s="208" t="n">
        <v>0</v>
      </c>
      <c r="AT23" s="208" t="n">
        <v>3906</v>
      </c>
      <c r="AU23" s="208" t="n">
        <v>0</v>
      </c>
      <c r="AV23" s="216">
        <f>SUM(AS23:AU23)</f>
        <v/>
      </c>
      <c r="AW23" s="208" t="n">
        <v>0</v>
      </c>
      <c r="AX23" s="208" t="n">
        <v>3906</v>
      </c>
      <c r="AY23" s="208" t="n">
        <v>0</v>
      </c>
      <c r="AZ23" s="208">
        <f>SUM(AW23:AY23)</f>
        <v/>
      </c>
      <c r="BA23" s="335">
        <f>(AW23*AB23)+((AX23+AY23)*AC23)</f>
        <v/>
      </c>
      <c r="BB23" s="122">
        <f>AN23-AW23</f>
        <v/>
      </c>
      <c r="BC23" s="141">
        <f>BB23*AB23</f>
        <v/>
      </c>
      <c r="BD23" s="122">
        <f>AO23-AX23</f>
        <v/>
      </c>
      <c r="BE23" s="122">
        <f>BD23*AC23</f>
        <v/>
      </c>
      <c r="BF23" s="122">
        <f>AP23-AY23</f>
        <v/>
      </c>
      <c r="BG23" s="122">
        <f>BF23*AC23</f>
        <v/>
      </c>
      <c r="BH23" s="122">
        <f>BB23+BD23+BF23</f>
        <v/>
      </c>
      <c r="BI23" s="122">
        <f>BC23+BE23+BG23</f>
        <v/>
      </c>
      <c r="BJ23" s="324">
        <f>BL23+BS23+BV23+BY23+CB23+CE23+CH23+CK23</f>
        <v/>
      </c>
      <c r="BK23" s="320">
        <f>((AI23+AW23)*AB23)+((AJ23+AK23+AX23+AY23)*AC23)</f>
        <v/>
      </c>
      <c r="BL23" s="132">
        <f>BM23+BN23+AL23</f>
        <v/>
      </c>
      <c r="BM23" s="133">
        <f>AW23</f>
        <v/>
      </c>
      <c r="BN23" s="133">
        <f>AX23+AY23</f>
        <v/>
      </c>
      <c r="BO23" s="320" t="n"/>
      <c r="BP23" s="320" t="n"/>
      <c r="BQ23" s="320" t="n">
        <v>0</v>
      </c>
      <c r="BR23" s="320" t="n"/>
      <c r="BS23" s="124" t="n">
        <v>0</v>
      </c>
      <c r="BT23" s="320" t="n"/>
      <c r="BU23" s="320" t="n">
        <v>0</v>
      </c>
      <c r="BV23" s="124" t="n">
        <v>0</v>
      </c>
      <c r="BW23" s="320" t="n"/>
      <c r="BX23" s="320" t="n">
        <v>0</v>
      </c>
      <c r="BY23" s="124" t="n"/>
      <c r="BZ23" s="320" t="n"/>
      <c r="CA23" s="124" t="n"/>
      <c r="CB23" s="124" t="n"/>
      <c r="CC23" s="320" t="n"/>
      <c r="CD23" s="124" t="n"/>
      <c r="CE23" s="124" t="n"/>
      <c r="CF23" s="320" t="n"/>
      <c r="CG23" s="124" t="n"/>
      <c r="CH23" s="124" t="n"/>
      <c r="CI23" s="320" t="n"/>
      <c r="CJ23" s="124" t="n"/>
      <c r="CK23" s="124" t="n"/>
      <c r="CL23" s="320" t="n"/>
      <c r="CM23" s="124" t="n"/>
      <c r="CN23" s="320">
        <f>BK23+BU23+BX23+CA23+CD23+CG23+CJ23+CM23</f>
        <v/>
      </c>
      <c r="CO23" s="152">
        <f>(AV23-(AZ23+BV23+BY23+CB23+CE23+CH23+CK23+BS23)+CO22)</f>
        <v/>
      </c>
      <c r="CP23" s="320">
        <f>CR23*G23</f>
        <v/>
      </c>
      <c r="CQ23" s="124">
        <f>AL23+AZ23+AQ23</f>
        <v/>
      </c>
      <c r="CR23" s="152" t="n"/>
      <c r="CS23" s="155" t="n"/>
      <c r="CT23" s="155" t="n"/>
      <c r="CU23" s="177" t="n"/>
      <c r="CV23" s="177" t="n"/>
      <c r="CW23" s="325" t="n"/>
    </row>
    <row r="24" ht="19.9" customFormat="1" customHeight="1" s="67">
      <c r="A24" s="233" t="n"/>
      <c r="B24" s="66" t="n">
        <v>10032831143</v>
      </c>
      <c r="C24" s="233" t="inlineStr">
        <is>
          <t>VR Label</t>
        </is>
      </c>
      <c r="D24" s="140" t="inlineStr">
        <is>
          <t>Ap de Goiânia</t>
        </is>
      </c>
      <c r="E24" s="140" t="n"/>
      <c r="F24" s="141" t="n">
        <v>34560</v>
      </c>
      <c r="G24" s="326" t="n"/>
      <c r="H24" s="173">
        <f>F24*G24</f>
        <v/>
      </c>
      <c r="I24" s="121" t="inlineStr">
        <is>
          <t>Dezembro/2022</t>
        </is>
      </c>
      <c r="J24" s="125" t="inlineStr">
        <is>
          <t>2 de 100kW</t>
        </is>
      </c>
      <c r="K24" s="65" t="inlineStr">
        <is>
          <t>640 de 450W</t>
        </is>
      </c>
      <c r="L24" s="121" t="n">
        <v>45155</v>
      </c>
      <c r="M24" s="126" t="inlineStr">
        <is>
          <t>Outubro/2023</t>
        </is>
      </c>
      <c r="N24" s="126" t="inlineStr">
        <is>
          <t>01/10/2023 a 01/11/2023</t>
        </is>
      </c>
      <c r="O24" s="321" t="n">
        <v>75000.67</v>
      </c>
      <c r="P24" s="321" t="n">
        <v>0</v>
      </c>
      <c r="Q24" s="321" t="n">
        <v>15032.11</v>
      </c>
      <c r="R24" s="207" t="n"/>
      <c r="S24" s="321" t="n">
        <v>1066.39</v>
      </c>
      <c r="T24" s="321" t="n">
        <v>0</v>
      </c>
      <c r="U24" s="321" t="n">
        <v>13.06</v>
      </c>
      <c r="V24" s="321" t="n">
        <v>0</v>
      </c>
      <c r="W24" s="321" t="n"/>
      <c r="X24" s="321" t="n"/>
      <c r="Y24" s="321" t="n"/>
      <c r="Z24" s="321" t="n"/>
      <c r="AA24" s="321" t="n"/>
      <c r="AB24" s="322" t="n">
        <v>2.455706</v>
      </c>
      <c r="AC24" s="322" t="n">
        <v>0.501162</v>
      </c>
      <c r="AD24" s="124" t="n">
        <v>2.29</v>
      </c>
      <c r="AE24" s="124" t="n">
        <v>18558.33</v>
      </c>
      <c r="AF24" s="124" t="n">
        <v>0</v>
      </c>
      <c r="AG24" s="124">
        <f>SUM(AD24:AF24)</f>
        <v/>
      </c>
      <c r="AH24" s="124">
        <f>(AD24*AB24)+((AE24+AF24)*AC24)</f>
        <v/>
      </c>
      <c r="AI24" s="124">
        <f>AD24-AS24</f>
        <v/>
      </c>
      <c r="AJ24" s="124">
        <f>AE24-AT24</f>
        <v/>
      </c>
      <c r="AK24" s="124">
        <f>AF24-AU24</f>
        <v/>
      </c>
      <c r="AL24" s="210">
        <f>SUM(AI24:AK24)</f>
        <v/>
      </c>
      <c r="AM24" s="337">
        <f>(AI24*AB24)+((AJ24+AK24)*AC24)</f>
        <v/>
      </c>
      <c r="AN24" s="210" t="n">
        <v>11567.01</v>
      </c>
      <c r="AO24" s="210" t="n">
        <v>62548.5</v>
      </c>
      <c r="AP24" s="210" t="n">
        <v>1932</v>
      </c>
      <c r="AQ24" s="210">
        <f>SUM(AN24:AP24)</f>
        <v/>
      </c>
      <c r="AR24" s="338">
        <f>(AN24*AB24)+((AO24+AP24)*AC24)</f>
        <v/>
      </c>
      <c r="AS24" s="210" t="n">
        <v>0</v>
      </c>
      <c r="AT24" s="210" t="n">
        <v>3654</v>
      </c>
      <c r="AU24" s="210" t="n">
        <v>0</v>
      </c>
      <c r="AV24" s="215">
        <f>SUM(AS24:AU24)</f>
        <v/>
      </c>
      <c r="AW24" s="210" t="n">
        <v>0</v>
      </c>
      <c r="AX24" s="210" t="n">
        <v>3654</v>
      </c>
      <c r="AY24" s="210" t="n">
        <v>0</v>
      </c>
      <c r="AZ24" s="210">
        <f>SUM(AW24:AY24)</f>
        <v/>
      </c>
      <c r="BA24" s="335">
        <f>(AW24*AB24)+((AX24+AY24)*AC24)</f>
        <v/>
      </c>
      <c r="BB24" s="141">
        <f>AN24-AW24</f>
        <v/>
      </c>
      <c r="BC24" s="141">
        <f>BB24*AB24</f>
        <v/>
      </c>
      <c r="BD24" s="141">
        <f>AO24-AX24</f>
        <v/>
      </c>
      <c r="BE24" s="141">
        <f>BD24*AC24</f>
        <v/>
      </c>
      <c r="BF24" s="141">
        <f>AP24-AY24</f>
        <v/>
      </c>
      <c r="BG24" s="141">
        <f>BF24*AC24</f>
        <v/>
      </c>
      <c r="BH24" s="141">
        <f>BB24+BD24+BF24</f>
        <v/>
      </c>
      <c r="BI24" s="141">
        <f>BC24+BE24+BG24</f>
        <v/>
      </c>
      <c r="BJ24" s="324">
        <f>BL24+BS24+BV24+BY24+CB24+CE24+CH24+CK24</f>
        <v/>
      </c>
      <c r="BK24" s="320">
        <f>((AI24+AW24)*AB24)+((AJ24+AK24+AX24+AY24)*AC24)</f>
        <v/>
      </c>
      <c r="BL24" s="132">
        <f>BM24+BN24+AL24</f>
        <v/>
      </c>
      <c r="BM24" s="133">
        <f>AW24</f>
        <v/>
      </c>
      <c r="BN24" s="133">
        <f>AX24+AY24</f>
        <v/>
      </c>
      <c r="BO24" s="334" t="n"/>
      <c r="BP24" s="334" t="n"/>
      <c r="BQ24" s="334" t="n">
        <v>0</v>
      </c>
      <c r="BR24" s="334" t="n"/>
      <c r="BS24" s="143" t="n">
        <v>0</v>
      </c>
      <c r="BT24" s="334" t="n"/>
      <c r="BU24" s="326" t="n">
        <v>0</v>
      </c>
      <c r="BV24" s="173" t="n">
        <v>0</v>
      </c>
      <c r="BW24" s="326" t="n"/>
      <c r="BX24" s="326" t="n">
        <v>0</v>
      </c>
      <c r="BY24" s="173" t="n"/>
      <c r="BZ24" s="326" t="n"/>
      <c r="CA24" s="173" t="n"/>
      <c r="CB24" s="173" t="n"/>
      <c r="CC24" s="326" t="n"/>
      <c r="CD24" s="143" t="n"/>
      <c r="CE24" s="143" t="n"/>
      <c r="CF24" s="334" t="n"/>
      <c r="CG24" s="143" t="n"/>
      <c r="CH24" s="143" t="n"/>
      <c r="CI24" s="334" t="n"/>
      <c r="CJ24" s="143" t="n"/>
      <c r="CK24" s="143" t="n"/>
      <c r="CL24" s="334" t="n"/>
      <c r="CM24" s="143" t="n"/>
      <c r="CN24" s="320">
        <f>BK24+BU24+BX24+CA24+CD24+CG24+CJ24+CM24</f>
        <v/>
      </c>
      <c r="CO24" s="152">
        <f>(AV24-(AZ24+BV24+BY24+CB24+CE24+CH24+CK24+BS24)+CO23)</f>
        <v/>
      </c>
      <c r="CP24" s="320">
        <f>CR24*G24</f>
        <v/>
      </c>
      <c r="CQ24" s="124">
        <f>AL24+AZ24+AQ24</f>
        <v/>
      </c>
      <c r="CR24" s="154" t="n"/>
      <c r="CS24" s="155" t="n"/>
      <c r="CT24" s="155" t="n"/>
      <c r="CU24" s="177" t="n"/>
      <c r="CV24" s="177" t="n"/>
      <c r="CW24" s="325" t="n"/>
    </row>
    <row r="25" ht="19.9" customFormat="1" customHeight="1" s="67">
      <c r="A25" s="120" t="n"/>
      <c r="B25" s="65" t="n">
        <v>10032831143</v>
      </c>
      <c r="C25" s="120" t="inlineStr">
        <is>
          <t>VR Label</t>
        </is>
      </c>
      <c r="D25" s="121" t="inlineStr">
        <is>
          <t>Ap de Goiânia</t>
        </is>
      </c>
      <c r="E25" s="121" t="n"/>
      <c r="F25" s="122" t="n">
        <v>34560</v>
      </c>
      <c r="G25" s="320" t="n"/>
      <c r="H25" s="124">
        <f>F25*G25</f>
        <v/>
      </c>
      <c r="I25" s="140" t="inlineStr">
        <is>
          <t>Dezembro/2022</t>
        </is>
      </c>
      <c r="J25" s="144" t="inlineStr">
        <is>
          <t>2 de 100kW</t>
        </is>
      </c>
      <c r="K25" s="66" t="inlineStr">
        <is>
          <t>640 de 450W</t>
        </is>
      </c>
      <c r="L25" s="140" t="n">
        <v>45155</v>
      </c>
      <c r="M25" s="145" t="inlineStr">
        <is>
          <t>Novembro/2023</t>
        </is>
      </c>
      <c r="N25" s="145" t="inlineStr">
        <is>
          <t>01/11/2023 a 01/12/2023</t>
        </is>
      </c>
      <c r="O25" s="331" t="n">
        <v>58206.9</v>
      </c>
      <c r="P25" s="331" t="n">
        <v>0</v>
      </c>
      <c r="Q25" s="331" t="n">
        <v>16063.76</v>
      </c>
      <c r="R25" s="147" t="n"/>
      <c r="S25" s="331" t="n">
        <v>509.83</v>
      </c>
      <c r="T25" s="331" t="n">
        <v>0</v>
      </c>
      <c r="U25" s="331" t="n">
        <v>13.06</v>
      </c>
      <c r="V25" s="331" t="n">
        <v>0</v>
      </c>
      <c r="W25" s="331" t="n"/>
      <c r="X25" s="331" t="n"/>
      <c r="Y25" s="331" t="n"/>
      <c r="Z25" s="331" t="n"/>
      <c r="AA25" s="331" t="n"/>
      <c r="AB25" s="332">
        <f>2.002225+0.536358</f>
        <v/>
      </c>
      <c r="AC25" s="332">
        <f>0.124624+0.342039</f>
        <v/>
      </c>
      <c r="AD25" s="143" t="n">
        <v>3.55</v>
      </c>
      <c r="AE25" s="173" t="n">
        <v>33936.54</v>
      </c>
      <c r="AF25" s="143" t="n">
        <v>14.36</v>
      </c>
      <c r="AG25" s="143">
        <f>SUM(AD25:AF25)</f>
        <v/>
      </c>
      <c r="AH25" s="143">
        <f>(AD25*AB25)+((AE25+AF25)*AC25)</f>
        <v/>
      </c>
      <c r="AI25" s="143">
        <f>AD25-AS25</f>
        <v/>
      </c>
      <c r="AJ25" s="143">
        <f>AE25-AT25</f>
        <v/>
      </c>
      <c r="AK25" s="143">
        <f>AF25-AU25</f>
        <v/>
      </c>
      <c r="AL25" s="208">
        <f>SUM(AI25:AK25)</f>
        <v/>
      </c>
      <c r="AM25" s="336">
        <f>(AI25*AB25)+((AJ25+AK25)*AC25)</f>
        <v/>
      </c>
      <c r="AN25" s="208" t="n">
        <v>8828.709999999999</v>
      </c>
      <c r="AO25" s="208" t="n">
        <v>43743</v>
      </c>
      <c r="AP25" s="208" t="n">
        <v>3738</v>
      </c>
      <c r="AQ25" s="143">
        <f>SUM(AN25:AP25)</f>
        <v/>
      </c>
      <c r="AR25" s="331">
        <f>(AN25*AB25)+((AO25+AP25)*AC25)</f>
        <v/>
      </c>
      <c r="AS25" s="208" t="n">
        <v>0</v>
      </c>
      <c r="AT25" s="208" t="n">
        <v>6321</v>
      </c>
      <c r="AU25" s="208" t="n">
        <v>0</v>
      </c>
      <c r="AV25" s="216">
        <f>SUM(AS25:AU25)</f>
        <v/>
      </c>
      <c r="AW25" s="208" t="n">
        <v>0</v>
      </c>
      <c r="AX25" s="208" t="n">
        <v>6321</v>
      </c>
      <c r="AY25" s="208" t="n">
        <v>0</v>
      </c>
      <c r="AZ25" s="208">
        <f>SUM(AW25:AY25)</f>
        <v/>
      </c>
      <c r="BA25" s="335">
        <f>(AW25*AB25)+((AX25+AY25)*AC25)</f>
        <v/>
      </c>
      <c r="BB25" s="141">
        <f>AN25-AW25</f>
        <v/>
      </c>
      <c r="BC25" s="141">
        <f>BB25*AB25</f>
        <v/>
      </c>
      <c r="BD25" s="141">
        <f>AO25-AX25</f>
        <v/>
      </c>
      <c r="BE25" s="141">
        <f>BD25*AC25</f>
        <v/>
      </c>
      <c r="BF25" s="141">
        <f>AP25-AY25</f>
        <v/>
      </c>
      <c r="BG25" s="141">
        <f>BF25*AC25</f>
        <v/>
      </c>
      <c r="BH25" s="141">
        <f>BB25+BD25+BF25</f>
        <v/>
      </c>
      <c r="BI25" s="141">
        <f>BC25+BE25+BG25</f>
        <v/>
      </c>
      <c r="BJ25" s="324">
        <f>BL25+BS25+BV25+BY25+CB25+CE25+CH25+CK25</f>
        <v/>
      </c>
      <c r="BK25" s="320">
        <f>((AI25+AW25)*AB25)+((AJ25+AK25+AX25+AY25)*AC25)</f>
        <v/>
      </c>
      <c r="BL25" s="132">
        <f>BM25+BN25+AL25</f>
        <v/>
      </c>
      <c r="BM25" s="133">
        <f>AW25</f>
        <v/>
      </c>
      <c r="BN25" s="133">
        <f>AX25+AY25</f>
        <v/>
      </c>
      <c r="BO25" s="320" t="n"/>
      <c r="BP25" s="320" t="n"/>
      <c r="BQ25" s="320" t="n">
        <v>0</v>
      </c>
      <c r="BR25" s="320" t="n"/>
      <c r="BS25" s="124" t="n">
        <v>0</v>
      </c>
      <c r="BT25" s="320" t="n"/>
      <c r="BU25" s="320" t="n">
        <v>0</v>
      </c>
      <c r="BV25" s="124" t="n">
        <v>0</v>
      </c>
      <c r="BW25" s="320" t="n"/>
      <c r="BX25" s="320" t="n">
        <v>0</v>
      </c>
      <c r="BY25" s="124" t="n"/>
      <c r="BZ25" s="320" t="n"/>
      <c r="CA25" s="124" t="n"/>
      <c r="CB25" s="124" t="n"/>
      <c r="CC25" s="320" t="n"/>
      <c r="CD25" s="124" t="n"/>
      <c r="CE25" s="124" t="n"/>
      <c r="CF25" s="320" t="n"/>
      <c r="CG25" s="124" t="n"/>
      <c r="CH25" s="124" t="n"/>
      <c r="CI25" s="320" t="n"/>
      <c r="CJ25" s="124" t="n"/>
      <c r="CK25" s="124" t="n"/>
      <c r="CL25" s="320" t="n"/>
      <c r="CM25" s="124" t="n"/>
      <c r="CN25" s="320">
        <f>BK25+BU25+BX25+CA25+CD25+CG25+CJ25+CM25</f>
        <v/>
      </c>
      <c r="CO25" s="152">
        <f>(AV25-(AZ25+BV25+BY25+CB25+CE25+CH25+CK25+BS25)+CO24)</f>
        <v/>
      </c>
      <c r="CP25" s="320">
        <f>CR25*G25</f>
        <v/>
      </c>
      <c r="CQ25" s="124">
        <f>AL25+AZ25+AQ25</f>
        <v/>
      </c>
      <c r="CR25" s="152" t="n"/>
      <c r="CS25" s="155" t="n"/>
      <c r="CT25" s="155" t="n"/>
      <c r="CU25" s="177" t="n"/>
      <c r="CV25" s="177" t="n"/>
      <c r="CW25" s="325" t="n"/>
    </row>
    <row r="26" ht="19.9" customFormat="1" customHeight="1" s="67">
      <c r="A26" s="233" t="n"/>
      <c r="B26" s="66" t="n">
        <v>10032831143</v>
      </c>
      <c r="C26" s="233" t="inlineStr">
        <is>
          <t>VR Label</t>
        </is>
      </c>
      <c r="D26" s="140" t="inlineStr">
        <is>
          <t>Ap de Goiânia</t>
        </is>
      </c>
      <c r="E26" s="140" t="n"/>
      <c r="F26" s="141" t="n">
        <v>34560</v>
      </c>
      <c r="G26" s="326" t="n"/>
      <c r="H26" s="173">
        <f>F26*G26</f>
        <v/>
      </c>
      <c r="I26" s="121" t="inlineStr">
        <is>
          <t>Dezembro/2022</t>
        </is>
      </c>
      <c r="J26" s="125" t="inlineStr">
        <is>
          <t>2 de 100kW</t>
        </is>
      </c>
      <c r="K26" s="65" t="inlineStr">
        <is>
          <t>640 de 450W</t>
        </is>
      </c>
      <c r="L26" s="121" t="n">
        <v>45155</v>
      </c>
      <c r="M26" s="126" t="inlineStr">
        <is>
          <t>Dezembro/2023</t>
        </is>
      </c>
      <c r="N26" s="126" t="inlineStr">
        <is>
          <t>01/12/2023 a 01/01/2024</t>
        </is>
      </c>
      <c r="O26" s="321" t="n">
        <v>56439.77</v>
      </c>
      <c r="P26" s="321" t="n">
        <v>0</v>
      </c>
      <c r="Q26" s="321" t="n">
        <v>15839.04</v>
      </c>
      <c r="R26" s="207" t="n"/>
      <c r="S26" s="321" t="n">
        <v>589.64</v>
      </c>
      <c r="T26" s="321" t="n">
        <v>0</v>
      </c>
      <c r="U26" s="321" t="n">
        <v>13.06</v>
      </c>
      <c r="V26" s="321" t="n">
        <v>0</v>
      </c>
      <c r="W26" s="321" t="n"/>
      <c r="X26" s="321" t="n"/>
      <c r="Y26" s="321" t="n"/>
      <c r="Z26" s="321" t="n"/>
      <c r="AA26" s="321" t="n"/>
      <c r="AB26" s="322" t="n">
        <v>2.503069</v>
      </c>
      <c r="AC26" s="322" t="n">
        <v>0.460135</v>
      </c>
      <c r="AD26" s="124" t="n">
        <v>17.76</v>
      </c>
      <c r="AE26" s="124" t="n">
        <v>19661.16</v>
      </c>
      <c r="AF26" s="124" t="n">
        <v>1.39</v>
      </c>
      <c r="AG26" s="124">
        <f>SUM(AD26:AF26)</f>
        <v/>
      </c>
      <c r="AH26" s="124">
        <f>(AD26*AB26)+((AE26+AF26)*AC26)</f>
        <v/>
      </c>
      <c r="AI26" s="124">
        <f>AD26-AS26</f>
        <v/>
      </c>
      <c r="AJ26" s="124">
        <f>AE26-AT26</f>
        <v/>
      </c>
      <c r="AK26" s="124">
        <f>AF26-AU26</f>
        <v/>
      </c>
      <c r="AL26" s="210">
        <f>SUM(AI26:AK26)</f>
        <v/>
      </c>
      <c r="AM26" s="337">
        <f>(AI26*AB26)+((AJ26+AK26)*AC26)</f>
        <v/>
      </c>
      <c r="AN26" s="210" t="n">
        <v>7284.06</v>
      </c>
      <c r="AO26" s="210" t="n">
        <v>51597</v>
      </c>
      <c r="AP26" s="210" t="n">
        <v>0</v>
      </c>
      <c r="AQ26" s="210">
        <f>SUM(AN26:AP26)</f>
        <v/>
      </c>
      <c r="AR26" s="338">
        <f>(AN26*AB26)+((AO26+AP26)*AC26)</f>
        <v/>
      </c>
      <c r="AS26" s="210" t="n">
        <v>0</v>
      </c>
      <c r="AT26" s="210" t="n">
        <v>4294.5</v>
      </c>
      <c r="AU26" s="210" t="n">
        <v>0</v>
      </c>
      <c r="AV26" s="215">
        <f>SUM(AS26:AU26)</f>
        <v/>
      </c>
      <c r="AW26" s="210" t="n">
        <v>0</v>
      </c>
      <c r="AX26" s="210" t="n">
        <v>4294.5</v>
      </c>
      <c r="AY26" s="210" t="n">
        <v>0</v>
      </c>
      <c r="AZ26" s="210">
        <f>SUM(AW26:AY26)</f>
        <v/>
      </c>
      <c r="BA26" s="335">
        <f>(AW26*AB26)+((AX26+AY26)*AC26)</f>
        <v/>
      </c>
      <c r="BB26" s="141">
        <f>AN26-AW26</f>
        <v/>
      </c>
      <c r="BC26" s="141">
        <f>BB26*AB26</f>
        <v/>
      </c>
      <c r="BD26" s="141">
        <f>AO26-AX26</f>
        <v/>
      </c>
      <c r="BE26" s="141">
        <f>BD26*AC26</f>
        <v/>
      </c>
      <c r="BF26" s="141">
        <f>AP26-AY26</f>
        <v/>
      </c>
      <c r="BG26" s="141">
        <f>BF26*AC26</f>
        <v/>
      </c>
      <c r="BH26" s="141">
        <f>BB26+BD26+BF26</f>
        <v/>
      </c>
      <c r="BI26" s="141">
        <f>BC26+BE26+BG26</f>
        <v/>
      </c>
      <c r="BJ26" s="324">
        <f>BL26+BS26+BV26+BY26+CB26+CE26+CH26+CK26</f>
        <v/>
      </c>
      <c r="BK26" s="320">
        <f>((AI26+AW26)*AB26)+((AJ26+AK26+AX26+AY26)*AC26)</f>
        <v/>
      </c>
      <c r="BL26" s="132">
        <f>BM26+BN26+AL26</f>
        <v/>
      </c>
      <c r="BM26" s="133">
        <f>AW26</f>
        <v/>
      </c>
      <c r="BN26" s="133">
        <f>AX26+AY26</f>
        <v/>
      </c>
      <c r="BO26" s="320" t="n"/>
      <c r="BP26" s="320" t="n"/>
      <c r="BQ26" s="320" t="n"/>
      <c r="BR26" s="320" t="n"/>
      <c r="BS26" s="124" t="n"/>
      <c r="BT26" s="320" t="n"/>
      <c r="BU26" s="326" t="n"/>
      <c r="BV26" s="173" t="n"/>
      <c r="BW26" s="326" t="n"/>
      <c r="BX26" s="326" t="n"/>
      <c r="BY26" s="173" t="n"/>
      <c r="BZ26" s="326" t="n"/>
      <c r="CA26" s="173" t="n"/>
      <c r="CB26" s="173" t="n"/>
      <c r="CC26" s="326" t="n"/>
      <c r="CD26" s="124" t="n"/>
      <c r="CE26" s="124" t="n"/>
      <c r="CF26" s="320" t="n"/>
      <c r="CG26" s="124" t="n"/>
      <c r="CH26" s="124" t="n"/>
      <c r="CI26" s="320" t="n"/>
      <c r="CJ26" s="124" t="n"/>
      <c r="CK26" s="124" t="n"/>
      <c r="CL26" s="320" t="n"/>
      <c r="CM26" s="124" t="n"/>
      <c r="CN26" s="320">
        <f>BK26+BU26+BX26+CA26+CD26+CG26+CJ26+CM26</f>
        <v/>
      </c>
      <c r="CO26" s="152">
        <f>(AV26-(AZ26+BV26+BY26+CB26+CE26+CH26+CK26+BS26)+CO25)</f>
        <v/>
      </c>
      <c r="CP26" s="320">
        <f>CR26*G26</f>
        <v/>
      </c>
      <c r="CQ26" s="124">
        <f>AL26+AZ26+AQ26</f>
        <v/>
      </c>
      <c r="CR26" s="152" t="n"/>
      <c r="CS26" s="156" t="inlineStr">
        <is>
      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      </is>
      </c>
      <c r="CT26" s="155" t="n"/>
      <c r="CU26" s="177" t="n"/>
      <c r="CV26" s="177" t="n"/>
      <c r="CW26" s="325" t="n"/>
    </row>
    <row r="27" ht="19.9" customFormat="1" customHeight="1" s="67">
      <c r="A27" s="120" t="n"/>
      <c r="B27" s="65" t="n">
        <v>10032831143</v>
      </c>
      <c r="C27" s="120" t="inlineStr">
        <is>
          <t>VR Label</t>
        </is>
      </c>
      <c r="D27" s="121" t="inlineStr">
        <is>
          <t>Ap de Goiânia</t>
        </is>
      </c>
      <c r="E27" s="121" t="n"/>
      <c r="F27" s="122" t="n">
        <v>34560</v>
      </c>
      <c r="G27" s="320" t="n"/>
      <c r="H27" s="124">
        <f>F27*G27</f>
        <v/>
      </c>
      <c r="I27" s="140" t="inlineStr">
        <is>
          <t>Dezembro/2022</t>
        </is>
      </c>
      <c r="J27" s="144" t="inlineStr">
        <is>
          <t>2 de 100kW</t>
        </is>
      </c>
      <c r="K27" s="66" t="inlineStr">
        <is>
          <t>640 de 450W</t>
        </is>
      </c>
      <c r="L27" s="140" t="n">
        <v>45155</v>
      </c>
      <c r="M27" s="145" t="inlineStr">
        <is>
          <t>Janeiro/2024</t>
        </is>
      </c>
      <c r="N27" s="145" t="inlineStr">
        <is>
          <t>01/01/2024 a 01/02/2024</t>
        </is>
      </c>
      <c r="O27" s="331" t="n">
        <v>33133.5</v>
      </c>
      <c r="P27" s="331" t="n">
        <v>0</v>
      </c>
      <c r="Q27" s="331" t="n">
        <v>7898.21</v>
      </c>
      <c r="R27" s="147" t="n"/>
      <c r="S27" s="331" t="n">
        <v>559.58</v>
      </c>
      <c r="T27" s="331">
        <f>1128.53+18.81</f>
        <v/>
      </c>
      <c r="U27" s="331" t="n">
        <v>13.06</v>
      </c>
      <c r="V27" s="331" t="n"/>
      <c r="W27" s="331" t="n"/>
      <c r="X27" s="331" t="n"/>
      <c r="Y27" s="331" t="n"/>
      <c r="Z27" s="331">
        <f>44.07+275.31+65.52+181.03+47.44+211.57-0.05</f>
        <v/>
      </c>
      <c r="AA27" s="331" t="n"/>
      <c r="AB27" s="332">
        <f>1.045726 +0.117639</f>
        <v/>
      </c>
      <c r="AC27" s="332">
        <f>0.122551+0.117639</f>
        <v/>
      </c>
      <c r="AD27" s="143" t="n">
        <v>48.6192</v>
      </c>
      <c r="AE27" s="173" t="n">
        <v>19427.229</v>
      </c>
      <c r="AF27" s="143" t="n">
        <v>0</v>
      </c>
      <c r="AG27" s="143">
        <f>SUM(AD27:AF27)</f>
        <v/>
      </c>
      <c r="AH27" s="143">
        <f>(AD27*AB27)+((AE27+AF27)*AC27)</f>
        <v/>
      </c>
      <c r="AI27" s="143">
        <f>AD27-AS27</f>
        <v/>
      </c>
      <c r="AJ27" s="143">
        <f>AE27-AT27</f>
        <v/>
      </c>
      <c r="AK27" s="143">
        <f>AF27-AU27</f>
        <v/>
      </c>
      <c r="AL27" s="208">
        <f>SUM(AI27:AK27)</f>
        <v/>
      </c>
      <c r="AM27" s="336">
        <f>(AI27*AB27)+((AJ27+AK27)*AC27)</f>
        <v/>
      </c>
      <c r="AN27" s="208" t="n">
        <v>8517.49</v>
      </c>
      <c r="AO27" s="208" t="n">
        <v>53214</v>
      </c>
      <c r="AP27" s="208" t="n">
        <v>0</v>
      </c>
      <c r="AQ27" s="213">
        <f>SUM(AN27:AP27)</f>
        <v/>
      </c>
      <c r="AR27" s="339">
        <f>(AN27*AB27)+((AO27+AP27)*AC27)</f>
        <v/>
      </c>
      <c r="AS27" s="208" t="n"/>
      <c r="AT27" s="208" t="n"/>
      <c r="AU27" s="208" t="n"/>
      <c r="AV27" s="208" t="n"/>
      <c r="AW27" s="208" t="n"/>
      <c r="AX27" s="208" t="n"/>
      <c r="AY27" s="208" t="n"/>
      <c r="AZ27" s="208">
        <f>SUM(AW27:AY27)</f>
        <v/>
      </c>
      <c r="BA27" s="335">
        <f>(AW27*AB27)+((AX27+AY27)*AC27)</f>
        <v/>
      </c>
      <c r="BB27" s="141">
        <f>AN27-AW27</f>
        <v/>
      </c>
      <c r="BC27" s="141">
        <f>BB27*AB27</f>
        <v/>
      </c>
      <c r="BD27" s="141">
        <f>AO27-AX27</f>
        <v/>
      </c>
      <c r="BE27" s="141">
        <f>BD27*AC27</f>
        <v/>
      </c>
      <c r="BF27" s="141">
        <f>AP27-AY27</f>
        <v/>
      </c>
      <c r="BG27" s="141">
        <f>BF27*AC27</f>
        <v/>
      </c>
      <c r="BH27" s="141">
        <f>BB27+BD27+BF27</f>
        <v/>
      </c>
      <c r="BI27" s="141">
        <f>BC27+BE27+BG27</f>
        <v/>
      </c>
      <c r="BJ27" s="324">
        <f>BL27+BS27+BV27+BY27+CB27+CE27+CH27+CK27</f>
        <v/>
      </c>
      <c r="BK27" s="320">
        <f>((AI27+AW27)*AB27)+((AJ27+AK27+AX27+AY27)*AC27)</f>
        <v/>
      </c>
      <c r="BL27" s="132">
        <f>BM27+BN27+AL27</f>
        <v/>
      </c>
      <c r="BM27" s="133">
        <f>AW27</f>
        <v/>
      </c>
      <c r="BN27" s="133">
        <f>AX27+AY27</f>
        <v/>
      </c>
      <c r="BO27" s="320" t="n"/>
      <c r="BP27" s="320" t="n"/>
      <c r="BQ27" s="320" t="n"/>
      <c r="BR27" s="320" t="n"/>
      <c r="BS27" s="124" t="n"/>
      <c r="BT27" s="320" t="n"/>
      <c r="BU27" s="320" t="n"/>
      <c r="BV27" s="124" t="n"/>
      <c r="BW27" s="320" t="n"/>
      <c r="BX27" s="320" t="n"/>
      <c r="BY27" s="124" t="n"/>
      <c r="BZ27" s="320" t="n"/>
      <c r="CA27" s="124" t="n"/>
      <c r="CB27" s="124" t="n"/>
      <c r="CC27" s="320" t="n"/>
      <c r="CD27" s="124" t="n"/>
      <c r="CE27" s="124" t="n"/>
      <c r="CF27" s="320" t="n"/>
      <c r="CG27" s="124" t="n"/>
      <c r="CH27" s="124" t="n"/>
      <c r="CI27" s="320" t="n"/>
      <c r="CJ27" s="124" t="n"/>
      <c r="CK27" s="124" t="n"/>
      <c r="CL27" s="320" t="n"/>
      <c r="CM27" s="124" t="n"/>
      <c r="CN27" s="320">
        <f>BK27+BU27+BX27+CA27+CD27+CG27+CJ27+CM27</f>
        <v/>
      </c>
      <c r="CO27" s="152" t="n"/>
      <c r="CP27" s="320" t="n"/>
      <c r="CQ27" s="124">
        <f>AL27+AZ27+AQ27</f>
        <v/>
      </c>
      <c r="CR27" s="152" t="n"/>
      <c r="CS27" s="156" t="n"/>
      <c r="CT27" s="155" t="n"/>
      <c r="CU27" s="177" t="n"/>
      <c r="CV27" s="177" t="n"/>
      <c r="CW27" s="325">
        <f>(AD27*2.49633729)+(AE27*0.45889824 )-BK27</f>
        <v/>
      </c>
    </row>
    <row r="28" ht="19.9" customFormat="1" customHeight="1" s="67">
      <c r="A28" s="233" t="n"/>
      <c r="B28" s="66" t="n">
        <v>10032831143</v>
      </c>
      <c r="C28" s="233" t="inlineStr">
        <is>
          <t>VR Label</t>
        </is>
      </c>
      <c r="D28" s="140" t="inlineStr">
        <is>
          <t>Ap de Goiânia</t>
        </is>
      </c>
      <c r="E28" s="140" t="n"/>
      <c r="F28" s="141" t="n">
        <v>34560</v>
      </c>
      <c r="G28" s="326" t="n"/>
      <c r="H28" s="173">
        <f>F28*G28</f>
        <v/>
      </c>
      <c r="I28" s="121" t="inlineStr">
        <is>
          <t>Dezembro/2022</t>
        </is>
      </c>
      <c r="J28" s="125" t="inlineStr">
        <is>
          <t>2 de 100kW</t>
        </is>
      </c>
      <c r="K28" s="65" t="inlineStr">
        <is>
          <t>640 de 450W</t>
        </is>
      </c>
      <c r="L28" s="121" t="n">
        <v>45155</v>
      </c>
      <c r="M28" s="126" t="inlineStr">
        <is>
          <t>Fevereiro/2024</t>
        </is>
      </c>
      <c r="N28" s="126" t="inlineStr">
        <is>
          <t>01/02/2024 a 01/03/2024</t>
        </is>
      </c>
      <c r="O28" s="321" t="n">
        <v>31183.14</v>
      </c>
      <c r="P28" s="321" t="n">
        <v>0</v>
      </c>
      <c r="Q28" s="321" t="n">
        <v>8058.78</v>
      </c>
      <c r="R28" s="207" t="n"/>
      <c r="S28" s="321" t="n">
        <v>421.43</v>
      </c>
      <c r="T28" s="321" t="n"/>
      <c r="U28" s="321" t="n">
        <v>13.06</v>
      </c>
      <c r="V28" s="321" t="n"/>
      <c r="W28" s="321" t="n"/>
      <c r="X28" s="321" t="n"/>
      <c r="Y28" s="321" t="n"/>
      <c r="Z28" s="321">
        <f>71.28+22.23+47.44+56.32+281.57+39.95-0.05</f>
        <v/>
      </c>
      <c r="AA28" s="321" t="n"/>
      <c r="AB28" s="322">
        <f>0.121928+1.066987</f>
        <v/>
      </c>
      <c r="AC28" s="322">
        <f>0.121928+0.125041</f>
        <v/>
      </c>
      <c r="AD28" s="143" t="n">
        <v>22.47</v>
      </c>
      <c r="AE28" s="173" t="n">
        <v>20014.59</v>
      </c>
      <c r="AF28" s="143" t="n">
        <v>0</v>
      </c>
      <c r="AG28" s="143">
        <f>SUM(AD28:AF28)</f>
        <v/>
      </c>
      <c r="AH28" s="143">
        <f>(AD28*AB28)+((AE28+AF28)*AC28)</f>
        <v/>
      </c>
      <c r="AI28" s="143">
        <f>AD28-AS28</f>
        <v/>
      </c>
      <c r="AJ28" s="143">
        <f>AE28-AT28</f>
        <v/>
      </c>
      <c r="AK28" s="143">
        <f>AF28-AU28</f>
        <v/>
      </c>
      <c r="AL28" s="208">
        <f>SUM(AI28:AK28)</f>
        <v/>
      </c>
      <c r="AM28" s="336">
        <f>(AI28*AB28)+((AJ28+AK28)*AC28)</f>
        <v/>
      </c>
      <c r="AN28" s="208" t="n">
        <v>7568.08</v>
      </c>
      <c r="AO28" s="208" t="n">
        <v>53340</v>
      </c>
      <c r="AP28" s="208" t="n">
        <v>0</v>
      </c>
      <c r="AQ28" s="213">
        <f>SUM(AN28:AP28)</f>
        <v/>
      </c>
      <c r="AR28" s="339">
        <f>(AN28*AB28)+((AO28+AP28)*AC28)</f>
        <v/>
      </c>
      <c r="AS28" s="208" t="n"/>
      <c r="AT28" s="208" t="n"/>
      <c r="AU28" s="208" t="n"/>
      <c r="AV28" s="208" t="n"/>
      <c r="AW28" s="208" t="n"/>
      <c r="AX28" s="208" t="n"/>
      <c r="AY28" s="208" t="n"/>
      <c r="AZ28" s="208" t="n"/>
      <c r="BA28" s="335" t="n"/>
      <c r="BB28" s="141">
        <f>AN28-AW28</f>
        <v/>
      </c>
      <c r="BC28" s="141">
        <f>BB28*AB28</f>
        <v/>
      </c>
      <c r="BD28" s="141">
        <f>AO28-AX28</f>
        <v/>
      </c>
      <c r="BE28" s="141">
        <f>BD28*AC28</f>
        <v/>
      </c>
      <c r="BF28" s="141">
        <f>AP28-AY28</f>
        <v/>
      </c>
      <c r="BG28" s="141">
        <f>BF28*AC28</f>
        <v/>
      </c>
      <c r="BH28" s="141">
        <f>BB28+BD28+BF28</f>
        <v/>
      </c>
      <c r="BI28" s="141">
        <f>BC28+BE28+BG28</f>
        <v/>
      </c>
      <c r="BJ28" s="324">
        <f>BL28+BS28+BV28+BY28+CB28+CE28+CH28+CK28</f>
        <v/>
      </c>
      <c r="BK28" s="320">
        <f>((AI28+AW28)*AB28)+((AJ28+AK28+AX28+AY28)*AC28)</f>
        <v/>
      </c>
      <c r="BL28" s="132">
        <f>BM28+BN28+AL28</f>
        <v/>
      </c>
      <c r="BM28" s="133" t="n"/>
      <c r="BN28" s="133" t="n"/>
      <c r="BO28" s="320" t="n"/>
      <c r="BP28" s="320" t="n"/>
      <c r="BQ28" s="320" t="n"/>
      <c r="BR28" s="320" t="n"/>
      <c r="BS28" s="124" t="n"/>
      <c r="BT28" s="320" t="n"/>
      <c r="BU28" s="320" t="n"/>
      <c r="BV28" s="124" t="n"/>
      <c r="BW28" s="320" t="n"/>
      <c r="BX28" s="320" t="n"/>
      <c r="BY28" s="173" t="n"/>
      <c r="BZ28" s="326" t="n"/>
      <c r="CA28" s="173" t="n"/>
      <c r="CB28" s="173" t="n"/>
      <c r="CC28" s="326" t="n"/>
      <c r="CD28" s="124" t="n"/>
      <c r="CE28" s="124" t="n"/>
      <c r="CF28" s="320" t="n"/>
      <c r="CG28" s="124" t="n"/>
      <c r="CH28" s="124" t="n"/>
      <c r="CI28" s="320" t="n"/>
      <c r="CJ28" s="124" t="n"/>
      <c r="CK28" s="124" t="n"/>
      <c r="CL28" s="320" t="n"/>
      <c r="CM28" s="124" t="n"/>
      <c r="CN28" s="320" t="n"/>
      <c r="CO28" s="152" t="n"/>
      <c r="CP28" s="320" t="n"/>
      <c r="CQ28" s="124" t="n"/>
      <c r="CR28" s="152" t="n"/>
      <c r="CS28" s="156" t="inlineStr">
        <is>
      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28" s="155" t="n"/>
      <c r="CU28" s="177" t="n"/>
      <c r="CV28" s="177" t="n"/>
      <c r="CW28" s="325" t="n"/>
    </row>
    <row r="29" ht="19.9" customFormat="1" customHeight="1" s="67">
      <c r="A29" s="120" t="inlineStr">
        <is>
          <t>Grupo Alucentro</t>
        </is>
      </c>
      <c r="B29" s="65" t="n">
        <v>13260479</v>
      </c>
      <c r="C29" s="120" t="inlineStr">
        <is>
          <t>Alucentro Loja</t>
        </is>
      </c>
      <c r="D29" s="121" t="inlineStr">
        <is>
          <t xml:space="preserve">Goiânia </t>
        </is>
      </c>
      <c r="E29" s="121" t="inlineStr">
        <is>
          <t>Fevereiro/2022</t>
        </is>
      </c>
      <c r="F29" s="122" t="n">
        <v>7248</v>
      </c>
      <c r="G29" s="320" t="n">
        <v>0.83</v>
      </c>
      <c r="H29" s="124">
        <f>F29*G29</f>
        <v/>
      </c>
      <c r="I29" s="121" t="inlineStr">
        <is>
          <t>Outubro/2022</t>
        </is>
      </c>
      <c r="J29" s="125" t="inlineStr">
        <is>
          <t>1 Sungrow de 50KW</t>
        </is>
      </c>
      <c r="K29" s="65" t="inlineStr">
        <is>
          <t>95 de 590W</t>
        </is>
      </c>
      <c r="L29" s="121" t="n">
        <v>45159</v>
      </c>
      <c r="M29" s="126" t="inlineStr">
        <is>
          <t>Outubro/2022</t>
        </is>
      </c>
      <c r="N29" s="126" t="inlineStr">
        <is>
          <t>01/10/2022 a 01/11/2022</t>
        </is>
      </c>
      <c r="O29" s="321" t="n">
        <v>517.4400000000001</v>
      </c>
      <c r="P29" s="321" t="n">
        <v>0</v>
      </c>
      <c r="Q29" s="321" t="n">
        <v>0</v>
      </c>
      <c r="R29" s="207" t="n"/>
      <c r="S29" s="321" t="n">
        <v>17.47</v>
      </c>
      <c r="T29" s="321" t="n">
        <v>0</v>
      </c>
      <c r="U29" s="321" t="n">
        <v>12.21</v>
      </c>
      <c r="V29" s="321" t="n">
        <v>0</v>
      </c>
      <c r="W29" s="321" t="n"/>
      <c r="X29" s="321" t="n"/>
      <c r="Y29" s="321" t="n"/>
      <c r="Z29" s="321" t="n"/>
      <c r="AA29" s="321" t="n"/>
      <c r="AB29" s="322" t="n">
        <v>0.82651</v>
      </c>
      <c r="AC29" s="322" t="n">
        <v>0.82651</v>
      </c>
      <c r="AD29" s="124" t="n">
        <v>0.93</v>
      </c>
      <c r="AE29" s="124" t="n">
        <v>7201.56</v>
      </c>
      <c r="AF29" s="124" t="n">
        <v>0.62</v>
      </c>
      <c r="AG29" s="124">
        <f>SUM(AD29:AF29)</f>
        <v/>
      </c>
      <c r="AH29" s="124">
        <f>(AD29*AB29)+((AE29+AF29)*AC29)</f>
        <v/>
      </c>
      <c r="AI29" s="124">
        <f>AD29-AS29</f>
        <v/>
      </c>
      <c r="AJ29" s="124">
        <f>AE29-AT29</f>
        <v/>
      </c>
      <c r="AK29" s="124">
        <f>AF29-AU29</f>
        <v/>
      </c>
      <c r="AL29" s="210">
        <f>SUM(AI29:AK29)</f>
        <v/>
      </c>
      <c r="AM29" s="337">
        <f>(AI29*AB29)+((AJ29+AK29)*AC29)</f>
        <v/>
      </c>
      <c r="AN29" s="124" t="n">
        <v>476.74</v>
      </c>
      <c r="AO29" s="124" t="n">
        <v>2247</v>
      </c>
      <c r="AP29" s="124" t="n">
        <v>970.2</v>
      </c>
      <c r="AQ29" s="143">
        <f>SUM(AN29:AP29)</f>
        <v/>
      </c>
      <c r="AR29" s="331">
        <f>(AN29*AB29)+((AO29+AP29)*AC29)</f>
        <v/>
      </c>
      <c r="AS29" s="124" t="n">
        <v>0</v>
      </c>
      <c r="AT29" s="124" t="n">
        <v>3103.8</v>
      </c>
      <c r="AU29" s="124" t="n">
        <v>0</v>
      </c>
      <c r="AV29" s="124">
        <f>SUM(AS29:AU29)</f>
        <v/>
      </c>
      <c r="AW29" s="124" t="n">
        <v>0</v>
      </c>
      <c r="AX29" s="124" t="n">
        <v>2147</v>
      </c>
      <c r="AY29" s="124" t="n">
        <v>956.8</v>
      </c>
      <c r="AZ29" s="124">
        <f>SUM(AW29:AY29)</f>
        <v/>
      </c>
      <c r="BA29" s="335">
        <f>(AW29*AB29)+((AX29+AY29)*AC29)</f>
        <v/>
      </c>
      <c r="BB29" s="122">
        <f>AN29-AW29</f>
        <v/>
      </c>
      <c r="BC29" s="141">
        <f>BB29*AB29</f>
        <v/>
      </c>
      <c r="BD29" s="122">
        <f>AO29-AX29</f>
        <v/>
      </c>
      <c r="BE29" s="122">
        <f>BD29*AC29</f>
        <v/>
      </c>
      <c r="BF29" s="122">
        <f>AP29-AY29</f>
        <v/>
      </c>
      <c r="BG29" s="122">
        <f>BF29*AC29</f>
        <v/>
      </c>
      <c r="BH29" s="122">
        <f>BB29+BD29+BF29</f>
        <v/>
      </c>
      <c r="BI29" s="122">
        <f>BC29+BE29+BG29</f>
        <v/>
      </c>
      <c r="BJ29" s="324">
        <f>BL29+BS29+BV29+BY29+CB29+CE29+CH29+CK29</f>
        <v/>
      </c>
      <c r="BK29" s="320">
        <f>((AI29+AW29)*AB29)+((AJ29+AK29+AX29+AY29)*AC29)</f>
        <v/>
      </c>
      <c r="BL29" s="132">
        <f>BM29+BN29+AL29</f>
        <v/>
      </c>
      <c r="BM29" s="133">
        <f>AW29</f>
        <v/>
      </c>
      <c r="BN29" s="133">
        <f>AX29+AY29</f>
        <v/>
      </c>
      <c r="BO29" s="320" t="n"/>
      <c r="BP29" s="320" t="n"/>
      <c r="BQ29" s="320" t="n">
        <v>0</v>
      </c>
      <c r="BR29" s="320" t="n"/>
      <c r="BS29" s="124" t="n">
        <v>0</v>
      </c>
      <c r="BT29" s="320" t="n"/>
      <c r="BU29" s="320" t="n">
        <v>0</v>
      </c>
      <c r="BV29" s="124" t="n">
        <v>0</v>
      </c>
      <c r="BW29" s="320" t="n"/>
      <c r="BX29" s="320" t="n">
        <v>0</v>
      </c>
      <c r="BY29" s="124" t="n"/>
      <c r="BZ29" s="320" t="n"/>
      <c r="CA29" s="124" t="n"/>
      <c r="CB29" s="124" t="n"/>
      <c r="CC29" s="320" t="n"/>
      <c r="CD29" s="124" t="n"/>
      <c r="CE29" s="124" t="n"/>
      <c r="CF29" s="320" t="n"/>
      <c r="CG29" s="124" t="n"/>
      <c r="CH29" s="124" t="n"/>
      <c r="CI29" s="320" t="n"/>
      <c r="CJ29" s="124" t="n"/>
      <c r="CK29" s="124" t="n"/>
      <c r="CL29" s="320" t="n"/>
      <c r="CM29" s="124" t="n"/>
      <c r="CN29" s="320">
        <f>BK29+BU29+BX29+CA29+CD29+CG29+CJ29+CM29</f>
        <v/>
      </c>
      <c r="CO29" s="154" t="n">
        <v>0</v>
      </c>
      <c r="CP29" s="320">
        <f>CR29*G29</f>
        <v/>
      </c>
      <c r="CQ29" s="124">
        <f>AL29+AZ29+AQ29</f>
        <v/>
      </c>
      <c r="CR29" s="154" t="n"/>
      <c r="CS29" s="155" t="n"/>
      <c r="CT29" s="155" t="n"/>
      <c r="CU29" s="177">
        <f>(BB29* AB29)+(BD29* AC29)+(BF29* AC29)+(S29+T29+U29+V29+W29+X29+Y29+Z29)</f>
        <v/>
      </c>
      <c r="CV29" s="177">
        <f>CU29-O29</f>
        <v/>
      </c>
      <c r="CW29" s="325" t="n"/>
    </row>
    <row r="30" ht="19.9" customFormat="1" customHeight="1" s="67">
      <c r="A30" s="233" t="inlineStr">
        <is>
          <t>Grupo Alucentro</t>
        </is>
      </c>
      <c r="B30" s="66" t="n">
        <v>13260479</v>
      </c>
      <c r="C30" s="233" t="inlineStr">
        <is>
          <t>Alucentro Loja</t>
        </is>
      </c>
      <c r="D30" s="140" t="inlineStr">
        <is>
          <t xml:space="preserve">Goiânia </t>
        </is>
      </c>
      <c r="E30" s="140" t="inlineStr">
        <is>
          <t>Fevereiro/2022</t>
        </is>
      </c>
      <c r="F30" s="141" t="n">
        <v>7248</v>
      </c>
      <c r="G30" s="326" t="n">
        <v>0.83</v>
      </c>
      <c r="H30" s="173">
        <f>F30*G30</f>
        <v/>
      </c>
      <c r="I30" s="140" t="inlineStr">
        <is>
          <t>Outubro/2022</t>
        </is>
      </c>
      <c r="J30" s="144" t="inlineStr">
        <is>
          <t>1 Sungrow de 50KW</t>
        </is>
      </c>
      <c r="K30" s="66" t="inlineStr">
        <is>
          <t>95 de 590W</t>
        </is>
      </c>
      <c r="L30" s="140" t="n">
        <v>45159</v>
      </c>
      <c r="M30" s="145" t="inlineStr">
        <is>
          <t>Novembro/2022</t>
        </is>
      </c>
      <c r="N30" s="145" t="inlineStr">
        <is>
          <t>01/11/2022 a 01/12/2022</t>
        </is>
      </c>
      <c r="O30" s="331" t="n">
        <v>199.84</v>
      </c>
      <c r="P30" s="331" t="n">
        <v>0</v>
      </c>
      <c r="Q30" s="331" t="n">
        <v>0</v>
      </c>
      <c r="R30" s="147" t="n"/>
      <c r="S30" s="331" t="n">
        <v>18.51</v>
      </c>
      <c r="T30" s="331" t="n">
        <v>0</v>
      </c>
      <c r="U30" s="331" t="n">
        <v>15.88</v>
      </c>
      <c r="V30" s="331" t="n">
        <v>0</v>
      </c>
      <c r="W30" s="331" t="n"/>
      <c r="X30" s="331" t="n"/>
      <c r="Y30" s="331" t="n"/>
      <c r="Z30" s="331" t="n"/>
      <c r="AA30" s="331" t="n"/>
      <c r="AB30" s="332" t="n">
        <v>0.86013</v>
      </c>
      <c r="AC30" s="332" t="n">
        <v>0.86013</v>
      </c>
      <c r="AD30" s="143" t="n">
        <v>4.4</v>
      </c>
      <c r="AE30" s="173" t="n">
        <v>6544.9</v>
      </c>
      <c r="AF30" s="143" t="n">
        <v>3.8</v>
      </c>
      <c r="AG30" s="143">
        <f>SUM(AD30:AF30)</f>
        <v/>
      </c>
      <c r="AH30" s="143">
        <f>(AD30*AB30)+((AE30+AF30)*AC30)</f>
        <v/>
      </c>
      <c r="AI30" s="143">
        <f>AD30-AS30</f>
        <v/>
      </c>
      <c r="AJ30" s="143">
        <f>AE30-AT30</f>
        <v/>
      </c>
      <c r="AK30" s="143">
        <f>AF30-AU30</f>
        <v/>
      </c>
      <c r="AL30" s="208">
        <f>SUM(AI30:AK30)</f>
        <v/>
      </c>
      <c r="AM30" s="336">
        <f>(AI30*AB30)+((AJ30+AK30)*AC30)</f>
        <v/>
      </c>
      <c r="AN30" s="143" t="n">
        <v>461.16</v>
      </c>
      <c r="AO30" s="143" t="n">
        <v>1860.6</v>
      </c>
      <c r="AP30" s="143" t="n">
        <v>747.6</v>
      </c>
      <c r="AQ30" s="124">
        <f>SUM(AN30:AP30)</f>
        <v/>
      </c>
      <c r="AR30" s="321">
        <f>(AN30*AB30)+((AO30+AP30)*AC30)</f>
        <v/>
      </c>
      <c r="AS30" s="143" t="n">
        <v>0</v>
      </c>
      <c r="AT30" s="143" t="n">
        <v>2877</v>
      </c>
      <c r="AU30" s="143" t="n">
        <v>0</v>
      </c>
      <c r="AV30" s="143">
        <f>SUM(AS30:AU30)</f>
        <v/>
      </c>
      <c r="AW30" s="143" t="n">
        <v>368.8</v>
      </c>
      <c r="AX30" s="143" t="n">
        <v>1760.6</v>
      </c>
      <c r="AY30" s="143" t="n">
        <v>747.6</v>
      </c>
      <c r="AZ30" s="143">
        <f>SUM(AW30:AY30)</f>
        <v/>
      </c>
      <c r="BA30" s="335">
        <f>(AW30*AB30)+((AX30+AY30)*AC30)</f>
        <v/>
      </c>
      <c r="BB30" s="141">
        <f>AN30-AW30</f>
        <v/>
      </c>
      <c r="BC30" s="141">
        <f>BB30*AB30</f>
        <v/>
      </c>
      <c r="BD30" s="141">
        <f>AO30-AX30</f>
        <v/>
      </c>
      <c r="BE30" s="141">
        <f>BD30*AC30</f>
        <v/>
      </c>
      <c r="BF30" s="141">
        <f>AP30-AY30</f>
        <v/>
      </c>
      <c r="BG30" s="141">
        <f>BF30*AC30</f>
        <v/>
      </c>
      <c r="BH30" s="141">
        <f>BB30+BD30+BF30</f>
        <v/>
      </c>
      <c r="BI30" s="141">
        <f>BC30+BE30+BG30</f>
        <v/>
      </c>
      <c r="BJ30" s="324">
        <f>BL30+BS30+BV30+BY30+CB30+CE30+CH30+CK30</f>
        <v/>
      </c>
      <c r="BK30" s="320">
        <f>((AI30+AW30)*AB30)+((AJ30+AK30+AX30+AY30)*AC30)</f>
        <v/>
      </c>
      <c r="BL30" s="132">
        <f>BM30+BN30+AL30</f>
        <v/>
      </c>
      <c r="BM30" s="133">
        <f>AW30</f>
        <v/>
      </c>
      <c r="BN30" s="133">
        <f>AX30+AY30</f>
        <v/>
      </c>
      <c r="BO30" s="334" t="n"/>
      <c r="BP30" s="334" t="n"/>
      <c r="BQ30" s="334" t="n">
        <v>0</v>
      </c>
      <c r="BR30" s="334" t="n"/>
      <c r="BS30" s="143" t="n">
        <v>0</v>
      </c>
      <c r="BT30" s="334" t="n"/>
      <c r="BU30" s="334" t="n">
        <v>0</v>
      </c>
      <c r="BV30" s="143" t="n">
        <v>0</v>
      </c>
      <c r="BW30" s="334" t="n"/>
      <c r="BX30" s="334" t="n">
        <v>0</v>
      </c>
      <c r="BY30" s="173" t="n"/>
      <c r="BZ30" s="326" t="n"/>
      <c r="CA30" s="173" t="n"/>
      <c r="CB30" s="173" t="n"/>
      <c r="CC30" s="326" t="n"/>
      <c r="CD30" s="143" t="n"/>
      <c r="CE30" s="143" t="n"/>
      <c r="CF30" s="334" t="n"/>
      <c r="CG30" s="143" t="n"/>
      <c r="CH30" s="143" t="n"/>
      <c r="CI30" s="334" t="n"/>
      <c r="CJ30" s="143" t="n"/>
      <c r="CK30" s="143" t="n"/>
      <c r="CL30" s="334" t="n"/>
      <c r="CM30" s="143" t="n"/>
      <c r="CN30" s="320">
        <f>BK30+BU30+BX30+CA30+CD30+CG30+CJ30+CM30</f>
        <v/>
      </c>
      <c r="CO30" s="154" t="n">
        <v>0</v>
      </c>
      <c r="CP30" s="320">
        <f>CR30*G30</f>
        <v/>
      </c>
      <c r="CQ30" s="124">
        <f>AL30+AZ30+AQ30</f>
        <v/>
      </c>
      <c r="CR30" s="154" t="n"/>
      <c r="CS30" s="155" t="n"/>
      <c r="CT30" s="155" t="n"/>
      <c r="CU30" s="177">
        <f>(BB30* AB30)+(BD30* AC30)+(BF30* AC30)+(S30+T30+U30+V30+W30+X30+Y30+Z30)</f>
        <v/>
      </c>
      <c r="CV30" s="177">
        <f>CU30-O30</f>
        <v/>
      </c>
      <c r="CW30" s="325" t="n"/>
    </row>
    <row r="31" ht="19.9" customFormat="1" customHeight="1" s="67">
      <c r="A31" s="120" t="inlineStr">
        <is>
          <t>Grupo Alucentro</t>
        </is>
      </c>
      <c r="B31" s="65" t="n">
        <v>13260479</v>
      </c>
      <c r="C31" s="120" t="inlineStr">
        <is>
          <t>Alucentro Loja</t>
        </is>
      </c>
      <c r="D31" s="121" t="inlineStr">
        <is>
          <t xml:space="preserve">Goiânia </t>
        </is>
      </c>
      <c r="E31" s="121" t="inlineStr">
        <is>
          <t>Fevereiro/2022</t>
        </is>
      </c>
      <c r="F31" s="122" t="n">
        <v>7248</v>
      </c>
      <c r="G31" s="320" t="n">
        <v>0.83</v>
      </c>
      <c r="H31" s="124">
        <f>F31*G31</f>
        <v/>
      </c>
      <c r="I31" s="121" t="inlineStr">
        <is>
          <t>Outubro/2022</t>
        </is>
      </c>
      <c r="J31" s="125" t="inlineStr">
        <is>
          <t>1 Sungrow de 50KW</t>
        </is>
      </c>
      <c r="K31" s="65" t="inlineStr">
        <is>
          <t>95 de 590W</t>
        </is>
      </c>
      <c r="L31" s="121" t="n">
        <v>45159</v>
      </c>
      <c r="M31" s="126" t="inlineStr">
        <is>
          <t>Dezembro/2022</t>
        </is>
      </c>
      <c r="N31" s="126" t="inlineStr">
        <is>
          <t>01/12/2022 a 01/01/2023</t>
        </is>
      </c>
      <c r="O31" s="321" t="n">
        <v>120.54</v>
      </c>
      <c r="P31" s="321" t="n">
        <v>0</v>
      </c>
      <c r="Q31" s="321" t="n">
        <v>0</v>
      </c>
      <c r="R31" s="207" t="n"/>
      <c r="S31" s="321" t="n">
        <v>20.91</v>
      </c>
      <c r="T31" s="321" t="n">
        <v>0</v>
      </c>
      <c r="U31" s="321" t="n">
        <v>16.34</v>
      </c>
      <c r="V31" s="321" t="n">
        <v>0</v>
      </c>
      <c r="W31" s="321" t="n"/>
      <c r="X31" s="321" t="n"/>
      <c r="Y31" s="321" t="n"/>
      <c r="Z31" s="321" t="n"/>
      <c r="AA31" s="321" t="n"/>
      <c r="AB31" s="322" t="n">
        <v>0.83287</v>
      </c>
      <c r="AC31" s="322" t="n">
        <v>0.83287</v>
      </c>
      <c r="AD31" s="124" t="n">
        <v>2.48</v>
      </c>
      <c r="AE31" s="124" t="n">
        <v>5946.67</v>
      </c>
      <c r="AF31" s="124" t="n">
        <v>11.03</v>
      </c>
      <c r="AG31" s="124">
        <f>SUM(AD31:AF31)</f>
        <v/>
      </c>
      <c r="AH31" s="124">
        <f>(AD31*AB31)+((AE31+AF31)*AC31)</f>
        <v/>
      </c>
      <c r="AI31" s="124">
        <f>AD31-AS31</f>
        <v/>
      </c>
      <c r="AJ31" s="124">
        <f>AE31-AT31</f>
        <v/>
      </c>
      <c r="AK31" s="124">
        <f>AF31-AU31</f>
        <v/>
      </c>
      <c r="AL31" s="210">
        <f>SUM(AI31:AK31)</f>
        <v/>
      </c>
      <c r="AM31" s="337">
        <f>(AI31*AB31)+((AJ31+AK31)*AC31)</f>
        <v/>
      </c>
      <c r="AN31" s="124" t="n">
        <v>340.32</v>
      </c>
      <c r="AO31" s="124" t="n">
        <v>1562.4</v>
      </c>
      <c r="AP31" s="124" t="n">
        <v>646.8</v>
      </c>
      <c r="AQ31" s="143">
        <f>SUM(AN31:AP31)</f>
        <v/>
      </c>
      <c r="AR31" s="331">
        <f>(AN31*AB31)+((AO31+AP31)*AC31)</f>
        <v/>
      </c>
      <c r="AS31" s="124" t="n">
        <v>0</v>
      </c>
      <c r="AT31" s="124" t="n">
        <v>2620.8</v>
      </c>
      <c r="AU31" s="124" t="n">
        <v>0</v>
      </c>
      <c r="AV31" s="124">
        <f>SUM(AS31:AU31)</f>
        <v/>
      </c>
      <c r="AW31" s="124" t="n">
        <v>340.32</v>
      </c>
      <c r="AX31" s="124" t="n">
        <v>1462.4</v>
      </c>
      <c r="AY31" s="124" t="n">
        <v>646.8</v>
      </c>
      <c r="AZ31" s="124">
        <f>SUM(AW31:AY31)</f>
        <v/>
      </c>
      <c r="BA31" s="335">
        <f>(AW31*AB31)+((AX31+AY31)*AC31)</f>
        <v/>
      </c>
      <c r="BB31" s="122">
        <f>AN31-AW31</f>
        <v/>
      </c>
      <c r="BC31" s="141">
        <f>BB31*AB31</f>
        <v/>
      </c>
      <c r="BD31" s="122">
        <f>AO31-AX31</f>
        <v/>
      </c>
      <c r="BE31" s="122">
        <f>BD31*AC31</f>
        <v/>
      </c>
      <c r="BF31" s="122">
        <f>AP31-AY31</f>
        <v/>
      </c>
      <c r="BG31" s="122">
        <f>BF31*AC31</f>
        <v/>
      </c>
      <c r="BH31" s="122">
        <f>BB31+BD31+BF31</f>
        <v/>
      </c>
      <c r="BI31" s="122">
        <f>BC31+BE31+BG31</f>
        <v/>
      </c>
      <c r="BJ31" s="324">
        <f>BL31+BS31+BV31+BY31+CB31+CE31+CH31+CK31</f>
        <v/>
      </c>
      <c r="BK31" s="320">
        <f>((AI31+AW31)*AB31)+((AJ31+AK31+AX31+AY31)*AC31)</f>
        <v/>
      </c>
      <c r="BL31" s="132">
        <f>BM31+BN31+AL31</f>
        <v/>
      </c>
      <c r="BM31" s="133">
        <f>AW31</f>
        <v/>
      </c>
      <c r="BN31" s="133">
        <f>AX31+AY31</f>
        <v/>
      </c>
      <c r="BO31" s="320" t="n"/>
      <c r="BP31" s="320" t="n"/>
      <c r="BQ31" s="320" t="n">
        <v>0</v>
      </c>
      <c r="BR31" s="320" t="n"/>
      <c r="BS31" s="124" t="n">
        <v>0</v>
      </c>
      <c r="BT31" s="320" t="n"/>
      <c r="BU31" s="320" t="n">
        <v>0</v>
      </c>
      <c r="BV31" s="124" t="n">
        <v>0</v>
      </c>
      <c r="BW31" s="320" t="n"/>
      <c r="BX31" s="320" t="n">
        <v>0</v>
      </c>
      <c r="BY31" s="124" t="n"/>
      <c r="BZ31" s="320" t="n"/>
      <c r="CA31" s="124" t="n"/>
      <c r="CB31" s="124" t="n"/>
      <c r="CC31" s="320" t="n"/>
      <c r="CD31" s="124" t="n"/>
      <c r="CE31" s="124" t="n"/>
      <c r="CF31" s="320" t="n"/>
      <c r="CG31" s="124" t="n"/>
      <c r="CH31" s="124" t="n"/>
      <c r="CI31" s="320" t="n"/>
      <c r="CJ31" s="124" t="n"/>
      <c r="CK31" s="124" t="n"/>
      <c r="CL31" s="320" t="n"/>
      <c r="CM31" s="124" t="n"/>
      <c r="CN31" s="320">
        <f>BK31+BU31+BX31+CA31+CD31+CG31+CJ31+CM31</f>
        <v/>
      </c>
      <c r="CO31" s="154">
        <f>AV31-(AZ31+BS31+BV31+BY31)</f>
        <v/>
      </c>
      <c r="CP31" s="320">
        <f>CR31*G31</f>
        <v/>
      </c>
      <c r="CQ31" s="124">
        <f>AL31+AZ31+AQ31</f>
        <v/>
      </c>
      <c r="CR31" s="154" t="n"/>
      <c r="CS31" s="155" t="n"/>
      <c r="CT31" s="155" t="n"/>
      <c r="CU31" s="177">
        <f>(BB31* AB31)+(BD31* AC31)+(BF31* AC31)+(S31+T31+U31+V31+W31+X31+Y31+Z31)</f>
        <v/>
      </c>
      <c r="CV31" s="177">
        <f>CU31-O31</f>
        <v/>
      </c>
      <c r="CW31" s="325" t="n"/>
    </row>
    <row r="32" ht="19.9" customFormat="1" customHeight="1" s="67">
      <c r="A32" s="233" t="inlineStr">
        <is>
          <t>Grupo Alucentro</t>
        </is>
      </c>
      <c r="B32" s="66" t="n">
        <v>13260479</v>
      </c>
      <c r="C32" s="233" t="inlineStr">
        <is>
          <t>Alucentro Loja</t>
        </is>
      </c>
      <c r="D32" s="140" t="inlineStr">
        <is>
          <t xml:space="preserve">Goiânia </t>
        </is>
      </c>
      <c r="E32" s="140" t="inlineStr">
        <is>
          <t>Fevereiro/2022</t>
        </is>
      </c>
      <c r="F32" s="141" t="n">
        <v>7248</v>
      </c>
      <c r="G32" s="326" t="n">
        <v>0.83</v>
      </c>
      <c r="H32" s="173">
        <f>F32*G32</f>
        <v/>
      </c>
      <c r="I32" s="140" t="inlineStr">
        <is>
          <t>Outubro/2022</t>
        </is>
      </c>
      <c r="J32" s="144" t="inlineStr">
        <is>
          <t>1 Sungrow de 50KW</t>
        </is>
      </c>
      <c r="K32" s="66" t="inlineStr">
        <is>
          <t>95 de 590W</t>
        </is>
      </c>
      <c r="L32" s="140" t="n">
        <v>45159</v>
      </c>
      <c r="M32" s="145" t="inlineStr">
        <is>
          <t>Janeiro/2023</t>
        </is>
      </c>
      <c r="N32" s="145" t="inlineStr">
        <is>
          <t>01/01/2023 a 01/02/2023</t>
        </is>
      </c>
      <c r="O32" s="331" t="n">
        <v>0</v>
      </c>
      <c r="P32" s="331" t="n">
        <v>0</v>
      </c>
      <c r="Q32" s="331" t="n">
        <v>0</v>
      </c>
      <c r="R32" s="147" t="n"/>
      <c r="S32" s="331" t="n">
        <v>19.4</v>
      </c>
      <c r="T32" s="331" t="n">
        <v>0</v>
      </c>
      <c r="U32" s="331" t="n">
        <v>13.67</v>
      </c>
      <c r="V32" s="331" t="n">
        <v>0</v>
      </c>
      <c r="W32" s="331" t="n"/>
      <c r="X32" s="331" t="n"/>
      <c r="Y32" s="331" t="n"/>
      <c r="Z32" s="331" t="n">
        <v>-203.38</v>
      </c>
      <c r="AA32" s="331" t="n"/>
      <c r="AB32" s="332" t="n">
        <v>0.83219</v>
      </c>
      <c r="AC32" s="332" t="n">
        <v>0.83219</v>
      </c>
      <c r="AD32" s="143" t="n">
        <v>0.07000000000000001</v>
      </c>
      <c r="AE32" s="173" t="n">
        <v>6094.08</v>
      </c>
      <c r="AF32" s="143" t="n">
        <v>22.58</v>
      </c>
      <c r="AG32" s="143">
        <f>SUM(AD32:AF32)</f>
        <v/>
      </c>
      <c r="AH32" s="143">
        <f>(AD32*AB32)+((AE32+AF32)*AC32)</f>
        <v/>
      </c>
      <c r="AI32" s="143">
        <f>AD32-AS32</f>
        <v/>
      </c>
      <c r="AJ32" s="143">
        <f>AE32-AT32</f>
        <v/>
      </c>
      <c r="AK32" s="143">
        <f>AF32-AU32</f>
        <v/>
      </c>
      <c r="AL32" s="208">
        <f>SUM(AI32:AK32)</f>
        <v/>
      </c>
      <c r="AM32" s="336">
        <f>(AI32*AB32)+((AJ32+AK32)*AC32)</f>
        <v/>
      </c>
      <c r="AN32" s="143" t="n">
        <v>396.94</v>
      </c>
      <c r="AO32" s="143" t="n">
        <v>1822.8</v>
      </c>
      <c r="AP32" s="143" t="n">
        <v>693</v>
      </c>
      <c r="AQ32" s="124">
        <f>SUM(AN32:AP32)</f>
        <v/>
      </c>
      <c r="AR32" s="321">
        <f>(AN32*AB32)+((AO32+AP32)*AC32)</f>
        <v/>
      </c>
      <c r="AS32" s="143" t="n">
        <v>0</v>
      </c>
      <c r="AT32" s="143" t="n">
        <v>2536.8</v>
      </c>
      <c r="AU32" s="143" t="n">
        <v>0</v>
      </c>
      <c r="AV32" s="143">
        <f>SUM(AS32:AU32)</f>
        <v/>
      </c>
      <c r="AW32" s="143" t="n">
        <v>292.28</v>
      </c>
      <c r="AX32" s="143" t="n">
        <v>1722.8</v>
      </c>
      <c r="AY32" s="143" t="n">
        <v>693</v>
      </c>
      <c r="AZ32" s="143">
        <f>SUM(AW32:AY32)</f>
        <v/>
      </c>
      <c r="BA32" s="335">
        <f>(AW32*AB32)+((AX32+AY32)*AC32)</f>
        <v/>
      </c>
      <c r="BB32" s="141">
        <f>AN32-AW32</f>
        <v/>
      </c>
      <c r="BC32" s="141">
        <f>BB32*AB32</f>
        <v/>
      </c>
      <c r="BD32" s="141">
        <f>AO32-AX32</f>
        <v/>
      </c>
      <c r="BE32" s="141">
        <f>BD32*AC32</f>
        <v/>
      </c>
      <c r="BF32" s="141">
        <f>AP32-AY32</f>
        <v/>
      </c>
      <c r="BG32" s="141">
        <f>BF32*AC32</f>
        <v/>
      </c>
      <c r="BH32" s="141">
        <f>BB32+BD32+BF32</f>
        <v/>
      </c>
      <c r="BI32" s="141">
        <f>BC32+BE32+BG32</f>
        <v/>
      </c>
      <c r="BJ32" s="324">
        <f>BL32+BS32+BV32+BY32+CB32+CE32+CH32+CK32</f>
        <v/>
      </c>
      <c r="BK32" s="320">
        <f>((AI32+AW32)*AB32)+((AJ32+AK32+AX32+AY32)*AC32)</f>
        <v/>
      </c>
      <c r="BL32" s="132">
        <f>BM32+BN32+AL32</f>
        <v/>
      </c>
      <c r="BM32" s="133">
        <f>AW32</f>
        <v/>
      </c>
      <c r="BN32" s="133">
        <f>AX32+AY32</f>
        <v/>
      </c>
      <c r="BO32" s="334" t="n"/>
      <c r="BP32" s="334" t="n"/>
      <c r="BQ32" s="334" t="n">
        <v>0</v>
      </c>
      <c r="BR32" s="334" t="n"/>
      <c r="BS32" s="143" t="n">
        <v>0</v>
      </c>
      <c r="BT32" s="334" t="n"/>
      <c r="BU32" s="334" t="n">
        <v>0</v>
      </c>
      <c r="BV32" s="143" t="n">
        <v>0</v>
      </c>
      <c r="BW32" s="334" t="n"/>
      <c r="BX32" s="334" t="n">
        <v>0</v>
      </c>
      <c r="BY32" s="173" t="n"/>
      <c r="BZ32" s="326" t="n"/>
      <c r="CA32" s="173" t="n"/>
      <c r="CB32" s="173" t="n"/>
      <c r="CC32" s="326" t="n"/>
      <c r="CD32" s="143" t="n"/>
      <c r="CE32" s="143" t="n"/>
      <c r="CF32" s="334" t="n"/>
      <c r="CG32" s="143" t="n"/>
      <c r="CH32" s="143" t="n"/>
      <c r="CI32" s="334" t="n"/>
      <c r="CJ32" s="143" t="n"/>
      <c r="CK32" s="143" t="n"/>
      <c r="CL32" s="334" t="n"/>
      <c r="CM32" s="143" t="n"/>
      <c r="CN32" s="320">
        <f>BK32+BU32+BX32+CA32+CD32+CG32+CJ32+CM32</f>
        <v/>
      </c>
      <c r="CO32" s="154">
        <f>(AV32-(AZ32+BV32+BY32+CB32+CE32+CH32+CK32+BS32)+CO31)</f>
        <v/>
      </c>
      <c r="CP32" s="320">
        <f>CR32*G32</f>
        <v/>
      </c>
      <c r="CQ32" s="124">
        <f>AL32+AZ32+AQ32</f>
        <v/>
      </c>
      <c r="CR32" s="154" t="n"/>
      <c r="CS32" s="155" t="n"/>
      <c r="CT32" s="155" t="n"/>
      <c r="CU32" s="177">
        <f>(BB32* AB32)+(BD32* AC32)+(BF32* AC32)+(S32+T32+U32+V32+W32+X32+Y32+Z32)</f>
        <v/>
      </c>
      <c r="CV32" s="177">
        <f>CU32-O32</f>
        <v/>
      </c>
      <c r="CW32" s="325" t="n"/>
    </row>
    <row r="33" ht="19.9" customFormat="1" customHeight="1" s="67">
      <c r="A33" s="120" t="inlineStr">
        <is>
          <t>Grupo Alucentro</t>
        </is>
      </c>
      <c r="B33" s="65" t="n">
        <v>13260479</v>
      </c>
      <c r="C33" s="120" t="inlineStr">
        <is>
          <t>Alucentro Loja</t>
        </is>
      </c>
      <c r="D33" s="121" t="inlineStr">
        <is>
          <t xml:space="preserve">Goiânia </t>
        </is>
      </c>
      <c r="E33" s="121" t="inlineStr">
        <is>
          <t>Fevereiro/2022</t>
        </is>
      </c>
      <c r="F33" s="122" t="n">
        <v>7248</v>
      </c>
      <c r="G33" s="320" t="n">
        <v>0.83</v>
      </c>
      <c r="H33" s="124">
        <f>F33*G33</f>
        <v/>
      </c>
      <c r="I33" s="121" t="inlineStr">
        <is>
          <t>Outubro/2022</t>
        </is>
      </c>
      <c r="J33" s="125" t="inlineStr">
        <is>
          <t>1 Sungrow de 50KW</t>
        </is>
      </c>
      <c r="K33" s="65" t="inlineStr">
        <is>
          <t>95 de 590W</t>
        </is>
      </c>
      <c r="L33" s="121" t="n">
        <v>45159</v>
      </c>
      <c r="M33" s="126" t="inlineStr">
        <is>
          <t>Fevereiro/2023</t>
        </is>
      </c>
      <c r="N33" s="126" t="inlineStr">
        <is>
          <t>01/02/2023 a 01/03/2023</t>
        </is>
      </c>
      <c r="O33" s="321" t="n">
        <v>193.39</v>
      </c>
      <c r="P33" s="321" t="n">
        <v>0</v>
      </c>
      <c r="Q33" s="321" t="n">
        <v>0</v>
      </c>
      <c r="R33" s="207" t="n"/>
      <c r="S33" s="321" t="n">
        <v>99.81</v>
      </c>
      <c r="T33" s="321" t="n">
        <v>0</v>
      </c>
      <c r="U33" s="321" t="n">
        <v>10.92</v>
      </c>
      <c r="V33" s="321" t="n">
        <v>0</v>
      </c>
      <c r="W33" s="321" t="n"/>
      <c r="X33" s="321" t="n"/>
      <c r="Y33" s="321" t="n"/>
      <c r="Z33" s="321" t="n">
        <v>-3.93</v>
      </c>
      <c r="AA33" s="321" t="n"/>
      <c r="AB33" s="322" t="n">
        <v>0.86587</v>
      </c>
      <c r="AC33" s="322" t="n">
        <v>0.86587</v>
      </c>
      <c r="AD33" s="124" t="n">
        <v>0</v>
      </c>
      <c r="AE33" s="124" t="n">
        <v>5872.26</v>
      </c>
      <c r="AF33" s="124" t="n">
        <v>13.87</v>
      </c>
      <c r="AG33" s="124">
        <f>SUM(AD33:AF33)</f>
        <v/>
      </c>
      <c r="AH33" s="124">
        <f>(AD33*AB33)+((AE33+AF33)*AC33)</f>
        <v/>
      </c>
      <c r="AI33" s="124">
        <f>AD33-AS33</f>
        <v/>
      </c>
      <c r="AJ33" s="124">
        <f>AE33-AT33</f>
        <v/>
      </c>
      <c r="AK33" s="124">
        <f>AF33-AU33</f>
        <v/>
      </c>
      <c r="AL33" s="210">
        <f>SUM(AI33:AK33)</f>
        <v/>
      </c>
      <c r="AM33" s="337">
        <f>(AI33*AB33)+((AJ33+AK33)*AC33)</f>
        <v/>
      </c>
      <c r="AN33" s="124" t="n">
        <v>383.71</v>
      </c>
      <c r="AO33" s="124" t="n">
        <v>1650.6</v>
      </c>
      <c r="AP33" s="124" t="n">
        <v>512.4</v>
      </c>
      <c r="AQ33" s="143">
        <f>SUM(AN33:AP33)</f>
        <v/>
      </c>
      <c r="AR33" s="331">
        <f>(AN33*AB33)+((AO33+AP33)*AC33)</f>
        <v/>
      </c>
      <c r="AS33" s="124" t="n">
        <v>0</v>
      </c>
      <c r="AT33" s="124" t="n">
        <v>2570.4</v>
      </c>
      <c r="AU33" s="124" t="n">
        <v>0</v>
      </c>
      <c r="AV33" s="124">
        <f>SUM(AS33:AU33)</f>
        <v/>
      </c>
      <c r="AW33" s="124" t="n">
        <v>383.71</v>
      </c>
      <c r="AX33" s="124" t="n">
        <v>1550.6</v>
      </c>
      <c r="AY33" s="124" t="n">
        <v>512.4</v>
      </c>
      <c r="AZ33" s="124">
        <f>SUM(AW33:AY33)</f>
        <v/>
      </c>
      <c r="BA33" s="335">
        <f>(AW33*AB33)+((AX33+AY33)*AC33)</f>
        <v/>
      </c>
      <c r="BB33" s="122">
        <f>AN33-AW33</f>
        <v/>
      </c>
      <c r="BC33" s="141">
        <f>BB33*AB33</f>
        <v/>
      </c>
      <c r="BD33" s="122">
        <f>AO33-AX33</f>
        <v/>
      </c>
      <c r="BE33" s="122">
        <f>BD33*AC33</f>
        <v/>
      </c>
      <c r="BF33" s="122">
        <f>AP33-AY33</f>
        <v/>
      </c>
      <c r="BG33" s="122">
        <f>BF33*AC33</f>
        <v/>
      </c>
      <c r="BH33" s="122">
        <f>BB33+BD33+BF33</f>
        <v/>
      </c>
      <c r="BI33" s="122">
        <f>BC33+BE33+BG33</f>
        <v/>
      </c>
      <c r="BJ33" s="324">
        <f>BL33+BS33+BV33+BY33+CB33+CE33+CH33+CK33</f>
        <v/>
      </c>
      <c r="BK33" s="320">
        <f>((AI33+AW33)*AB33)+((AJ33+AK33+AX33+AY33)*AC33)</f>
        <v/>
      </c>
      <c r="BL33" s="132">
        <f>BM33+BN33+AL33</f>
        <v/>
      </c>
      <c r="BM33" s="133">
        <f>AW33</f>
        <v/>
      </c>
      <c r="BN33" s="133">
        <f>AX33+AY33</f>
        <v/>
      </c>
      <c r="BO33" s="320" t="n"/>
      <c r="BP33" s="320" t="n"/>
      <c r="BQ33" s="320" t="n">
        <v>0</v>
      </c>
      <c r="BR33" s="320" t="n"/>
      <c r="BS33" s="124" t="n">
        <v>0</v>
      </c>
      <c r="BT33" s="320" t="n"/>
      <c r="BU33" s="320" t="n">
        <v>0</v>
      </c>
      <c r="BV33" s="124" t="n">
        <v>0</v>
      </c>
      <c r="BW33" s="320" t="n"/>
      <c r="BX33" s="320" t="n">
        <v>0</v>
      </c>
      <c r="BY33" s="124" t="n"/>
      <c r="BZ33" s="320" t="n"/>
      <c r="CA33" s="124" t="n"/>
      <c r="CB33" s="124" t="n"/>
      <c r="CC33" s="320" t="n"/>
      <c r="CD33" s="124" t="n"/>
      <c r="CE33" s="124" t="n"/>
      <c r="CF33" s="320" t="n"/>
      <c r="CG33" s="124" t="n"/>
      <c r="CH33" s="124" t="n"/>
      <c r="CI33" s="320" t="n"/>
      <c r="CJ33" s="124" t="n"/>
      <c r="CK33" s="124" t="n"/>
      <c r="CL33" s="320" t="n"/>
      <c r="CM33" s="124" t="n"/>
      <c r="CN33" s="320">
        <f>BK33+BU33+BX33+CA33+CD33+CG33+CJ33+CM33</f>
        <v/>
      </c>
      <c r="CO33" s="154">
        <f>(AV33-(AZ33+BV33+BY33+CB33+CE33+CH33+CK33+BS33)+CO32)</f>
        <v/>
      </c>
      <c r="CP33" s="320">
        <f>CR33*G33</f>
        <v/>
      </c>
      <c r="CQ33" s="124">
        <f>AL33+AZ33+AQ33</f>
        <v/>
      </c>
      <c r="CR33" s="154" t="n"/>
      <c r="CS33" s="155" t="n"/>
      <c r="CT33" s="155" t="n"/>
      <c r="CU33" s="177">
        <f>(BB33* AB33)+(BD33* AC33)+(BF33* AC33)+(S33+T33+U33+V33+W33+X33+Y33+Z33)</f>
        <v/>
      </c>
      <c r="CV33" s="177">
        <f>CU33-O33</f>
        <v/>
      </c>
      <c r="CW33" s="325" t="n"/>
    </row>
    <row r="34" ht="19.9" customFormat="1" customHeight="1" s="67">
      <c r="A34" s="233" t="inlineStr">
        <is>
          <t>Grupo Alucentro</t>
        </is>
      </c>
      <c r="B34" s="66" t="n">
        <v>13260479</v>
      </c>
      <c r="C34" s="233" t="inlineStr">
        <is>
          <t>Alucentro Loja</t>
        </is>
      </c>
      <c r="D34" s="140" t="inlineStr">
        <is>
          <t xml:space="preserve">Goiânia </t>
        </is>
      </c>
      <c r="E34" s="140" t="inlineStr">
        <is>
          <t>Fevereiro/2022</t>
        </is>
      </c>
      <c r="F34" s="141" t="n">
        <v>7248</v>
      </c>
      <c r="G34" s="326" t="n">
        <v>0.83</v>
      </c>
      <c r="H34" s="173">
        <f>F34*G34</f>
        <v/>
      </c>
      <c r="I34" s="140" t="inlineStr">
        <is>
          <t>Outubro/2022</t>
        </is>
      </c>
      <c r="J34" s="144" t="inlineStr">
        <is>
          <t>1 Sungrow de 50KW</t>
        </is>
      </c>
      <c r="K34" s="66" t="inlineStr">
        <is>
          <t>95 de 590W</t>
        </is>
      </c>
      <c r="L34" s="140" t="n">
        <v>45159</v>
      </c>
      <c r="M34" s="145" t="inlineStr">
        <is>
          <t>Março/2023</t>
        </is>
      </c>
      <c r="N34" s="145" t="inlineStr">
        <is>
          <t>01/03/2023 a 01/04/2023</t>
        </is>
      </c>
      <c r="O34" s="331" t="n">
        <v>985.01</v>
      </c>
      <c r="P34" s="331" t="n">
        <v>0</v>
      </c>
      <c r="Q34" s="331" t="n">
        <v>0</v>
      </c>
      <c r="R34" s="147" t="n"/>
      <c r="S34" s="331" t="n">
        <v>32.41</v>
      </c>
      <c r="T34" s="331" t="n">
        <v>0</v>
      </c>
      <c r="U34" s="331" t="n">
        <v>10.8</v>
      </c>
      <c r="V34" s="331" t="n">
        <v>0</v>
      </c>
      <c r="W34" s="331" t="n"/>
      <c r="X34" s="331" t="n"/>
      <c r="Y34" s="331" t="n"/>
      <c r="Z34" s="331" t="n"/>
      <c r="AA34" s="331" t="n"/>
      <c r="AB34" s="332" t="n">
        <v>0.86064</v>
      </c>
      <c r="AC34" s="332" t="n">
        <v>0.86064</v>
      </c>
      <c r="AD34" s="143" t="n">
        <v>0</v>
      </c>
      <c r="AE34" s="173" t="n">
        <v>5428.07</v>
      </c>
      <c r="AF34" s="143" t="n">
        <v>5.03</v>
      </c>
      <c r="AG34" s="143">
        <f>SUM(AD34:AF34)</f>
        <v/>
      </c>
      <c r="AH34" s="143">
        <f>(AD34*AB34)+((AE34+AF34)*AC34)</f>
        <v/>
      </c>
      <c r="AI34" s="143">
        <f>AD34-AS34</f>
        <v/>
      </c>
      <c r="AJ34" s="143">
        <f>AE34-AT34</f>
        <v/>
      </c>
      <c r="AK34" s="143">
        <f>AF34-AU34</f>
        <v/>
      </c>
      <c r="AL34" s="208">
        <f>SUM(AI34:AK34)</f>
        <v/>
      </c>
      <c r="AM34" s="336">
        <f>(AI34*AB34)+((AJ34+AK34)*AC34)</f>
        <v/>
      </c>
      <c r="AN34" s="143" t="n">
        <v>331.8</v>
      </c>
      <c r="AO34" s="143" t="n">
        <v>2263.8</v>
      </c>
      <c r="AP34" s="143" t="n">
        <v>466.2</v>
      </c>
      <c r="AQ34" s="124">
        <f>SUM(AN34:AP34)</f>
        <v/>
      </c>
      <c r="AR34" s="321">
        <f>(AN34*AB34)+((AO34+AP34)*AC34)</f>
        <v/>
      </c>
      <c r="AS34" s="143" t="n">
        <v>0</v>
      </c>
      <c r="AT34" s="143" t="n">
        <v>1843.8</v>
      </c>
      <c r="AU34" s="143" t="n">
        <v>0</v>
      </c>
      <c r="AV34" s="143">
        <f>SUM(AS34:AU34)</f>
        <v/>
      </c>
      <c r="AW34" s="143" t="n">
        <v>0</v>
      </c>
      <c r="AX34" s="143" t="n">
        <v>1967.49</v>
      </c>
      <c r="AY34" s="143" t="n">
        <v>0</v>
      </c>
      <c r="AZ34" s="143">
        <f>SUM(AW34:AY34)</f>
        <v/>
      </c>
      <c r="BA34" s="335">
        <f>(AW34*AB34)+((AX34+AY34)*AC34)</f>
        <v/>
      </c>
      <c r="BB34" s="141">
        <f>AN34-AW34</f>
        <v/>
      </c>
      <c r="BC34" s="141">
        <f>BB34*AB34</f>
        <v/>
      </c>
      <c r="BD34" s="141">
        <f>AO34-AX34</f>
        <v/>
      </c>
      <c r="BE34" s="141">
        <f>BD34*AC34</f>
        <v/>
      </c>
      <c r="BF34" s="141">
        <f>AP34-AY34</f>
        <v/>
      </c>
      <c r="BG34" s="141">
        <f>BF34*AC34</f>
        <v/>
      </c>
      <c r="BH34" s="141">
        <f>BB34+BD34+BF34</f>
        <v/>
      </c>
      <c r="BI34" s="141">
        <f>BC34+BE34+BG34</f>
        <v/>
      </c>
      <c r="BJ34" s="324">
        <f>BL34+BS34+BV34+BY34+CB34+CE34+CH34+CK34</f>
        <v/>
      </c>
      <c r="BK34" s="320">
        <f>((AI34+AW34)*AB34)+((AJ34+AK34+AX34+AY34)*AC34)</f>
        <v/>
      </c>
      <c r="BL34" s="132">
        <f>BM34+BN34+AL34</f>
        <v/>
      </c>
      <c r="BM34" s="133">
        <f>AW34</f>
        <v/>
      </c>
      <c r="BN34" s="133">
        <f>AX34+AY34</f>
        <v/>
      </c>
      <c r="BO34" s="334" t="n"/>
      <c r="BP34" s="334" t="n"/>
      <c r="BQ34" s="334" t="n">
        <v>0</v>
      </c>
      <c r="BR34" s="334" t="n"/>
      <c r="BS34" s="143" t="n">
        <v>0</v>
      </c>
      <c r="BT34" s="334" t="n"/>
      <c r="BU34" s="334" t="n">
        <v>0</v>
      </c>
      <c r="BV34" s="143" t="n">
        <v>0</v>
      </c>
      <c r="BW34" s="334" t="n"/>
      <c r="BX34" s="334" t="n">
        <v>0</v>
      </c>
      <c r="BY34" s="173" t="n"/>
      <c r="BZ34" s="326" t="n"/>
      <c r="CA34" s="173" t="n"/>
      <c r="CB34" s="173" t="n"/>
      <c r="CC34" s="326" t="n"/>
      <c r="CD34" s="143" t="n"/>
      <c r="CE34" s="143" t="n"/>
      <c r="CF34" s="334" t="n"/>
      <c r="CG34" s="143" t="n"/>
      <c r="CH34" s="143" t="n"/>
      <c r="CI34" s="334" t="n"/>
      <c r="CJ34" s="143" t="n"/>
      <c r="CK34" s="143" t="n"/>
      <c r="CL34" s="334" t="n"/>
      <c r="CM34" s="143" t="n"/>
      <c r="CN34" s="320">
        <f>BK34+BU34+BX34+CA34+CD34+CG34+CJ34+CM34</f>
        <v/>
      </c>
      <c r="CO34" s="154">
        <f>(AV34-(AZ34+BV34+BY34+CB34+CE34+CH34+CK34+BS34)+CO33)</f>
        <v/>
      </c>
      <c r="CP34" s="320">
        <f>CR34*G34</f>
        <v/>
      </c>
      <c r="CQ34" s="124">
        <f>AL34+AZ34+AQ34</f>
        <v/>
      </c>
      <c r="CR34" s="154" t="n"/>
      <c r="CS34" s="155" t="n"/>
      <c r="CT34" s="155" t="n"/>
      <c r="CU34" s="177">
        <f>(BB34* AB34)+(BD34* AC34)+(BF34* AC34)+(S34+T34+U34+V34+W34+X34+Y34+Z34)</f>
        <v/>
      </c>
      <c r="CV34" s="177">
        <f>CU34-O34</f>
        <v/>
      </c>
      <c r="CW34" s="325" t="n"/>
    </row>
    <row r="35" ht="19.9" customFormat="1" customHeight="1" s="67">
      <c r="A35" s="120" t="inlineStr">
        <is>
          <t>Grupo Alucentro</t>
        </is>
      </c>
      <c r="B35" s="65" t="n">
        <v>13260479</v>
      </c>
      <c r="C35" s="120" t="inlineStr">
        <is>
          <t>Alucentro Loja</t>
        </is>
      </c>
      <c r="D35" s="121" t="inlineStr">
        <is>
          <t xml:space="preserve">Goiânia </t>
        </is>
      </c>
      <c r="E35" s="121" t="inlineStr">
        <is>
          <t>Fevereiro/2022</t>
        </is>
      </c>
      <c r="F35" s="122" t="n">
        <v>7248</v>
      </c>
      <c r="G35" s="320" t="n">
        <v>0.83</v>
      </c>
      <c r="H35" s="124">
        <f>F35*G35</f>
        <v/>
      </c>
      <c r="I35" s="121" t="inlineStr">
        <is>
          <t>Outubro/2022</t>
        </is>
      </c>
      <c r="J35" s="125" t="inlineStr">
        <is>
          <t>1 Sungrow de 50KW</t>
        </is>
      </c>
      <c r="K35" s="65" t="inlineStr">
        <is>
          <t>95 de 590W</t>
        </is>
      </c>
      <c r="L35" s="121" t="n">
        <v>45159</v>
      </c>
      <c r="M35" s="126" t="inlineStr">
        <is>
          <t>Abril/2023</t>
        </is>
      </c>
      <c r="N35" s="126" t="inlineStr">
        <is>
          <t>01/04/2023 a 01/05/2023</t>
        </is>
      </c>
      <c r="O35" s="321" t="n">
        <v>351.58</v>
      </c>
      <c r="P35" s="321" t="n">
        <v>0</v>
      </c>
      <c r="Q35" s="321" t="n">
        <v>0</v>
      </c>
      <c r="R35" s="207" t="n"/>
      <c r="S35" s="321" t="n">
        <v>30.99</v>
      </c>
      <c r="T35" s="321" t="n">
        <v>0</v>
      </c>
      <c r="U35" s="321" t="n">
        <v>11.54</v>
      </c>
      <c r="V35" s="321" t="n">
        <v>0</v>
      </c>
      <c r="W35" s="321" t="n"/>
      <c r="X35" s="321" t="n"/>
      <c r="Y35" s="321" t="n"/>
      <c r="Z35" s="321" t="n"/>
      <c r="AA35" s="321" t="n"/>
      <c r="AB35" s="322" t="n">
        <v>0.864042</v>
      </c>
      <c r="AC35" s="322" t="n">
        <v>0.864042</v>
      </c>
      <c r="AD35" s="124" t="n">
        <v>0</v>
      </c>
      <c r="AE35" s="124" t="n">
        <v>5237</v>
      </c>
      <c r="AF35" s="124" t="n">
        <v>0.02</v>
      </c>
      <c r="AG35" s="124">
        <f>SUM(AD35:AF35)</f>
        <v/>
      </c>
      <c r="AH35" s="124">
        <f>(AD35*AB35)+((AE35+AF35)*AC35)</f>
        <v/>
      </c>
      <c r="AI35" s="124">
        <f>AD35-AS35</f>
        <v/>
      </c>
      <c r="AJ35" s="124">
        <f>AE35-AT35</f>
        <v/>
      </c>
      <c r="AK35" s="124">
        <f>AF35-AU35</f>
        <v/>
      </c>
      <c r="AL35" s="210">
        <f>SUM(AI35:AK35)</f>
        <v/>
      </c>
      <c r="AM35" s="337">
        <f>(AI35*AB35)+((AJ35+AK35)*AC35)</f>
        <v/>
      </c>
      <c r="AN35" s="124" t="n">
        <v>336.67</v>
      </c>
      <c r="AO35" s="124" t="n">
        <v>1852.2</v>
      </c>
      <c r="AP35" s="124" t="n">
        <v>457.8</v>
      </c>
      <c r="AQ35" s="143">
        <f>SUM(AN35:AP35)</f>
        <v/>
      </c>
      <c r="AR35" s="331">
        <f>(AN35*AB35)+((AO35+AP35)*AC35)</f>
        <v/>
      </c>
      <c r="AS35" s="124" t="n">
        <v>0</v>
      </c>
      <c r="AT35" s="124" t="n">
        <v>2289</v>
      </c>
      <c r="AU35" s="124" t="n">
        <v>0</v>
      </c>
      <c r="AV35" s="124">
        <f>SUM(AS35:AU35)</f>
        <v/>
      </c>
      <c r="AW35" s="124" t="n">
        <v>79</v>
      </c>
      <c r="AX35" s="124" t="n">
        <v>1752.2</v>
      </c>
      <c r="AY35" s="124" t="n">
        <v>457.8</v>
      </c>
      <c r="AZ35" s="124">
        <f>SUM(AW35:AY35)</f>
        <v/>
      </c>
      <c r="BA35" s="335">
        <f>(AW35*AB35)+((AX35+AY35)*AC35)</f>
        <v/>
      </c>
      <c r="BB35" s="122">
        <f>AN35-AW35</f>
        <v/>
      </c>
      <c r="BC35" s="141">
        <f>BB35*AB35</f>
        <v/>
      </c>
      <c r="BD35" s="122">
        <f>AO35-AX35</f>
        <v/>
      </c>
      <c r="BE35" s="122">
        <f>BD35*AC35</f>
        <v/>
      </c>
      <c r="BF35" s="122">
        <f>AP35-AY35</f>
        <v/>
      </c>
      <c r="BG35" s="122">
        <f>BF35*AC35</f>
        <v/>
      </c>
      <c r="BH35" s="122">
        <f>BB35+BD35+BF35</f>
        <v/>
      </c>
      <c r="BI35" s="122">
        <f>BC35+BE35+BG35</f>
        <v/>
      </c>
      <c r="BJ35" s="324">
        <f>BL35+BS35+BV35+BY35+CB35+CE35+CH35+CK35</f>
        <v/>
      </c>
      <c r="BK35" s="320">
        <f>((AI35+AW35)*AB35)+((AJ35+AK35+AX35+AY35)*AC35)</f>
        <v/>
      </c>
      <c r="BL35" s="132">
        <f>BM35+BN35+AL35</f>
        <v/>
      </c>
      <c r="BM35" s="133">
        <f>AW35</f>
        <v/>
      </c>
      <c r="BN35" s="133">
        <f>AX35+AY35</f>
        <v/>
      </c>
      <c r="BO35" s="320" t="n"/>
      <c r="BP35" s="320" t="n"/>
      <c r="BQ35" s="320" t="n">
        <v>0</v>
      </c>
      <c r="BR35" s="320" t="n"/>
      <c r="BS35" s="124" t="n">
        <v>0</v>
      </c>
      <c r="BT35" s="320" t="n"/>
      <c r="BU35" s="320" t="n">
        <v>0</v>
      </c>
      <c r="BV35" s="124" t="n">
        <v>0</v>
      </c>
      <c r="BW35" s="320" t="n"/>
      <c r="BX35" s="320" t="n">
        <v>0</v>
      </c>
      <c r="BY35" s="124" t="n"/>
      <c r="BZ35" s="320" t="n"/>
      <c r="CA35" s="124" t="n"/>
      <c r="CB35" s="124" t="n"/>
      <c r="CC35" s="320" t="n"/>
      <c r="CD35" s="124" t="n"/>
      <c r="CE35" s="124" t="n"/>
      <c r="CF35" s="320" t="n"/>
      <c r="CG35" s="124" t="n"/>
      <c r="CH35" s="124" t="n"/>
      <c r="CI35" s="320" t="n"/>
      <c r="CJ35" s="124" t="n"/>
      <c r="CK35" s="124" t="n"/>
      <c r="CL35" s="320" t="n"/>
      <c r="CM35" s="124" t="n"/>
      <c r="CN35" s="320">
        <f>BK35+BU35+BX35+CA35+CD35+CG35+CJ35+CM35</f>
        <v/>
      </c>
      <c r="CO35" s="154">
        <f>(AV35-(AZ35+BV35+BY35+CB35+CE35+CH35+CK35+BS35)+CO34)</f>
        <v/>
      </c>
      <c r="CP35" s="320">
        <f>CR35*G35</f>
        <v/>
      </c>
      <c r="CQ35" s="124">
        <f>AL35+AZ35+AQ35</f>
        <v/>
      </c>
      <c r="CR35" s="154" t="n"/>
      <c r="CS35" s="155" t="n"/>
      <c r="CT35" s="155" t="n"/>
      <c r="CU35" s="177" t="n"/>
      <c r="CV35" s="177" t="n"/>
      <c r="CW35" s="325" t="n"/>
    </row>
    <row r="36" ht="19.9" customFormat="1" customHeight="1" s="67">
      <c r="A36" s="233" t="inlineStr">
        <is>
          <t>Grupo Alucentro</t>
        </is>
      </c>
      <c r="B36" s="66" t="n">
        <v>13260479</v>
      </c>
      <c r="C36" s="233" t="inlineStr">
        <is>
          <t>Alucentro Loja</t>
        </is>
      </c>
      <c r="D36" s="140" t="inlineStr">
        <is>
          <t xml:space="preserve">Goiânia </t>
        </is>
      </c>
      <c r="E36" s="140" t="inlineStr">
        <is>
          <t>Fevereiro/2022</t>
        </is>
      </c>
      <c r="F36" s="141" t="n">
        <v>7248</v>
      </c>
      <c r="G36" s="326" t="n">
        <v>0.83</v>
      </c>
      <c r="H36" s="173">
        <f>F36*G36</f>
        <v/>
      </c>
      <c r="I36" s="140" t="inlineStr">
        <is>
          <t>Outubro/2022</t>
        </is>
      </c>
      <c r="J36" s="144" t="inlineStr">
        <is>
          <t>1 Sungrow de 50KW</t>
        </is>
      </c>
      <c r="K36" s="66" t="inlineStr">
        <is>
          <t>95 de 590W</t>
        </is>
      </c>
      <c r="L36" s="140" t="n">
        <v>45159</v>
      </c>
      <c r="M36" s="145" t="inlineStr">
        <is>
          <t>Maio/2023</t>
        </is>
      </c>
      <c r="N36" s="145" t="inlineStr">
        <is>
          <t>01/05/2023 a 01/06/2023</t>
        </is>
      </c>
      <c r="O36" s="331" t="n">
        <v>564.67</v>
      </c>
      <c r="P36" s="331" t="n">
        <v>0</v>
      </c>
      <c r="Q36" s="331" t="n">
        <v>0</v>
      </c>
      <c r="R36" s="147" t="n"/>
      <c r="S36" s="331" t="n">
        <v>32.53</v>
      </c>
      <c r="T36" s="331" t="n">
        <v>0</v>
      </c>
      <c r="U36" s="331" t="n">
        <v>11.57</v>
      </c>
      <c r="V36" s="331" t="n">
        <v>0</v>
      </c>
      <c r="W36" s="331" t="n"/>
      <c r="X36" s="331" t="n"/>
      <c r="Y36" s="331" t="n"/>
      <c r="Z36" s="331" t="n"/>
      <c r="AA36" s="331" t="n"/>
      <c r="AB36" s="332" t="n">
        <v>0.824586</v>
      </c>
      <c r="AC36" s="332" t="n">
        <v>0.824586</v>
      </c>
      <c r="AD36" s="143" t="n">
        <v>0</v>
      </c>
      <c r="AE36" s="173" t="n">
        <v>5653.06</v>
      </c>
      <c r="AF36" s="143" t="n">
        <v>0</v>
      </c>
      <c r="AG36" s="143">
        <f>SUM(AD36:AF36)</f>
        <v/>
      </c>
      <c r="AH36" s="143">
        <f>(AD36*AB36)+((AE36+AF36)*AC36)</f>
        <v/>
      </c>
      <c r="AI36" s="143">
        <f>AD36-AS36</f>
        <v/>
      </c>
      <c r="AJ36" s="143">
        <f>AE36-AT36</f>
        <v/>
      </c>
      <c r="AK36" s="143">
        <f>AF36-AU36</f>
        <v/>
      </c>
      <c r="AL36" s="208">
        <f>SUM(AI36:AK36)</f>
        <v/>
      </c>
      <c r="AM36" s="336">
        <f>(AI36*AB36)+((AJ36+AK36)*AC36)</f>
        <v/>
      </c>
      <c r="AN36" s="143" t="n">
        <v>408.7</v>
      </c>
      <c r="AO36" s="143" t="n">
        <v>1810.2</v>
      </c>
      <c r="AP36" s="143" t="n">
        <v>693</v>
      </c>
      <c r="AQ36" s="124">
        <f>SUM(AN36:AP36)</f>
        <v/>
      </c>
      <c r="AR36" s="321">
        <f>(AN36*AB36)+((AO36+AP36)*AC36)</f>
        <v/>
      </c>
      <c r="AS36" s="143" t="n">
        <v>0</v>
      </c>
      <c r="AT36" s="143" t="n">
        <v>2280.6</v>
      </c>
      <c r="AU36" s="143" t="n">
        <v>0</v>
      </c>
      <c r="AV36" s="143">
        <f>SUM(AS36:AU36)</f>
        <v/>
      </c>
      <c r="AW36" s="143" t="n">
        <v>0</v>
      </c>
      <c r="AX36" s="143" t="n">
        <v>1710.2</v>
      </c>
      <c r="AY36" s="143" t="n">
        <v>570.4</v>
      </c>
      <c r="AZ36" s="143">
        <f>SUM(AW36:AY36)</f>
        <v/>
      </c>
      <c r="BA36" s="335">
        <f>(AW36*AB36)+((AX36+AY36)*AC36)</f>
        <v/>
      </c>
      <c r="BB36" s="141">
        <f>AN36-AW36</f>
        <v/>
      </c>
      <c r="BC36" s="141">
        <f>BB36*AB36</f>
        <v/>
      </c>
      <c r="BD36" s="141">
        <f>AO36-AX36</f>
        <v/>
      </c>
      <c r="BE36" s="141">
        <f>BD36*AC36</f>
        <v/>
      </c>
      <c r="BF36" s="141">
        <f>AP36-AY36</f>
        <v/>
      </c>
      <c r="BG36" s="141">
        <f>BF36*AC36</f>
        <v/>
      </c>
      <c r="BH36" s="141">
        <f>BB36+BD36+BF36</f>
        <v/>
      </c>
      <c r="BI36" s="141">
        <f>BC36+BE36+BG36</f>
        <v/>
      </c>
      <c r="BJ36" s="324">
        <f>BL36+BS36+BV36+BY36+CB36+CE36+CH36+CK36</f>
        <v/>
      </c>
      <c r="BK36" s="320">
        <f>((AI36+AW36)*AB36)+((AJ36+AK36+AX36+AY36)*AC36)</f>
        <v/>
      </c>
      <c r="BL36" s="132">
        <f>BM36+BN36+AL36</f>
        <v/>
      </c>
      <c r="BM36" s="133">
        <f>AW36</f>
        <v/>
      </c>
      <c r="BN36" s="133">
        <f>AX36+AY36</f>
        <v/>
      </c>
      <c r="BO36" s="334" t="n"/>
      <c r="BP36" s="334" t="n"/>
      <c r="BQ36" s="334" t="n">
        <v>0</v>
      </c>
      <c r="BR36" s="334" t="n"/>
      <c r="BS36" s="143" t="n">
        <v>0</v>
      </c>
      <c r="BT36" s="334" t="n"/>
      <c r="BU36" s="334" t="n">
        <v>0</v>
      </c>
      <c r="BV36" s="143" t="n">
        <v>0</v>
      </c>
      <c r="BW36" s="334" t="n"/>
      <c r="BX36" s="334" t="n">
        <v>0</v>
      </c>
      <c r="BY36" s="173" t="n"/>
      <c r="BZ36" s="326" t="n"/>
      <c r="CA36" s="173" t="n"/>
      <c r="CB36" s="173" t="n"/>
      <c r="CC36" s="326" t="n"/>
      <c r="CD36" s="143" t="n"/>
      <c r="CE36" s="143" t="n"/>
      <c r="CF36" s="334" t="n"/>
      <c r="CG36" s="143" t="n"/>
      <c r="CH36" s="143" t="n"/>
      <c r="CI36" s="334" t="n"/>
      <c r="CJ36" s="143" t="n"/>
      <c r="CK36" s="143" t="n"/>
      <c r="CL36" s="334" t="n"/>
      <c r="CM36" s="143" t="n"/>
      <c r="CN36" s="320">
        <f>BK36+BU36+BX36+CA36+CD36+CG36+CJ36+CM36</f>
        <v/>
      </c>
      <c r="CO36" s="154">
        <f>(AV36-(AZ36+BV36+BY36+CB36+CE36+CH36+CK36+BS36)+CO35)</f>
        <v/>
      </c>
      <c r="CP36" s="320">
        <f>CR36*G36</f>
        <v/>
      </c>
      <c r="CQ36" s="124">
        <f>AL36+AZ36+AQ36</f>
        <v/>
      </c>
      <c r="CR36" s="154" t="n"/>
      <c r="CS36" s="155" t="n"/>
      <c r="CT36" s="155" t="n"/>
      <c r="CU36" s="177" t="n"/>
      <c r="CV36" s="177" t="n"/>
      <c r="CW36" s="325" t="n"/>
    </row>
    <row r="37" ht="19.9" customFormat="1" customHeight="1" s="67">
      <c r="A37" s="120" t="inlineStr">
        <is>
          <t>Grupo Alucentro</t>
        </is>
      </c>
      <c r="B37" s="65" t="n">
        <v>13260479</v>
      </c>
      <c r="C37" s="120" t="inlineStr">
        <is>
          <t>Alucentro Loja</t>
        </is>
      </c>
      <c r="D37" s="121" t="inlineStr">
        <is>
          <t xml:space="preserve">Goiânia </t>
        </is>
      </c>
      <c r="E37" s="121" t="inlineStr">
        <is>
          <t>Fevereiro/2022</t>
        </is>
      </c>
      <c r="F37" s="122" t="n">
        <v>7248</v>
      </c>
      <c r="G37" s="320" t="n">
        <v>0.83</v>
      </c>
      <c r="H37" s="124">
        <f>F37*G37</f>
        <v/>
      </c>
      <c r="I37" s="121" t="inlineStr">
        <is>
          <t>Outubro/2022</t>
        </is>
      </c>
      <c r="J37" s="125" t="inlineStr">
        <is>
          <t>1 Sungrow de 50KW</t>
        </is>
      </c>
      <c r="K37" s="65" t="inlineStr">
        <is>
          <t>95 de 590W</t>
        </is>
      </c>
      <c r="L37" s="121" t="n">
        <v>45159</v>
      </c>
      <c r="M37" s="126" t="inlineStr">
        <is>
          <t>Junho/2023</t>
        </is>
      </c>
      <c r="N37" s="126" t="inlineStr">
        <is>
          <t>01/06/2023 a 01/07/2023</t>
        </is>
      </c>
      <c r="O37" s="321" t="n">
        <v>1583.68</v>
      </c>
      <c r="P37" s="321" t="n">
        <v>0</v>
      </c>
      <c r="Q37" s="321" t="n">
        <v>0</v>
      </c>
      <c r="R37" s="207" t="n"/>
      <c r="S37" s="321" t="n">
        <v>31.45</v>
      </c>
      <c r="T37" s="321" t="n">
        <v>0</v>
      </c>
      <c r="U37" s="321" t="n">
        <v>11.04</v>
      </c>
      <c r="V37" s="321" t="n">
        <v>0</v>
      </c>
      <c r="W37" s="321" t="n"/>
      <c r="X37" s="321" t="n"/>
      <c r="Y37" s="321" t="n"/>
      <c r="Z37" s="321" t="n"/>
      <c r="AA37" s="321" t="n"/>
      <c r="AB37" s="322" t="n">
        <v>0.835099</v>
      </c>
      <c r="AC37" s="322" t="n">
        <v>0.835099</v>
      </c>
      <c r="AD37" s="124" t="n">
        <v>0</v>
      </c>
      <c r="AE37" s="124" t="n">
        <v>4375.8</v>
      </c>
      <c r="AF37" s="124" t="n">
        <v>0</v>
      </c>
      <c r="AG37" s="124">
        <f>SUM(AD37:AF37)</f>
        <v/>
      </c>
      <c r="AH37" s="124">
        <f>(AD37*AB37)+((AE37+AF37)*AC37)</f>
        <v/>
      </c>
      <c r="AI37" s="124">
        <f>AD37-AS37</f>
        <v/>
      </c>
      <c r="AJ37" s="124">
        <f>AE37-AT37</f>
        <v/>
      </c>
      <c r="AK37" s="124">
        <f>AF37-AU37</f>
        <v/>
      </c>
      <c r="AL37" s="210">
        <f>SUM(AI37:AK37)</f>
        <v/>
      </c>
      <c r="AM37" s="337">
        <f>(AI37*AB37)+((AJ37+AK37)*AC37)</f>
        <v/>
      </c>
      <c r="AN37" s="124" t="n">
        <v>476.32</v>
      </c>
      <c r="AO37" s="124" t="n">
        <v>2037</v>
      </c>
      <c r="AP37" s="124" t="n">
        <v>793.8</v>
      </c>
      <c r="AQ37" s="143">
        <f>SUM(AN37:AP37)</f>
        <v/>
      </c>
      <c r="AR37" s="331">
        <f>(AN37*AB37)+((AO37+AP37)*AC37)</f>
        <v/>
      </c>
      <c r="AS37" s="124" t="n">
        <v>0</v>
      </c>
      <c r="AT37" s="124" t="n">
        <v>1461.6</v>
      </c>
      <c r="AU37" s="124" t="n">
        <v>0</v>
      </c>
      <c r="AV37" s="124">
        <f>SUM(AS37:AU37)</f>
        <v/>
      </c>
      <c r="AW37" s="124" t="n">
        <v>0</v>
      </c>
      <c r="AX37" s="124" t="n">
        <v>1461.6</v>
      </c>
      <c r="AY37" s="124" t="n">
        <v>0</v>
      </c>
      <c r="AZ37" s="124">
        <f>SUM(AW37:AY37)</f>
        <v/>
      </c>
      <c r="BA37" s="335">
        <f>(AW37*AB37)+((AX37+AY37)*AC37)</f>
        <v/>
      </c>
      <c r="BB37" s="122">
        <f>AN37-AW37</f>
        <v/>
      </c>
      <c r="BC37" s="141">
        <f>BB37*AB37</f>
        <v/>
      </c>
      <c r="BD37" s="122">
        <f>AO37-AX37</f>
        <v/>
      </c>
      <c r="BE37" s="122">
        <f>BD37*AC37</f>
        <v/>
      </c>
      <c r="BF37" s="122">
        <f>AP37-AY37</f>
        <v/>
      </c>
      <c r="BG37" s="122">
        <f>BF37*AC37</f>
        <v/>
      </c>
      <c r="BH37" s="122">
        <f>BB37+BD37+BF37</f>
        <v/>
      </c>
      <c r="BI37" s="122">
        <f>BC37+BE37+BG37</f>
        <v/>
      </c>
      <c r="BJ37" s="324">
        <f>BL37+BS37+BV37+BY37+CB37+CE37+CH37+CK37</f>
        <v/>
      </c>
      <c r="BK37" s="320">
        <f>((AI37+AW37)*AB37)+((AJ37+AK37+AX37+AY37)*AC37)</f>
        <v/>
      </c>
      <c r="BL37" s="132">
        <f>BM37+BN37+AL37</f>
        <v/>
      </c>
      <c r="BM37" s="133">
        <f>AW37</f>
        <v/>
      </c>
      <c r="BN37" s="133">
        <f>AX37+AY37</f>
        <v/>
      </c>
      <c r="BO37" s="320" t="n"/>
      <c r="BP37" s="320" t="n"/>
      <c r="BQ37" s="320" t="n">
        <v>0</v>
      </c>
      <c r="BR37" s="320" t="n"/>
      <c r="BS37" s="124" t="n">
        <v>0</v>
      </c>
      <c r="BT37" s="320" t="n"/>
      <c r="BU37" s="320" t="n">
        <v>0</v>
      </c>
      <c r="BV37" s="124" t="n">
        <v>0</v>
      </c>
      <c r="BW37" s="320" t="n"/>
      <c r="BX37" s="320" t="n">
        <v>0</v>
      </c>
      <c r="BY37" s="124" t="n"/>
      <c r="BZ37" s="320" t="n"/>
      <c r="CA37" s="124" t="n"/>
      <c r="CB37" s="124" t="n"/>
      <c r="CC37" s="320" t="n"/>
      <c r="CD37" s="124" t="n"/>
      <c r="CE37" s="124" t="n"/>
      <c r="CF37" s="320" t="n"/>
      <c r="CG37" s="124" t="n"/>
      <c r="CH37" s="124" t="n"/>
      <c r="CI37" s="320" t="n"/>
      <c r="CJ37" s="124" t="n"/>
      <c r="CK37" s="124" t="n"/>
      <c r="CL37" s="320" t="n"/>
      <c r="CM37" s="124" t="n"/>
      <c r="CN37" s="320">
        <f>BK37+BU37+BX37+CA37+CD37+CG37+CJ37+CM37</f>
        <v/>
      </c>
      <c r="CO37" s="154">
        <f>(AV37-(AZ37+BV37+BY37+CB37+CE37+CH37+CK37+BS37)+CO36)</f>
        <v/>
      </c>
      <c r="CP37" s="320">
        <f>CR37*G37</f>
        <v/>
      </c>
      <c r="CQ37" s="124">
        <f>AL37+AZ37+AQ37</f>
        <v/>
      </c>
      <c r="CR37" s="154" t="n"/>
      <c r="CS37" s="155" t="n"/>
      <c r="CT37" s="155" t="n"/>
      <c r="CU37" s="177" t="n"/>
      <c r="CV37" s="177" t="n"/>
      <c r="CW37" s="325" t="n"/>
    </row>
    <row r="38" ht="19.9" customFormat="1" customHeight="1" s="67">
      <c r="A38" s="233" t="inlineStr">
        <is>
          <t>Grupo Alucentro</t>
        </is>
      </c>
      <c r="B38" s="66" t="n">
        <v>13260479</v>
      </c>
      <c r="C38" s="233" t="inlineStr">
        <is>
          <t>Alucentro Loja</t>
        </is>
      </c>
      <c r="D38" s="140" t="inlineStr">
        <is>
          <t xml:space="preserve">Goiânia </t>
        </is>
      </c>
      <c r="E38" s="140" t="inlineStr">
        <is>
          <t>Fevereiro/2022</t>
        </is>
      </c>
      <c r="F38" s="141" t="n">
        <v>7248</v>
      </c>
      <c r="G38" s="326" t="n">
        <v>0.83</v>
      </c>
      <c r="H38" s="173">
        <f>F38*G38</f>
        <v/>
      </c>
      <c r="I38" s="140" t="inlineStr">
        <is>
          <t>Outubro/2022</t>
        </is>
      </c>
      <c r="J38" s="144" t="inlineStr">
        <is>
          <t>1 Sungrow de 50KW</t>
        </is>
      </c>
      <c r="K38" s="66" t="inlineStr">
        <is>
          <t>95 de 590W</t>
        </is>
      </c>
      <c r="L38" s="140" t="n">
        <v>45159</v>
      </c>
      <c r="M38" s="145" t="inlineStr">
        <is>
          <t>Julho/2023</t>
        </is>
      </c>
      <c r="N38" s="145" t="inlineStr">
        <is>
          <t>01/07/2023 a 01/08/2023</t>
        </is>
      </c>
      <c r="O38" s="331" t="n">
        <v>1852.3</v>
      </c>
      <c r="P38" s="331" t="n">
        <v>0</v>
      </c>
      <c r="Q38" s="331" t="n">
        <v>0</v>
      </c>
      <c r="R38" s="147" t="n"/>
      <c r="S38" s="331" t="n">
        <v>33.33</v>
      </c>
      <c r="T38" s="331" t="n">
        <v>0</v>
      </c>
      <c r="U38" s="331" t="n">
        <v>11.83</v>
      </c>
      <c r="V38" s="331" t="n">
        <v>0</v>
      </c>
      <c r="W38" s="331" t="n"/>
      <c r="X38" s="331" t="n"/>
      <c r="Y38" s="331" t="n"/>
      <c r="Z38" s="331" t="n"/>
      <c r="AA38" s="331" t="n"/>
      <c r="AB38" s="332" t="n">
        <v>0.844714</v>
      </c>
      <c r="AC38" s="332" t="n">
        <v>0.844714</v>
      </c>
      <c r="AD38" s="143" t="n">
        <v>0</v>
      </c>
      <c r="AE38" s="173" t="n">
        <v>4378.19</v>
      </c>
      <c r="AF38" s="143" t="n">
        <v>0</v>
      </c>
      <c r="AG38" s="143">
        <f>SUM(AD38:AF38)</f>
        <v/>
      </c>
      <c r="AH38" s="143">
        <f>(AD38*AB38)+((AE38+AF38)*AC38)</f>
        <v/>
      </c>
      <c r="AI38" s="143">
        <f>AD38-AS38</f>
        <v/>
      </c>
      <c r="AJ38" s="143">
        <f>AE38-AT38</f>
        <v/>
      </c>
      <c r="AK38" s="143">
        <f>AF38-AU38</f>
        <v/>
      </c>
      <c r="AL38" s="208">
        <f>SUM(AI38:AK38)</f>
        <v/>
      </c>
      <c r="AM38" s="336">
        <f>(AI38*AB38)+((AJ38+AK38)*AC38)</f>
        <v/>
      </c>
      <c r="AN38" s="143" t="n">
        <v>476.15</v>
      </c>
      <c r="AO38" s="143" t="n">
        <v>2238.6</v>
      </c>
      <c r="AP38" s="143" t="n">
        <v>814.8</v>
      </c>
      <c r="AQ38" s="124">
        <f>SUM(AN38:AP38)</f>
        <v/>
      </c>
      <c r="AR38" s="321">
        <f>(AN38*AB38)+((AO38+AP38)*AC38)</f>
        <v/>
      </c>
      <c r="AS38" s="143" t="n">
        <v>0</v>
      </c>
      <c r="AT38" s="143" t="n">
        <v>1390.2</v>
      </c>
      <c r="AU38" s="143" t="n">
        <v>0</v>
      </c>
      <c r="AV38" s="143">
        <f>SUM(AS38:AU38)</f>
        <v/>
      </c>
      <c r="AW38" s="143" t="n">
        <v>0</v>
      </c>
      <c r="AX38" s="143" t="n">
        <v>1390.2</v>
      </c>
      <c r="AY38" s="143" t="n">
        <v>0</v>
      </c>
      <c r="AZ38" s="143">
        <f>SUM(AW38:AY38)</f>
        <v/>
      </c>
      <c r="BA38" s="335">
        <f>(AW38*AB38)+((AX38+AY38)*AC38)</f>
        <v/>
      </c>
      <c r="BB38" s="141">
        <f>AN38-AW38</f>
        <v/>
      </c>
      <c r="BC38" s="141">
        <f>BB38*AB38</f>
        <v/>
      </c>
      <c r="BD38" s="141">
        <f>AO38-AX38</f>
        <v/>
      </c>
      <c r="BE38" s="141">
        <f>BD38*AC38</f>
        <v/>
      </c>
      <c r="BF38" s="141">
        <f>AP38-AY38</f>
        <v/>
      </c>
      <c r="BG38" s="141">
        <f>BF38*AC38</f>
        <v/>
      </c>
      <c r="BH38" s="141">
        <f>BB38+BD38+BF38</f>
        <v/>
      </c>
      <c r="BI38" s="141">
        <f>BC38+BE38+BG38</f>
        <v/>
      </c>
      <c r="BJ38" s="324">
        <f>BL38+BS38+BV38+BY38+CB38+CE38+CH38+CK38</f>
        <v/>
      </c>
      <c r="BK38" s="320">
        <f>((AI38+AW38)*AB38)+((AJ38+AK38+AX38+AY38)*AC38)</f>
        <v/>
      </c>
      <c r="BL38" s="132">
        <f>BM38+BN38+AL38</f>
        <v/>
      </c>
      <c r="BM38" s="133">
        <f>AW38</f>
        <v/>
      </c>
      <c r="BN38" s="133">
        <f>AX38+AY38</f>
        <v/>
      </c>
      <c r="BO38" s="334" t="n"/>
      <c r="BP38" s="334" t="n"/>
      <c r="BQ38" s="334" t="n">
        <v>0</v>
      </c>
      <c r="BR38" s="334" t="n"/>
      <c r="BS38" s="143" t="n">
        <v>0</v>
      </c>
      <c r="BT38" s="334" t="n"/>
      <c r="BU38" s="334" t="n">
        <v>0</v>
      </c>
      <c r="BV38" s="143" t="n">
        <v>0</v>
      </c>
      <c r="BW38" s="334" t="n"/>
      <c r="BX38" s="334" t="n">
        <v>0</v>
      </c>
      <c r="BY38" s="173" t="n"/>
      <c r="BZ38" s="326" t="n"/>
      <c r="CA38" s="173" t="n"/>
      <c r="CB38" s="173" t="n"/>
      <c r="CC38" s="326" t="n"/>
      <c r="CD38" s="143" t="n"/>
      <c r="CE38" s="143" t="n"/>
      <c r="CF38" s="334" t="n"/>
      <c r="CG38" s="143" t="n"/>
      <c r="CH38" s="143" t="n"/>
      <c r="CI38" s="334" t="n"/>
      <c r="CJ38" s="143" t="n"/>
      <c r="CK38" s="143" t="n"/>
      <c r="CL38" s="334" t="n"/>
      <c r="CM38" s="143" t="n"/>
      <c r="CN38" s="320">
        <f>BK38+BU38+BX38+CA38+CD38+CG38+CJ38+CM38</f>
        <v/>
      </c>
      <c r="CO38" s="154">
        <f>(AV38-(AZ38+BV38+BY38+CB38+CE38+CH38+CK38+BS38)+CO37)</f>
        <v/>
      </c>
      <c r="CP38" s="320">
        <f>CR38*G38</f>
        <v/>
      </c>
      <c r="CQ38" s="124">
        <f>AL38+AZ38+AQ38</f>
        <v/>
      </c>
      <c r="CR38" s="154" t="n"/>
      <c r="CS38" s="155" t="n"/>
      <c r="CT38" s="155" t="n"/>
      <c r="CU38" s="177" t="n"/>
      <c r="CV38" s="177" t="n"/>
      <c r="CW38" s="325" t="n"/>
    </row>
    <row r="39" ht="19.9" customFormat="1" customHeight="1" s="67">
      <c r="A39" s="120" t="inlineStr">
        <is>
          <t>Grupo Alucentro</t>
        </is>
      </c>
      <c r="B39" s="65" t="n">
        <v>13260479</v>
      </c>
      <c r="C39" s="120" t="inlineStr">
        <is>
          <t>Alucentro Loja</t>
        </is>
      </c>
      <c r="D39" s="121" t="inlineStr">
        <is>
          <t xml:space="preserve">Goiânia </t>
        </is>
      </c>
      <c r="E39" s="121" t="inlineStr">
        <is>
          <t>Fevereiro/2022</t>
        </is>
      </c>
      <c r="F39" s="122" t="n">
        <v>7248</v>
      </c>
      <c r="G39" s="320" t="n">
        <v>0.83</v>
      </c>
      <c r="H39" s="124">
        <f>F39*G39</f>
        <v/>
      </c>
      <c r="I39" s="121" t="inlineStr">
        <is>
          <t>Outubro/2022</t>
        </is>
      </c>
      <c r="J39" s="125" t="inlineStr">
        <is>
          <t>1 Sungrow de 50KW</t>
        </is>
      </c>
      <c r="K39" s="65" t="inlineStr">
        <is>
          <t>95 de 590W</t>
        </is>
      </c>
      <c r="L39" s="121" t="n">
        <v>45159</v>
      </c>
      <c r="M39" s="126" t="inlineStr">
        <is>
          <t>Agosto/2023</t>
        </is>
      </c>
      <c r="N39" s="126" t="inlineStr">
        <is>
          <t>01/08/2023 a 01/09/2023</t>
        </is>
      </c>
      <c r="O39" s="321" t="n">
        <v>1941.69</v>
      </c>
      <c r="P39" s="321" t="n">
        <v>0</v>
      </c>
      <c r="Q39" s="321" t="n">
        <v>0</v>
      </c>
      <c r="R39" s="207" t="n"/>
      <c r="S39" s="321" t="n">
        <v>32.44</v>
      </c>
      <c r="T39" s="321" t="n">
        <v>0</v>
      </c>
      <c r="U39" s="321" t="n">
        <v>11.22</v>
      </c>
      <c r="V39" s="321" t="n">
        <v>0</v>
      </c>
      <c r="W39" s="321" t="n"/>
      <c r="X39" s="321" t="n"/>
      <c r="Y39" s="321" t="n"/>
      <c r="Z39" s="321" t="n"/>
      <c r="AA39" s="321" t="n"/>
      <c r="AB39" s="322" t="n">
        <v>0.822137</v>
      </c>
      <c r="AC39" s="322" t="n">
        <v>0.822137</v>
      </c>
      <c r="AD39" s="124" t="n">
        <v>0</v>
      </c>
      <c r="AE39" s="124" t="n">
        <v>5003.1</v>
      </c>
      <c r="AF39" s="124" t="n">
        <v>0.01</v>
      </c>
      <c r="AG39" s="124">
        <f>SUM(AD39:AF39)</f>
        <v/>
      </c>
      <c r="AH39" s="124">
        <f>(AD39*AB39)+((AE39+AF39)*AC39)</f>
        <v/>
      </c>
      <c r="AI39" s="124">
        <f>AD39-AS39</f>
        <v/>
      </c>
      <c r="AJ39" s="124">
        <f>AE39-AT39</f>
        <v/>
      </c>
      <c r="AK39" s="124">
        <f>AF39-AU39</f>
        <v/>
      </c>
      <c r="AL39" s="210">
        <f>SUM(AI39:AK39)</f>
        <v/>
      </c>
      <c r="AM39" s="337">
        <f>(AI39*AB39)+((AJ39+AK39)*AC39)</f>
        <v/>
      </c>
      <c r="AN39" s="124" t="n">
        <v>490.05</v>
      </c>
      <c r="AO39" s="124" t="n">
        <v>2427.6</v>
      </c>
      <c r="AP39" s="124" t="n">
        <v>865.2</v>
      </c>
      <c r="AQ39" s="143">
        <f>SUM(AN39:AP39)</f>
        <v/>
      </c>
      <c r="AR39" s="331">
        <f>(AN39*AB39)+((AO39+AP39)*AC39)</f>
        <v/>
      </c>
      <c r="AS39" s="124" t="n">
        <v>0</v>
      </c>
      <c r="AT39" s="124" t="n">
        <v>1474.2</v>
      </c>
      <c r="AU39" s="124" t="n">
        <v>0</v>
      </c>
      <c r="AV39" s="124">
        <f>SUM(AS39:AU39)</f>
        <v/>
      </c>
      <c r="AW39" s="124" t="n">
        <v>0</v>
      </c>
      <c r="AX39" s="124" t="n">
        <v>1474.2</v>
      </c>
      <c r="AY39" s="124" t="n">
        <v>0</v>
      </c>
      <c r="AZ39" s="124">
        <f>SUM(AW39:AY39)</f>
        <v/>
      </c>
      <c r="BA39" s="335">
        <f>(AW39*AB39)+((AX39+AY39)*AC39)</f>
        <v/>
      </c>
      <c r="BB39" s="122">
        <f>AN39-AW39</f>
        <v/>
      </c>
      <c r="BC39" s="141">
        <f>BB39*AB39</f>
        <v/>
      </c>
      <c r="BD39" s="122">
        <f>AO39-AX39</f>
        <v/>
      </c>
      <c r="BE39" s="122">
        <f>BD39*AC39</f>
        <v/>
      </c>
      <c r="BF39" s="122">
        <f>AP39-AY39</f>
        <v/>
      </c>
      <c r="BG39" s="122">
        <f>BF39*AC39</f>
        <v/>
      </c>
      <c r="BH39" s="122">
        <f>BB39+BD39+BF39</f>
        <v/>
      </c>
      <c r="BI39" s="122">
        <f>BC39+BE39+BG39</f>
        <v/>
      </c>
      <c r="BJ39" s="324">
        <f>BL39+BS39+BV39+BY39+CB39+CE39+CH39+CK39</f>
        <v/>
      </c>
      <c r="BK39" s="320">
        <f>((AI39+AW39)*AB39)+((AJ39+AK39+AX39+AY39)*AC39)</f>
        <v/>
      </c>
      <c r="BL39" s="132">
        <f>BM39+BN39+AL39</f>
        <v/>
      </c>
      <c r="BM39" s="133">
        <f>AW39</f>
        <v/>
      </c>
      <c r="BN39" s="133">
        <f>AX39+AY39</f>
        <v/>
      </c>
      <c r="BO39" s="320" t="n"/>
      <c r="BP39" s="320" t="n"/>
      <c r="BQ39" s="320" t="n">
        <v>0</v>
      </c>
      <c r="BR39" s="320" t="n"/>
      <c r="BS39" s="124" t="n">
        <v>0</v>
      </c>
      <c r="BT39" s="320" t="n"/>
      <c r="BU39" s="320" t="n">
        <v>0</v>
      </c>
      <c r="BV39" s="124" t="n">
        <v>0</v>
      </c>
      <c r="BW39" s="320" t="n"/>
      <c r="BX39" s="320" t="n">
        <v>0</v>
      </c>
      <c r="BY39" s="124" t="n"/>
      <c r="BZ39" s="320" t="n"/>
      <c r="CA39" s="124" t="n"/>
      <c r="CB39" s="124" t="n"/>
      <c r="CC39" s="320" t="n"/>
      <c r="CD39" s="124" t="n"/>
      <c r="CE39" s="124" t="n"/>
      <c r="CF39" s="320" t="n"/>
      <c r="CG39" s="124" t="n"/>
      <c r="CH39" s="124" t="n"/>
      <c r="CI39" s="320" t="n"/>
      <c r="CJ39" s="124" t="n"/>
      <c r="CK39" s="124" t="n"/>
      <c r="CL39" s="320" t="n"/>
      <c r="CM39" s="124" t="n"/>
      <c r="CN39" s="320">
        <f>BK39+BU39+BX39+CA39+CD39+CG39+CJ39+CM39</f>
        <v/>
      </c>
      <c r="CO39" s="154">
        <f>(AV39-(AZ39+BV39+BY39+CB39+CE39+CH39+CK39+BS39)+CO38)</f>
        <v/>
      </c>
      <c r="CP39" s="320">
        <f>CR39*G39</f>
        <v/>
      </c>
      <c r="CQ39" s="124">
        <f>AL39+AZ39+AQ39</f>
        <v/>
      </c>
      <c r="CR39" s="154" t="n"/>
      <c r="CS39" s="155" t="n"/>
      <c r="CT39" s="155" t="n"/>
      <c r="CU39" s="177" t="n"/>
      <c r="CV39" s="177" t="n"/>
      <c r="CW39" s="325" t="n"/>
    </row>
    <row r="40" ht="19.9" customFormat="1" customHeight="1" s="67">
      <c r="A40" s="233" t="inlineStr">
        <is>
          <t>Grupo Alucentro</t>
        </is>
      </c>
      <c r="B40" s="66" t="n">
        <v>13260479</v>
      </c>
      <c r="C40" s="233" t="inlineStr">
        <is>
          <t>Alucentro Loja</t>
        </is>
      </c>
      <c r="D40" s="140" t="inlineStr">
        <is>
          <t xml:space="preserve">Goiânia </t>
        </is>
      </c>
      <c r="E40" s="140" t="inlineStr">
        <is>
          <t>Fevereiro/2022</t>
        </is>
      </c>
      <c r="F40" s="141" t="n">
        <v>7248</v>
      </c>
      <c r="G40" s="326" t="n">
        <v>0.83</v>
      </c>
      <c r="H40" s="173">
        <f>F40*G40</f>
        <v/>
      </c>
      <c r="I40" s="140" t="inlineStr">
        <is>
          <t>Outubro/2022</t>
        </is>
      </c>
      <c r="J40" s="144" t="inlineStr">
        <is>
          <t>1 Sungrow de 50KW</t>
        </is>
      </c>
      <c r="K40" s="66" t="inlineStr">
        <is>
          <t>95 de 590W</t>
        </is>
      </c>
      <c r="L40" s="140" t="n">
        <v>45159</v>
      </c>
      <c r="M40" s="145" t="inlineStr">
        <is>
          <t>Setembro/2023</t>
        </is>
      </c>
      <c r="N40" s="145" t="inlineStr">
        <is>
          <t>01/09/2023 a 01/10/2023</t>
        </is>
      </c>
      <c r="O40" s="331" t="n">
        <v>772.9</v>
      </c>
      <c r="P40" s="331" t="n">
        <v>0</v>
      </c>
      <c r="Q40" s="331" t="n">
        <v>0</v>
      </c>
      <c r="R40" s="147" t="n"/>
      <c r="S40" s="331" t="n">
        <v>31.61</v>
      </c>
      <c r="T40" s="331" t="n">
        <v>0</v>
      </c>
      <c r="U40" s="331" t="n">
        <v>14.91</v>
      </c>
      <c r="V40" s="331" t="n">
        <v>0</v>
      </c>
      <c r="W40" s="331" t="n"/>
      <c r="X40" s="331" t="n"/>
      <c r="Y40" s="331" t="n"/>
      <c r="Z40" s="331" t="n"/>
      <c r="AA40" s="331" t="n"/>
      <c r="AB40" s="332" t="n">
        <v>0.8394</v>
      </c>
      <c r="AC40" s="332" t="n">
        <v>0.8394</v>
      </c>
      <c r="AD40" s="143" t="n">
        <v>0</v>
      </c>
      <c r="AE40" s="173" t="n">
        <v>5380.45</v>
      </c>
      <c r="AF40" s="143" t="n">
        <v>0.17</v>
      </c>
      <c r="AG40" s="143">
        <f>SUM(AD40:AF40)</f>
        <v/>
      </c>
      <c r="AH40" s="143">
        <f>(AD40*AB40)+((AE40+AF40)*AC40)</f>
        <v/>
      </c>
      <c r="AI40" s="143">
        <f>AD40-AS40</f>
        <v/>
      </c>
      <c r="AJ40" s="143">
        <f>AE40-AT40</f>
        <v/>
      </c>
      <c r="AK40" s="143">
        <f>AF40-AU40</f>
        <v/>
      </c>
      <c r="AL40" s="208">
        <f>SUM(AI40:AK40)</f>
        <v/>
      </c>
      <c r="AM40" s="336">
        <f>(AI40*AB40)+((AJ40+AK40)*AC40)</f>
        <v/>
      </c>
      <c r="AN40" s="143" t="n">
        <v>462.16</v>
      </c>
      <c r="AO40" s="143" t="n">
        <v>2045.4</v>
      </c>
      <c r="AP40" s="143" t="n">
        <v>907.2</v>
      </c>
      <c r="AQ40" s="124">
        <f>SUM(AN40:AP40)</f>
        <v/>
      </c>
      <c r="AR40" s="321">
        <f>(AN40*AB40)+((AO40+AP40)*AC40)</f>
        <v/>
      </c>
      <c r="AS40" s="143" t="n">
        <v>0</v>
      </c>
      <c r="AT40" s="143" t="n">
        <v>2549.4</v>
      </c>
      <c r="AU40" s="143" t="n">
        <v>0</v>
      </c>
      <c r="AV40" s="143">
        <f>SUM(AS40:AU40)</f>
        <v/>
      </c>
      <c r="AW40" s="143" t="n">
        <v>0</v>
      </c>
      <c r="AX40" s="143" t="n">
        <v>1945.4</v>
      </c>
      <c r="AY40" s="143" t="n">
        <v>604</v>
      </c>
      <c r="AZ40" s="143">
        <f>SUM(AW40:AY40)</f>
        <v/>
      </c>
      <c r="BA40" s="335">
        <f>(AW40*AB40)+((AX40+AY40)*AC40)</f>
        <v/>
      </c>
      <c r="BB40" s="141">
        <f>AN40-AW40</f>
        <v/>
      </c>
      <c r="BC40" s="141">
        <f>BB40*AB40</f>
        <v/>
      </c>
      <c r="BD40" s="141">
        <f>AO40-AX40</f>
        <v/>
      </c>
      <c r="BE40" s="141">
        <f>BD40*AC40</f>
        <v/>
      </c>
      <c r="BF40" s="141">
        <f>AP40-AY40</f>
        <v/>
      </c>
      <c r="BG40" s="141">
        <f>BF40*AC40</f>
        <v/>
      </c>
      <c r="BH40" s="141">
        <f>BB40+BD40+BF40</f>
        <v/>
      </c>
      <c r="BI40" s="141">
        <f>BC40+BE40+BG40</f>
        <v/>
      </c>
      <c r="BJ40" s="324">
        <f>BL40+BS40+BV40+BY40+CB40+CE40+CH40+CK40</f>
        <v/>
      </c>
      <c r="BK40" s="320">
        <f>((AI40+AW40)*AB40)+((AJ40+AK40+AX40+AY40)*AC40)</f>
        <v/>
      </c>
      <c r="BL40" s="132">
        <f>BM40+BN40+AL40</f>
        <v/>
      </c>
      <c r="BM40" s="133">
        <f>AW40</f>
        <v/>
      </c>
      <c r="BN40" s="133">
        <f>AX40+AY40</f>
        <v/>
      </c>
      <c r="BO40" s="334" t="n"/>
      <c r="BP40" s="334" t="n"/>
      <c r="BQ40" s="334" t="n">
        <v>0</v>
      </c>
      <c r="BR40" s="334" t="n"/>
      <c r="BS40" s="143" t="n">
        <v>0</v>
      </c>
      <c r="BT40" s="334" t="n"/>
      <c r="BU40" s="334" t="n">
        <v>0</v>
      </c>
      <c r="BV40" s="143" t="n">
        <v>0</v>
      </c>
      <c r="BW40" s="334" t="n"/>
      <c r="BX40" s="334" t="n">
        <v>0</v>
      </c>
      <c r="BY40" s="173" t="n"/>
      <c r="BZ40" s="326" t="n"/>
      <c r="CA40" s="173" t="n"/>
      <c r="CB40" s="173" t="n"/>
      <c r="CC40" s="326" t="n"/>
      <c r="CD40" s="143" t="n"/>
      <c r="CE40" s="143" t="n"/>
      <c r="CF40" s="334" t="n"/>
      <c r="CG40" s="143" t="n"/>
      <c r="CH40" s="143" t="n"/>
      <c r="CI40" s="334" t="n"/>
      <c r="CJ40" s="143" t="n"/>
      <c r="CK40" s="143" t="n"/>
      <c r="CL40" s="334" t="n"/>
      <c r="CM40" s="143" t="n"/>
      <c r="CN40" s="320">
        <f>BK40+BU40+BX40+CA40+CD40+CG40+CJ40+CM40</f>
        <v/>
      </c>
      <c r="CO40" s="154">
        <f>(AV40-(AZ40+BV40+BY40+CB40+CE40+CH40+CK40+BS40)+CO39)</f>
        <v/>
      </c>
      <c r="CP40" s="320">
        <f>CR40*G40</f>
        <v/>
      </c>
      <c r="CQ40" s="124">
        <f>AL40+AZ40+AQ40</f>
        <v/>
      </c>
      <c r="CR40" s="154" t="n"/>
      <c r="CS40" s="155" t="n"/>
      <c r="CT40" s="155" t="n"/>
      <c r="CU40" s="177" t="n"/>
      <c r="CV40" s="177" t="n"/>
      <c r="CW40" s="325" t="n"/>
    </row>
    <row r="41" ht="19.9" customFormat="1" customHeight="1" s="67">
      <c r="A41" s="120" t="inlineStr">
        <is>
          <t>Grupo Alucentro</t>
        </is>
      </c>
      <c r="B41" s="65" t="n">
        <v>13260479</v>
      </c>
      <c r="C41" s="120" t="inlineStr">
        <is>
          <t>Alucentro Loja</t>
        </is>
      </c>
      <c r="D41" s="121" t="inlineStr">
        <is>
          <t xml:space="preserve">Goiânia </t>
        </is>
      </c>
      <c r="E41" s="121" t="inlineStr">
        <is>
          <t>Fevereiro/2022</t>
        </is>
      </c>
      <c r="F41" s="122" t="n">
        <v>7248</v>
      </c>
      <c r="G41" s="320" t="n">
        <v>0.83</v>
      </c>
      <c r="H41" s="124">
        <f>F41*G41</f>
        <v/>
      </c>
      <c r="I41" s="121" t="inlineStr">
        <is>
          <t>Outubro/2022</t>
        </is>
      </c>
      <c r="J41" s="125" t="inlineStr">
        <is>
          <t>1 Sungrow de 50KW</t>
        </is>
      </c>
      <c r="K41" s="65" t="inlineStr">
        <is>
          <t>95 de 590W</t>
        </is>
      </c>
      <c r="L41" s="121" t="n">
        <v>45159</v>
      </c>
      <c r="M41" s="126" t="inlineStr">
        <is>
          <t>Outubro/2023</t>
        </is>
      </c>
      <c r="N41" s="126" t="inlineStr">
        <is>
          <t>01/10/2023 a 01/11/2023</t>
        </is>
      </c>
      <c r="O41" s="321" t="n">
        <v>1008.83</v>
      </c>
      <c r="P41" s="321" t="n">
        <v>0</v>
      </c>
      <c r="Q41" s="321" t="n">
        <v>0</v>
      </c>
      <c r="R41" s="207" t="n"/>
      <c r="S41" s="321" t="n">
        <v>33.34</v>
      </c>
      <c r="T41" s="321" t="n">
        <v>0</v>
      </c>
      <c r="U41" s="321" t="n">
        <v>16.15</v>
      </c>
      <c r="V41" s="321" t="n">
        <v>0</v>
      </c>
      <c r="W41" s="321" t="n"/>
      <c r="X41" s="321" t="n"/>
      <c r="Y41" s="321" t="n"/>
      <c r="Z41" s="321" t="n"/>
      <c r="AA41" s="321" t="n"/>
      <c r="AB41" s="322" t="n">
        <v>0.867219</v>
      </c>
      <c r="AC41" s="322" t="n">
        <v>0.867219</v>
      </c>
      <c r="AD41" s="124" t="n">
        <v>0.74</v>
      </c>
      <c r="AE41" s="124" t="n">
        <v>7196.96</v>
      </c>
      <c r="AF41" s="124" t="n">
        <v>0.58</v>
      </c>
      <c r="AG41" s="124">
        <f>SUM(AD41:AF41)</f>
        <v/>
      </c>
      <c r="AH41" s="124">
        <f>(AD41*AB41)+((AE41+AF41)*AC41)</f>
        <v/>
      </c>
      <c r="AI41" s="124">
        <f>AD41-AS41</f>
        <v/>
      </c>
      <c r="AJ41" s="124">
        <f>AE41-AT41</f>
        <v/>
      </c>
      <c r="AK41" s="124">
        <f>AF41-AU41</f>
        <v/>
      </c>
      <c r="AL41" s="210">
        <f>SUM(AI41:AK41)</f>
        <v/>
      </c>
      <c r="AM41" s="337">
        <f>(AI41*AB41)+((AJ41+AK41)*AC41)</f>
        <v/>
      </c>
      <c r="AN41" s="124" t="n">
        <v>451.03</v>
      </c>
      <c r="AO41" s="124" t="n">
        <v>2389.8</v>
      </c>
      <c r="AP41" s="124" t="n">
        <v>894.6</v>
      </c>
      <c r="AQ41" s="143">
        <f>SUM(AN41:AP41)</f>
        <v/>
      </c>
      <c r="AR41" s="331">
        <f>(AN41*AB41)+((AO41+AP41)*AC41)</f>
        <v/>
      </c>
      <c r="AS41" s="124" t="n">
        <v>0</v>
      </c>
      <c r="AT41" s="124" t="n">
        <v>2629.2</v>
      </c>
      <c r="AU41" s="124" t="n">
        <v>0</v>
      </c>
      <c r="AV41" s="124">
        <f>SUM(AS41:AU41)</f>
        <v/>
      </c>
      <c r="AW41" s="124" t="n">
        <v>0</v>
      </c>
      <c r="AX41" s="124" t="n">
        <v>2289.8</v>
      </c>
      <c r="AY41" s="124" t="n">
        <v>339.4</v>
      </c>
      <c r="AZ41" s="124">
        <f>SUM(AW41:AY41)</f>
        <v/>
      </c>
      <c r="BA41" s="335">
        <f>(AW41*AB41)+((AX41+AY41)*AC41)</f>
        <v/>
      </c>
      <c r="BB41" s="122">
        <f>AN41-AW41</f>
        <v/>
      </c>
      <c r="BC41" s="141">
        <f>BB41*AB41</f>
        <v/>
      </c>
      <c r="BD41" s="122">
        <f>AO41-AX41</f>
        <v/>
      </c>
      <c r="BE41" s="122">
        <f>BD41*AC41</f>
        <v/>
      </c>
      <c r="BF41" s="122">
        <f>AP41-AY41</f>
        <v/>
      </c>
      <c r="BG41" s="122">
        <f>BF41*AC41</f>
        <v/>
      </c>
      <c r="BH41" s="122">
        <f>BB41+BD41+BF41</f>
        <v/>
      </c>
      <c r="BI41" s="122">
        <f>BC41+BE41+BG41</f>
        <v/>
      </c>
      <c r="BJ41" s="324">
        <f>BL41+BS41+BV41+BY41+CB41+CE41+CH41+CK41</f>
        <v/>
      </c>
      <c r="BK41" s="320">
        <f>((AI41+AW41)*AB41)+((AJ41+AK41+AX41+AY41)*AC41)</f>
        <v/>
      </c>
      <c r="BL41" s="132">
        <f>BM41+BN41+AL41</f>
        <v/>
      </c>
      <c r="BM41" s="133">
        <f>AW41</f>
        <v/>
      </c>
      <c r="BN41" s="133">
        <f>AX41+AY41</f>
        <v/>
      </c>
      <c r="BO41" s="320" t="n"/>
      <c r="BP41" s="320" t="n"/>
      <c r="BQ41" s="320" t="n">
        <v>0</v>
      </c>
      <c r="BR41" s="320" t="n"/>
      <c r="BS41" s="124" t="n">
        <v>0</v>
      </c>
      <c r="BT41" s="320" t="n"/>
      <c r="BU41" s="320" t="n">
        <v>0</v>
      </c>
      <c r="BV41" s="124" t="n">
        <v>0</v>
      </c>
      <c r="BW41" s="320" t="n"/>
      <c r="BX41" s="320" t="n">
        <v>0</v>
      </c>
      <c r="BY41" s="124" t="n"/>
      <c r="BZ41" s="320" t="n"/>
      <c r="CA41" s="124" t="n"/>
      <c r="CB41" s="124" t="n"/>
      <c r="CC41" s="320" t="n"/>
      <c r="CD41" s="124" t="n"/>
      <c r="CE41" s="124" t="n"/>
      <c r="CF41" s="320" t="n"/>
      <c r="CG41" s="124" t="n"/>
      <c r="CH41" s="124" t="n"/>
      <c r="CI41" s="320" t="n"/>
      <c r="CJ41" s="124" t="n"/>
      <c r="CK41" s="124" t="n"/>
      <c r="CL41" s="320" t="n"/>
      <c r="CM41" s="124" t="n"/>
      <c r="CN41" s="320">
        <f>BK41+BU41+BX41+CA41+CD41+CG41+CJ41+CM41</f>
        <v/>
      </c>
      <c r="CO41" s="154">
        <f>(AV41-(AZ41+BV41+BY41+CB41+CE41+CH41+CK41+BS41)+CO40)</f>
        <v/>
      </c>
      <c r="CP41" s="320">
        <f>CR41*G41</f>
        <v/>
      </c>
      <c r="CQ41" s="124">
        <f>AL41+AZ41+AQ41</f>
        <v/>
      </c>
      <c r="CR41" s="154" t="n"/>
      <c r="CS41" s="155" t="n"/>
      <c r="CT41" s="155" t="n"/>
      <c r="CU41" s="177" t="n"/>
      <c r="CV41" s="177" t="n"/>
      <c r="CW41" s="325" t="n"/>
    </row>
    <row r="42" ht="19.9" customFormat="1" customHeight="1" s="67">
      <c r="A42" s="233" t="inlineStr">
        <is>
          <t>Grupo Alucentro</t>
        </is>
      </c>
      <c r="B42" s="66" t="n">
        <v>13260479</v>
      </c>
      <c r="C42" s="233" t="inlineStr">
        <is>
          <t>Alucentro Loja</t>
        </is>
      </c>
      <c r="D42" s="140" t="inlineStr">
        <is>
          <t xml:space="preserve">Goiânia </t>
        </is>
      </c>
      <c r="E42" s="140" t="inlineStr">
        <is>
          <t>Fevereiro/2022</t>
        </is>
      </c>
      <c r="F42" s="141" t="n">
        <v>7248</v>
      </c>
      <c r="G42" s="326" t="n">
        <v>0.83</v>
      </c>
      <c r="H42" s="173">
        <f>F42*G42</f>
        <v/>
      </c>
      <c r="I42" s="140" t="inlineStr">
        <is>
          <t>Outubro/2022</t>
        </is>
      </c>
      <c r="J42" s="144" t="inlineStr">
        <is>
          <t>1 Sungrow de 50KW</t>
        </is>
      </c>
      <c r="K42" s="66" t="inlineStr">
        <is>
          <t>95 de 590W</t>
        </is>
      </c>
      <c r="L42" s="140" t="n">
        <v>45159</v>
      </c>
      <c r="M42" s="145" t="inlineStr">
        <is>
          <t>Novembro/2023</t>
        </is>
      </c>
      <c r="N42" s="145" t="inlineStr">
        <is>
          <t>01/11/2023 a 01/12/2023</t>
        </is>
      </c>
      <c r="O42" s="331" t="n">
        <v>805.79</v>
      </c>
      <c r="P42" s="331" t="n">
        <v>0</v>
      </c>
      <c r="Q42" s="331" t="n">
        <v>0</v>
      </c>
      <c r="R42" s="147" t="n"/>
      <c r="S42" s="331" t="n">
        <v>33.23</v>
      </c>
      <c r="T42" s="331" t="n">
        <v>0</v>
      </c>
      <c r="U42" s="331" t="n">
        <v>17.16</v>
      </c>
      <c r="V42" s="331" t="n">
        <v>0</v>
      </c>
      <c r="W42" s="331" t="n"/>
      <c r="X42" s="331" t="n"/>
      <c r="Y42" s="331" t="n"/>
      <c r="Z42" s="331" t="n"/>
      <c r="AA42" s="331" t="n"/>
      <c r="AB42" s="332" t="n">
        <v>0.905265</v>
      </c>
      <c r="AC42" s="332" t="n">
        <v>0.905265</v>
      </c>
      <c r="AD42" s="143" t="n">
        <v>3.01</v>
      </c>
      <c r="AE42" s="173" t="n">
        <v>7416.17</v>
      </c>
      <c r="AF42" s="143" t="n">
        <v>5.64</v>
      </c>
      <c r="AG42" s="143">
        <f>SUM(AD42:AF42)</f>
        <v/>
      </c>
      <c r="AH42" s="143">
        <f>(AD42*AB42)+((AE42+AF42)*AC42)</f>
        <v/>
      </c>
      <c r="AI42" s="143">
        <f>AD42-AS42</f>
        <v/>
      </c>
      <c r="AJ42" s="143">
        <f>AE42-AT42</f>
        <v/>
      </c>
      <c r="AK42" s="143">
        <f>AF42-AU42</f>
        <v/>
      </c>
      <c r="AL42" s="208">
        <f>SUM(AI42:AK42)</f>
        <v/>
      </c>
      <c r="AM42" s="336">
        <f>(AI42*AB42)+((AJ42+AK42)*AC42)</f>
        <v/>
      </c>
      <c r="AN42" s="124" t="n">
        <v>460.65</v>
      </c>
      <c r="AO42" s="124" t="n">
        <v>2221.8</v>
      </c>
      <c r="AP42" s="124" t="n">
        <v>894.6</v>
      </c>
      <c r="AQ42" s="124">
        <f>SUM(AN42:AP42)</f>
        <v/>
      </c>
      <c r="AR42" s="321">
        <f>(AN42*AB42)+((AO42+AP42)*AC42)</f>
        <v/>
      </c>
      <c r="AS42" s="124" t="n">
        <v>0</v>
      </c>
      <c r="AT42" s="124" t="n">
        <v>2742.6</v>
      </c>
      <c r="AU42" s="124" t="n">
        <v>0</v>
      </c>
      <c r="AV42" s="124">
        <f>SUM(AS42:AU42)</f>
        <v/>
      </c>
      <c r="AW42" s="124" t="n">
        <v>0</v>
      </c>
      <c r="AX42" s="124" t="n">
        <v>2121.8</v>
      </c>
      <c r="AY42" s="124" t="n">
        <v>620.8</v>
      </c>
      <c r="AZ42" s="124">
        <f>SUM(AW42:AY42)</f>
        <v/>
      </c>
      <c r="BA42" s="335">
        <f>(AW42*AB42)+((AX42+AY42)*AC42)</f>
        <v/>
      </c>
      <c r="BB42" s="122">
        <f>AN42-AW42</f>
        <v/>
      </c>
      <c r="BC42" s="141">
        <f>BB42*AB42</f>
        <v/>
      </c>
      <c r="BD42" s="122">
        <f>AO42-AX42</f>
        <v/>
      </c>
      <c r="BE42" s="122">
        <f>BD42*AC42</f>
        <v/>
      </c>
      <c r="BF42" s="122">
        <f>AP42-AY42</f>
        <v/>
      </c>
      <c r="BG42" s="122">
        <f>BF42*AC42</f>
        <v/>
      </c>
      <c r="BH42" s="122">
        <f>BB42+BD42+BF42</f>
        <v/>
      </c>
      <c r="BI42" s="122">
        <f>BC42+BE42+BG42</f>
        <v/>
      </c>
      <c r="BJ42" s="324">
        <f>BL42+BS42+BV42+BY42+CB42+CE42+CH42+CK42</f>
        <v/>
      </c>
      <c r="BK42" s="320">
        <f>((AI42+AW42)*AB42)+((AJ42+AK42+AX42+AY42)*AC42)</f>
        <v/>
      </c>
      <c r="BL42" s="132">
        <f>BM42+BN42+AL42</f>
        <v/>
      </c>
      <c r="BM42" s="133">
        <f>AW42</f>
        <v/>
      </c>
      <c r="BN42" s="133">
        <f>AX42+AY42</f>
        <v/>
      </c>
      <c r="BO42" s="334" t="n"/>
      <c r="BP42" s="334" t="n"/>
      <c r="BQ42" s="334" t="n">
        <v>0</v>
      </c>
      <c r="BR42" s="334" t="n"/>
      <c r="BS42" s="143" t="n">
        <v>0</v>
      </c>
      <c r="BT42" s="334" t="n"/>
      <c r="BU42" s="334" t="n">
        <v>0</v>
      </c>
      <c r="BV42" s="143" t="n">
        <v>0</v>
      </c>
      <c r="BW42" s="334" t="n"/>
      <c r="BX42" s="334" t="n">
        <v>0</v>
      </c>
      <c r="BY42" s="173" t="n"/>
      <c r="BZ42" s="326" t="n"/>
      <c r="CA42" s="173" t="n"/>
      <c r="CB42" s="173" t="n"/>
      <c r="CC42" s="326" t="n"/>
      <c r="CD42" s="143" t="n"/>
      <c r="CE42" s="143" t="n"/>
      <c r="CF42" s="334" t="n"/>
      <c r="CG42" s="143" t="n"/>
      <c r="CH42" s="143" t="n"/>
      <c r="CI42" s="334" t="n"/>
      <c r="CJ42" s="143" t="n"/>
      <c r="CK42" s="143" t="n"/>
      <c r="CL42" s="334" t="n"/>
      <c r="CM42" s="143" t="n"/>
      <c r="CN42" s="320">
        <f>BK42+BU42+BX42+CA42+CD42+CG42+CJ42+CM42</f>
        <v/>
      </c>
      <c r="CO42" s="154">
        <f>(AV42-(AZ42+BV42+BY42+CB42+CE42+CH42+CK42+BS42)+CO41)</f>
        <v/>
      </c>
      <c r="CP42" s="320">
        <f>CR42*G42</f>
        <v/>
      </c>
      <c r="CQ42" s="124">
        <f>AL42+AZ42+AQ42</f>
        <v/>
      </c>
      <c r="CR42" s="154" t="n"/>
      <c r="CS42" s="155" t="n"/>
      <c r="CT42" s="155" t="n"/>
      <c r="CU42" s="177" t="n"/>
      <c r="CV42" s="177" t="n"/>
      <c r="CW42" s="325" t="n"/>
    </row>
    <row r="43" ht="19.9" customFormat="1" customHeight="1" s="67">
      <c r="A43" s="120" t="inlineStr">
        <is>
          <t>Grupo Alucentro</t>
        </is>
      </c>
      <c r="B43" s="65" t="n">
        <v>13260479</v>
      </c>
      <c r="C43" s="120" t="inlineStr">
        <is>
          <t>Alucentro Loja</t>
        </is>
      </c>
      <c r="D43" s="121" t="inlineStr">
        <is>
          <t xml:space="preserve">Goiânia </t>
        </is>
      </c>
      <c r="E43" s="121" t="inlineStr">
        <is>
          <t>Fevereiro/2022</t>
        </is>
      </c>
      <c r="F43" s="122" t="n">
        <v>7248</v>
      </c>
      <c r="G43" s="320" t="n">
        <v>0.83</v>
      </c>
      <c r="H43" s="124">
        <f>F43*G43</f>
        <v/>
      </c>
      <c r="I43" s="121" t="inlineStr">
        <is>
          <t>Outubro/2022</t>
        </is>
      </c>
      <c r="J43" s="125" t="inlineStr">
        <is>
          <t>1 Sungrow de 50KW</t>
        </is>
      </c>
      <c r="K43" s="65" t="inlineStr">
        <is>
          <t>95 de 590W</t>
        </is>
      </c>
      <c r="L43" s="121" t="n">
        <v>45159</v>
      </c>
      <c r="M43" s="126" t="inlineStr">
        <is>
          <t>Dezembro/2023</t>
        </is>
      </c>
      <c r="N43" s="126" t="inlineStr">
        <is>
          <t>01/12/2023 a 01/01/2024</t>
        </is>
      </c>
      <c r="O43" s="321" t="n">
        <v>170.38</v>
      </c>
      <c r="P43" s="321" t="n">
        <v>0</v>
      </c>
      <c r="Q43" s="321" t="n">
        <v>0</v>
      </c>
      <c r="R43" s="207" t="n"/>
      <c r="S43" s="321" t="n">
        <v>37.37</v>
      </c>
      <c r="T43" s="321" t="n">
        <v>0</v>
      </c>
      <c r="U43" s="321" t="n">
        <v>13.58</v>
      </c>
      <c r="V43" s="321" t="n">
        <v>0</v>
      </c>
      <c r="W43" s="321" t="n"/>
      <c r="X43" s="321" t="n"/>
      <c r="Y43" s="321" t="n"/>
      <c r="Z43" s="321" t="n"/>
      <c r="AA43" s="321" t="n"/>
      <c r="AB43" s="322" t="n">
        <v>0.8925999999999999</v>
      </c>
      <c r="AC43" s="322" t="n">
        <v>0.8925999999999999</v>
      </c>
      <c r="AD43" s="124" t="n">
        <v>12.82</v>
      </c>
      <c r="AE43" s="124" t="n">
        <v>7239.29</v>
      </c>
      <c r="AF43" s="124" t="n">
        <v>2.71</v>
      </c>
      <c r="AG43" s="124">
        <f>SUM(AD43:AF43)</f>
        <v/>
      </c>
      <c r="AH43" s="124">
        <f>(AD43*AB43)+((AE43+AF43)*AC43)</f>
        <v/>
      </c>
      <c r="AI43" s="124">
        <f>AD43-AS43</f>
        <v/>
      </c>
      <c r="AJ43" s="124">
        <f>AE43-AT43</f>
        <v/>
      </c>
      <c r="AK43" s="124">
        <f>AF43-AU43</f>
        <v/>
      </c>
      <c r="AL43" s="210">
        <f>SUM(AI43:AK43)</f>
        <v/>
      </c>
      <c r="AM43" s="337">
        <f>(AI43*AB43)+((AJ43+AK43)*AC43)</f>
        <v/>
      </c>
      <c r="AN43" s="124" t="n">
        <v>423.61</v>
      </c>
      <c r="AO43" s="124" t="n">
        <v>1890</v>
      </c>
      <c r="AP43" s="124" t="n">
        <v>886.2</v>
      </c>
      <c r="AQ43" s="143">
        <f>SUM(AN43:AP43)</f>
        <v/>
      </c>
      <c r="AR43" s="331">
        <f>(AN43*AB43)+((AO43+AP43)*AC43)</f>
        <v/>
      </c>
      <c r="AS43" s="124" t="n">
        <v>0</v>
      </c>
      <c r="AT43" s="124" t="n">
        <v>3066</v>
      </c>
      <c r="AU43" s="124" t="n">
        <v>0</v>
      </c>
      <c r="AV43" s="124">
        <f>SUM(AS43:AU43)</f>
        <v/>
      </c>
      <c r="AW43" s="124" t="n">
        <v>389.8</v>
      </c>
      <c r="AX43" s="124" t="n">
        <v>1790</v>
      </c>
      <c r="AY43" s="124" t="n">
        <v>886.2</v>
      </c>
      <c r="AZ43" s="124">
        <f>SUM(AW43:AY43)</f>
        <v/>
      </c>
      <c r="BA43" s="335">
        <f>(AW43*AB43)+((AX43+AY43)*AC43)</f>
        <v/>
      </c>
      <c r="BB43" s="122">
        <f>AN43-AW43</f>
        <v/>
      </c>
      <c r="BC43" s="141">
        <f>BB43*AB43</f>
        <v/>
      </c>
      <c r="BD43" s="122">
        <f>AO43-AX43</f>
        <v/>
      </c>
      <c r="BE43" s="122">
        <f>BD43*AC43</f>
        <v/>
      </c>
      <c r="BF43" s="122">
        <f>AP43-AY43</f>
        <v/>
      </c>
      <c r="BG43" s="122">
        <f>BF43*AC43</f>
        <v/>
      </c>
      <c r="BH43" s="122">
        <f>BB43+BD43+BF43</f>
        <v/>
      </c>
      <c r="BI43" s="122">
        <f>BC43+BE43+BG43</f>
        <v/>
      </c>
      <c r="BJ43" s="324">
        <f>BL43+BS43+BV43+BY43+CB43+CE43+CH43+CK43</f>
        <v/>
      </c>
      <c r="BK43" s="320">
        <f>((AI43+AW43)*AB43)+((AJ43+AK43+AX43+AY43)*AC43)</f>
        <v/>
      </c>
      <c r="BL43" s="132">
        <f>BM43+BN43+AL43</f>
        <v/>
      </c>
      <c r="BM43" s="133">
        <f>AW43</f>
        <v/>
      </c>
      <c r="BN43" s="133">
        <f>AX43+AY43</f>
        <v/>
      </c>
      <c r="BO43" s="320" t="n"/>
      <c r="BP43" s="320" t="n"/>
      <c r="BQ43" s="320" t="n">
        <v>0</v>
      </c>
      <c r="BR43" s="320" t="n"/>
      <c r="BS43" s="124" t="n">
        <v>0</v>
      </c>
      <c r="BT43" s="320" t="n"/>
      <c r="BU43" s="320" t="n">
        <v>0</v>
      </c>
      <c r="BV43" s="124" t="n">
        <v>0</v>
      </c>
      <c r="BW43" s="320" t="n"/>
      <c r="BX43" s="320" t="n">
        <v>0</v>
      </c>
      <c r="BY43" s="124" t="n"/>
      <c r="BZ43" s="320" t="n"/>
      <c r="CA43" s="124" t="n"/>
      <c r="CB43" s="124" t="n"/>
      <c r="CC43" s="320" t="n"/>
      <c r="CD43" s="124" t="n"/>
      <c r="CE43" s="124" t="n"/>
      <c r="CF43" s="320" t="n"/>
      <c r="CG43" s="124" t="n"/>
      <c r="CH43" s="124" t="n"/>
      <c r="CI43" s="320" t="n"/>
      <c r="CJ43" s="124" t="n"/>
      <c r="CK43" s="124" t="n"/>
      <c r="CL43" s="320" t="n"/>
      <c r="CM43" s="124" t="n"/>
      <c r="CN43" s="320">
        <f>BK43+BU43+BX43+CA43+CD43+CG43+CJ43+CM43</f>
        <v/>
      </c>
      <c r="CO43" s="154">
        <f>(AV43-(AZ43+BV43+BY43+CB43+CE43+CH43+CK43+BS43)+CO42)</f>
        <v/>
      </c>
      <c r="CP43" s="320">
        <f>CR43*G43</f>
        <v/>
      </c>
      <c r="CQ43" s="124">
        <f>AL43+AZ43+AQ43</f>
        <v/>
      </c>
      <c r="CR43" s="154" t="n"/>
      <c r="CS43" s="155" t="n"/>
      <c r="CT43" s="155" t="n"/>
      <c r="CU43" s="177" t="n"/>
      <c r="CV43" s="177" t="n"/>
      <c r="CW43" s="325" t="n"/>
    </row>
    <row r="44" ht="19.9" customFormat="1" customHeight="1" s="67">
      <c r="A44" s="233" t="inlineStr">
        <is>
          <t>Grupo Alucentro</t>
        </is>
      </c>
      <c r="B44" s="66" t="n">
        <v>13260479</v>
      </c>
      <c r="C44" s="233" t="inlineStr">
        <is>
          <t>Alucentro Loja</t>
        </is>
      </c>
      <c r="D44" s="140" t="inlineStr">
        <is>
          <t xml:space="preserve">Goiânia </t>
        </is>
      </c>
      <c r="E44" s="140" t="inlineStr">
        <is>
          <t>Fevereiro/2022</t>
        </is>
      </c>
      <c r="F44" s="141" t="n">
        <v>7248</v>
      </c>
      <c r="G44" s="326" t="n">
        <v>0.83</v>
      </c>
      <c r="H44" s="173">
        <f>F44*G44</f>
        <v/>
      </c>
      <c r="I44" s="121" t="inlineStr">
        <is>
          <t>Outubro/2022</t>
        </is>
      </c>
      <c r="J44" s="125" t="inlineStr">
        <is>
          <t>1 Sungrow de 50KW</t>
        </is>
      </c>
      <c r="K44" s="65" t="inlineStr">
        <is>
          <t>95 de 590W</t>
        </is>
      </c>
      <c r="L44" s="121" t="n">
        <v>45159</v>
      </c>
      <c r="M44" s="145" t="inlineStr">
        <is>
          <t>Janeiro/2024</t>
        </is>
      </c>
      <c r="N44" s="145" t="inlineStr">
        <is>
          <t>01/01/2024 a 01/02/2024</t>
        </is>
      </c>
      <c r="O44" s="321" t="n">
        <v>446.99</v>
      </c>
      <c r="P44" s="321" t="n">
        <v>0</v>
      </c>
      <c r="Q44" s="321" t="n">
        <v>0</v>
      </c>
      <c r="R44" s="207" t="n"/>
      <c r="S44" s="321" t="n">
        <v>44.56</v>
      </c>
      <c r="T44" s="321" t="n">
        <v>0</v>
      </c>
      <c r="U44" s="321" t="n">
        <v>18.98</v>
      </c>
      <c r="V44" s="321" t="n">
        <v>0</v>
      </c>
      <c r="W44" s="321" t="n"/>
      <c r="X44" s="321" t="n"/>
      <c r="Y44" s="321" t="n"/>
      <c r="Z44" s="321" t="n"/>
      <c r="AA44" s="321" t="n"/>
      <c r="AB44" s="322" t="n">
        <v>0.890199</v>
      </c>
      <c r="AC44" s="322" t="n">
        <v>0.890199</v>
      </c>
      <c r="AD44" s="124" t="n">
        <v>28.27</v>
      </c>
      <c r="AE44" s="124" t="n">
        <v>6639.5</v>
      </c>
      <c r="AF44" s="124" t="n">
        <v>0</v>
      </c>
      <c r="AG44" s="124">
        <f>SUM(AD44:AF44)</f>
        <v/>
      </c>
      <c r="AH44" s="124">
        <f>(AD44*AB44)+((AE44+AF44)*AC44)</f>
        <v/>
      </c>
      <c r="AI44" s="124">
        <f>AD44-AS44</f>
        <v/>
      </c>
      <c r="AJ44" s="124">
        <f>AE44-AT44</f>
        <v/>
      </c>
      <c r="AK44" s="124">
        <f>AF44-AU44</f>
        <v/>
      </c>
      <c r="AL44" s="210">
        <f>SUM(AI44:AK44)</f>
        <v/>
      </c>
      <c r="AM44" s="337">
        <f>(AI44*AB44)+((AJ44+AK44)*AC44)</f>
        <v/>
      </c>
      <c r="AN44" s="124" t="n">
        <v>410.34</v>
      </c>
      <c r="AO44" s="124" t="n">
        <v>1894.2</v>
      </c>
      <c r="AP44" s="124" t="n">
        <v>852.6</v>
      </c>
      <c r="AQ44" s="143">
        <f>SUM(AN44:AP44)</f>
        <v/>
      </c>
      <c r="AR44" s="331">
        <f>(AN44*AB44)+((AO44+AP44)*AC44)</f>
        <v/>
      </c>
      <c r="AS44" s="124" t="n">
        <v>0.58</v>
      </c>
      <c r="AT44" s="124" t="n">
        <v>2725.8</v>
      </c>
      <c r="AU44" s="124" t="n">
        <v>0</v>
      </c>
      <c r="AV44" s="124">
        <f>SUM(AS44:AU44)</f>
        <v/>
      </c>
      <c r="AW44" s="124" t="n">
        <v>79.58</v>
      </c>
      <c r="AX44" s="124" t="n">
        <v>1794.2</v>
      </c>
      <c r="AY44" s="124" t="n">
        <v>852.6</v>
      </c>
      <c r="AZ44" s="124">
        <f>SUM(AW44:AY44)</f>
        <v/>
      </c>
      <c r="BA44" s="335">
        <f>(AW44*AB44)+((AX44+AY44)*AC44)</f>
        <v/>
      </c>
      <c r="BB44" s="122">
        <f>AN44-AW44</f>
        <v/>
      </c>
      <c r="BC44" s="141">
        <f>BB44*AB44</f>
        <v/>
      </c>
      <c r="BD44" s="122">
        <f>AO44-AX44</f>
        <v/>
      </c>
      <c r="BE44" s="122">
        <f>BD44*AC44</f>
        <v/>
      </c>
      <c r="BF44" s="122">
        <f>AP44-AY44</f>
        <v/>
      </c>
      <c r="BG44" s="122">
        <f>BF44*AC44</f>
        <v/>
      </c>
      <c r="BH44" s="122">
        <f>BB44+BD44+BF44</f>
        <v/>
      </c>
      <c r="BI44" s="122">
        <f>BC44+BE44+BG44</f>
        <v/>
      </c>
      <c r="BJ44" s="324">
        <f>BL44+BS44+BV44+BY44+CB44+CE44+CH44+CK44</f>
        <v/>
      </c>
      <c r="BK44" s="320">
        <f>((AI44+AW44)*AB44)+((AJ44+AK44+AX44+AY44)*AC44)</f>
        <v/>
      </c>
      <c r="BL44" s="132">
        <f>BM44+BN44+AL44</f>
        <v/>
      </c>
      <c r="BM44" s="133">
        <f>AW44</f>
        <v/>
      </c>
      <c r="BN44" s="133">
        <f>AX44+AY44</f>
        <v/>
      </c>
      <c r="BO44" s="320" t="n"/>
      <c r="BP44" s="320" t="n"/>
      <c r="BQ44" s="320" t="n"/>
      <c r="BR44" s="320" t="n"/>
      <c r="BS44" s="124" t="n"/>
      <c r="BT44" s="320" t="n"/>
      <c r="BU44" s="320" t="n"/>
      <c r="BV44" s="124" t="n"/>
      <c r="BW44" s="320" t="n"/>
      <c r="BX44" s="320" t="n"/>
      <c r="BY44" s="173" t="n"/>
      <c r="BZ44" s="326" t="n"/>
      <c r="CA44" s="173" t="n"/>
      <c r="CB44" s="173" t="n"/>
      <c r="CC44" s="326" t="n"/>
      <c r="CD44" s="124" t="n"/>
      <c r="CE44" s="124" t="n"/>
      <c r="CF44" s="320" t="n"/>
      <c r="CG44" s="124" t="n"/>
      <c r="CH44" s="124" t="n"/>
      <c r="CI44" s="320" t="n"/>
      <c r="CJ44" s="124" t="n"/>
      <c r="CK44" s="124" t="n"/>
      <c r="CL44" s="320" t="n"/>
      <c r="CM44" s="124" t="n"/>
      <c r="CN44" s="320">
        <f>BK44+BU44+BX44+CA44+CD44+CG44+CJ44+CM44</f>
        <v/>
      </c>
      <c r="CO44" s="154">
        <f>(AV44-(AZ44+BV44+BY44+CB44+CE44+CH44+CK44+BS44)+CO43)</f>
        <v/>
      </c>
      <c r="CP44" s="320">
        <f>CR44*G44</f>
        <v/>
      </c>
      <c r="CQ44" s="124">
        <f>AL44+AZ44+AQ44</f>
        <v/>
      </c>
      <c r="CR44" s="154" t="n"/>
      <c r="CS44" s="229" t="inlineStr">
        <is>
          <t>O Desempenho energético do mês de janeiro de 2024 foi satisfatório, atingindo 92% da estimativa projetada</t>
        </is>
      </c>
      <c r="CT44" s="155" t="n"/>
      <c r="CU44" s="177" t="n"/>
      <c r="CV44" s="177" t="n"/>
      <c r="CW44" s="325" t="n"/>
    </row>
    <row r="45" ht="19.9" customFormat="1" customHeight="1" s="67">
      <c r="A45" s="120" t="inlineStr">
        <is>
          <t>Grupo Alucentro</t>
        </is>
      </c>
      <c r="B45" s="65" t="n">
        <v>13260479</v>
      </c>
      <c r="C45" s="120" t="inlineStr">
        <is>
          <t>Alucentro Loja</t>
        </is>
      </c>
      <c r="D45" s="121" t="inlineStr">
        <is>
          <t xml:space="preserve">Goiânia </t>
        </is>
      </c>
      <c r="E45" s="121" t="inlineStr">
        <is>
          <t>Fevereiro/2022</t>
        </is>
      </c>
      <c r="F45" s="122" t="n">
        <v>7248</v>
      </c>
      <c r="G45" s="320" t="n">
        <v>0.83</v>
      </c>
      <c r="H45" s="124">
        <f>F45*G45</f>
        <v/>
      </c>
      <c r="I45" s="121" t="inlineStr">
        <is>
          <t>Outubro/2022</t>
        </is>
      </c>
      <c r="J45" s="125" t="inlineStr">
        <is>
          <t>1 Sungrow de 50KW</t>
        </is>
      </c>
      <c r="K45" s="65" t="inlineStr">
        <is>
          <t>95 de 590W</t>
        </is>
      </c>
      <c r="L45" s="121" t="n">
        <v>45159</v>
      </c>
      <c r="M45" s="145" t="inlineStr">
        <is>
          <t>Fevereiro/2024</t>
        </is>
      </c>
      <c r="N45" s="145" t="inlineStr">
        <is>
          <t>01/02/2024 a 01/03/2024</t>
        </is>
      </c>
      <c r="O45" s="321" t="n">
        <v>420.41</v>
      </c>
      <c r="P45" s="321" t="n">
        <v>0</v>
      </c>
      <c r="Q45" s="321" t="n">
        <v>0</v>
      </c>
      <c r="R45" s="207" t="n"/>
      <c r="S45" s="321" t="n">
        <v>45.47</v>
      </c>
      <c r="T45" s="321" t="n">
        <v>0</v>
      </c>
      <c r="U45" s="321" t="n">
        <v>23.28</v>
      </c>
      <c r="V45" s="321" t="n">
        <v>0</v>
      </c>
      <c r="W45" s="321" t="n"/>
      <c r="X45" s="321" t="n"/>
      <c r="Y45" s="321" t="n"/>
      <c r="Z45" s="321" t="n"/>
      <c r="AA45" s="321" t="n"/>
      <c r="AB45" s="322" t="n">
        <v>0.908296</v>
      </c>
      <c r="AC45" s="322" t="n">
        <v>0.908296</v>
      </c>
      <c r="AD45" s="124" t="n">
        <v>12.95</v>
      </c>
      <c r="AE45" s="124" t="n">
        <v>5918.39</v>
      </c>
      <c r="AF45" s="124" t="n">
        <v>0</v>
      </c>
      <c r="AG45" s="124">
        <f>SUM(AD45:AF45)</f>
        <v/>
      </c>
      <c r="AH45" s="124">
        <f>(AD45*AB45)+((AE45+AF45)*AC45)</f>
        <v/>
      </c>
      <c r="AI45" s="124">
        <f>AD45-AS45</f>
        <v/>
      </c>
      <c r="AJ45" s="124">
        <f>AE45-AT45</f>
        <v/>
      </c>
      <c r="AK45" s="124">
        <f>AF45-AU45</f>
        <v/>
      </c>
      <c r="AL45" s="210">
        <f>SUM(AI45:AK45)</f>
        <v/>
      </c>
      <c r="AM45" s="337">
        <f>(AI45*AB45)+((AJ45+AK45)*AC45)</f>
        <v/>
      </c>
      <c r="AN45" s="124" t="n">
        <v>442.13</v>
      </c>
      <c r="AO45" s="124" t="n">
        <v>1680</v>
      </c>
      <c r="AP45" s="124" t="n">
        <v>726.6</v>
      </c>
      <c r="AQ45" s="143">
        <f>SUM(AN45:AP45)</f>
        <v/>
      </c>
      <c r="AR45" s="331">
        <f>(AN45*AB45)+((AO45+AP45)*AC45)</f>
        <v/>
      </c>
      <c r="AS45" s="124" t="n">
        <v>0.25</v>
      </c>
      <c r="AT45" s="124" t="n">
        <v>2461.2</v>
      </c>
      <c r="AU45" s="124" t="n">
        <v>0</v>
      </c>
      <c r="AV45" s="124">
        <f>SUM(AS45:AU45)</f>
        <v/>
      </c>
      <c r="AW45" s="124" t="n">
        <v>154.85</v>
      </c>
      <c r="AX45" s="124" t="n">
        <v>1580</v>
      </c>
      <c r="AY45" s="124" t="n">
        <v>726.6</v>
      </c>
      <c r="AZ45" s="124">
        <f>SUM(AW45:AY45)</f>
        <v/>
      </c>
      <c r="BA45" s="335">
        <f>(AW45*AB45)+((AX45+AY45)*AC45)</f>
        <v/>
      </c>
      <c r="BB45" s="122">
        <f>AN45-AW45</f>
        <v/>
      </c>
      <c r="BC45" s="141">
        <f>BB45*AB45</f>
        <v/>
      </c>
      <c r="BD45" s="122">
        <f>AO45-AX45</f>
        <v/>
      </c>
      <c r="BE45" s="122">
        <f>BD45*AC45</f>
        <v/>
      </c>
      <c r="BF45" s="122">
        <f>AP45-AY45</f>
        <v/>
      </c>
      <c r="BG45" s="122">
        <f>BF45*AC45</f>
        <v/>
      </c>
      <c r="BH45" s="122">
        <f>BB45+BD45+BF45</f>
        <v/>
      </c>
      <c r="BI45" s="122">
        <f>BC45+BE45+BG45</f>
        <v/>
      </c>
      <c r="BJ45" s="324">
        <f>BL45+BS45+BV45+BY45+CB45+CE45+CH45+CK45</f>
        <v/>
      </c>
      <c r="BK45" s="320">
        <f>((AI45+AW45)*AB45)+((AJ45+AK45+AX45+AY45)*AC45)</f>
        <v/>
      </c>
      <c r="BL45" s="132">
        <f>BM45+BN45+AL45</f>
        <v/>
      </c>
      <c r="BM45" s="133">
        <f>AW45</f>
        <v/>
      </c>
      <c r="BN45" s="133">
        <f>AX45+AY45</f>
        <v/>
      </c>
      <c r="BO45" s="320" t="n"/>
      <c r="BP45" s="320" t="n"/>
      <c r="BQ45" s="320" t="n"/>
      <c r="BR45" s="320" t="n"/>
      <c r="BS45" s="124" t="n"/>
      <c r="BT45" s="320" t="n"/>
      <c r="BU45" s="320" t="n"/>
      <c r="BV45" s="124" t="n"/>
      <c r="BW45" s="320" t="n"/>
      <c r="BX45" s="320" t="n"/>
      <c r="BY45" s="173" t="n"/>
      <c r="BZ45" s="326" t="n"/>
      <c r="CA45" s="173" t="n"/>
      <c r="CB45" s="173" t="n"/>
      <c r="CC45" s="326" t="n"/>
      <c r="CD45" s="124" t="n"/>
      <c r="CE45" s="124" t="n"/>
      <c r="CF45" s="320" t="n"/>
      <c r="CG45" s="124" t="n"/>
      <c r="CH45" s="124" t="n"/>
      <c r="CI45" s="320" t="n"/>
      <c r="CJ45" s="124" t="n"/>
      <c r="CK45" s="124" t="n"/>
      <c r="CL45" s="320" t="n"/>
      <c r="CM45" s="124" t="n"/>
      <c r="CN45" s="320">
        <f>BK45+BU45+BX45+CA45+CD45+CG45+CJ45+CM45</f>
        <v/>
      </c>
      <c r="CO45" s="154">
        <f>(AV45-(AZ45+BV45+BY45+CB45+CE45+CH45+CK45+BS45)+CO44)</f>
        <v/>
      </c>
      <c r="CP45" s="320" t="n"/>
      <c r="CQ45" s="124" t="n"/>
      <c r="CR45" s="154" t="n"/>
      <c r="CS45" s="250" t="inlineStr">
        <is>
          <t>Em fevereiro de 2024, a produção energética da usina alcançou apenas 82% da capacidade projetada.
Esse desempenho deveu-se, por condições meteorológicas desfavoráveis, caracterizadas pela prevalência de precipitação e cobertura nublosa nesse mês.</t>
        </is>
      </c>
      <c r="CT45" s="155" t="n"/>
      <c r="CU45" s="177" t="n"/>
      <c r="CV45" s="177" t="n"/>
      <c r="CW45" s="325" t="n"/>
    </row>
    <row r="46" ht="19.9" customFormat="1" customHeight="1" s="67">
      <c r="A46" s="120" t="inlineStr">
        <is>
          <t>Grupo Rodar</t>
        </is>
      </c>
      <c r="B46" s="65" t="n">
        <v>21040540</v>
      </c>
      <c r="C46" s="120" t="inlineStr">
        <is>
          <t>Norte Sul</t>
        </is>
      </c>
      <c r="D46" s="121" t="inlineStr">
        <is>
          <t>Anápolis</t>
        </is>
      </c>
      <c r="E46" s="121" t="inlineStr">
        <is>
          <t>Junho/2023</t>
        </is>
      </c>
      <c r="F46" s="122" t="n">
        <v>36000</v>
      </c>
      <c r="G46" s="320" t="n">
        <v>0.55</v>
      </c>
      <c r="H46" s="124">
        <f>F46*G46</f>
        <v/>
      </c>
      <c r="I46" s="140" t="inlineStr">
        <is>
          <t>Agosto/2023</t>
        </is>
      </c>
      <c r="J46" s="144" t="inlineStr">
        <is>
          <t>2 Growatt de 100 KW e 1 de 25 KW</t>
        </is>
      </c>
      <c r="K46" s="66" t="inlineStr">
        <is>
          <t>547 de 555W</t>
        </is>
      </c>
      <c r="L46" s="140" t="n"/>
      <c r="M46" s="145" t="inlineStr">
        <is>
          <t>Agosto/2023</t>
        </is>
      </c>
      <c r="N46" s="145" t="inlineStr">
        <is>
          <t>01/08/2023 a 01/09/2023</t>
        </is>
      </c>
      <c r="O46" s="331" t="n">
        <v>10314.78</v>
      </c>
      <c r="P46" s="331" t="n">
        <v>0</v>
      </c>
      <c r="Q46" s="331" t="n">
        <v>4899.13</v>
      </c>
      <c r="R46" s="147" t="n"/>
      <c r="S46" s="331" t="n">
        <v>365.09</v>
      </c>
      <c r="T46" s="331" t="n">
        <v>472.79</v>
      </c>
      <c r="U46" s="331" t="n">
        <v>6.18</v>
      </c>
      <c r="V46" s="331" t="n">
        <v>0</v>
      </c>
      <c r="W46" s="331" t="n"/>
      <c r="X46" s="331" t="n"/>
      <c r="Y46" s="331" t="n"/>
      <c r="Z46" s="331" t="n"/>
      <c r="AA46" s="331" t="n"/>
      <c r="AB46" s="332" t="n">
        <v>2.034214</v>
      </c>
      <c r="AC46" s="332" t="n">
        <v>0.475968</v>
      </c>
      <c r="AD46" s="143" t="n">
        <v>35.61</v>
      </c>
      <c r="AE46" s="173" t="n">
        <v>15903.38</v>
      </c>
      <c r="AF46" s="143" t="n">
        <v>0</v>
      </c>
      <c r="AG46" s="143">
        <f>SUM(AD46:AF46)</f>
        <v/>
      </c>
      <c r="AH46" s="143">
        <f>(AD46*AB46)+((AE46+AF46)*AC46)</f>
        <v/>
      </c>
      <c r="AI46" s="143">
        <f>AD46-AS46</f>
        <v/>
      </c>
      <c r="AJ46" s="143">
        <f>AE46-AT46</f>
        <v/>
      </c>
      <c r="AK46" s="143">
        <f>AF46-AU46</f>
        <v/>
      </c>
      <c r="AL46" s="208">
        <f>SUM(AI46:AK46)</f>
        <v/>
      </c>
      <c r="AM46" s="336">
        <f>(AI46*AB46)+((AJ46+AK46)*AC46)</f>
        <v/>
      </c>
      <c r="AN46" s="143" t="n">
        <v>1220.64</v>
      </c>
      <c r="AO46" s="143" t="n">
        <v>5598.6</v>
      </c>
      <c r="AP46" s="143" t="n">
        <v>785.4</v>
      </c>
      <c r="AQ46" s="124">
        <f>SUM(AN46:AP46)</f>
        <v/>
      </c>
      <c r="AR46" s="321">
        <f>(AN46*AB46)+((AO46+AP46)*AC46)</f>
        <v/>
      </c>
      <c r="AS46" s="143" t="n">
        <v>35.61</v>
      </c>
      <c r="AT46" s="143" t="n">
        <v>1843.8</v>
      </c>
      <c r="AU46" s="143" t="n">
        <v>0</v>
      </c>
      <c r="AV46" s="143">
        <f>SUM(AS46:AU46)</f>
        <v/>
      </c>
      <c r="AW46" s="143" t="n">
        <v>35.61</v>
      </c>
      <c r="AX46" s="143" t="n">
        <v>1843.8</v>
      </c>
      <c r="AY46" s="143" t="n">
        <v>0</v>
      </c>
      <c r="AZ46" s="143">
        <f>SUM(AW46:AY46)</f>
        <v/>
      </c>
      <c r="BA46" s="335">
        <f>(AW46*AB46)+((AX46+AY46)*AC46)</f>
        <v/>
      </c>
      <c r="BB46" s="141">
        <f>AN46-AW46</f>
        <v/>
      </c>
      <c r="BC46" s="141">
        <f>BB46*AB46</f>
        <v/>
      </c>
      <c r="BD46" s="141">
        <f>AO46-AX46</f>
        <v/>
      </c>
      <c r="BE46" s="141">
        <f>BD46*AC46</f>
        <v/>
      </c>
      <c r="BF46" s="141">
        <f>AP46-AY46</f>
        <v/>
      </c>
      <c r="BG46" s="141">
        <f>BF46*AC46</f>
        <v/>
      </c>
      <c r="BH46" s="141">
        <f>BB46+BD46+BF46</f>
        <v/>
      </c>
      <c r="BI46" s="141">
        <f>BC46+BE46+BG46</f>
        <v/>
      </c>
      <c r="BJ46" s="324">
        <f>BL46+BS46+BV46+BY46+CB46+CE46+CH46+CK46</f>
        <v/>
      </c>
      <c r="BK46" s="320">
        <f>((AI46+AW46)*AB46)+((AJ46+AK46+AX46+AY46)*AC46)</f>
        <v/>
      </c>
      <c r="BL46" s="132">
        <f>BM46+BN46+AL46</f>
        <v/>
      </c>
      <c r="BM46" s="133">
        <f>AW46</f>
        <v/>
      </c>
      <c r="BN46" s="133">
        <f>AX46+AY46</f>
        <v/>
      </c>
      <c r="BO46" s="334" t="n"/>
      <c r="BP46" s="334" t="n"/>
      <c r="BQ46" s="334" t="n">
        <v>0</v>
      </c>
      <c r="BR46" s="334" t="n"/>
      <c r="BS46" s="143" t="n">
        <v>0</v>
      </c>
      <c r="BT46" s="334" t="n"/>
      <c r="BU46" s="334" t="n">
        <v>0</v>
      </c>
      <c r="BV46" s="143" t="n">
        <v>0</v>
      </c>
      <c r="BW46" s="334" t="n"/>
      <c r="BX46" s="334" t="n">
        <v>0</v>
      </c>
      <c r="BY46" s="124" t="n"/>
      <c r="BZ46" s="320" t="n"/>
      <c r="CA46" s="124" t="n"/>
      <c r="CB46" s="124" t="n"/>
      <c r="CC46" s="320" t="n"/>
      <c r="CD46" s="143" t="n"/>
      <c r="CE46" s="143" t="n"/>
      <c r="CF46" s="334" t="n"/>
      <c r="CG46" s="143" t="n"/>
      <c r="CH46" s="143" t="n"/>
      <c r="CI46" s="334" t="n"/>
      <c r="CJ46" s="143" t="n"/>
      <c r="CK46" s="143" t="n"/>
      <c r="CL46" s="334" t="n"/>
      <c r="CM46" s="143" t="n"/>
      <c r="CN46" s="320">
        <f>BK46+BU46+BX46+CA46+CD46+CG46+CJ46+CM46</f>
        <v/>
      </c>
      <c r="CO46" s="154">
        <f>CO47+(-CR47)</f>
        <v/>
      </c>
      <c r="CP46" s="320">
        <f>CR46*G46</f>
        <v/>
      </c>
      <c r="CQ46" s="124">
        <f>AL46+AZ46+AQ46</f>
        <v/>
      </c>
      <c r="CR46" s="154" t="n">
        <v>-7113.96</v>
      </c>
      <c r="CS46" s="155" t="n"/>
      <c r="CT46" s="155" t="n"/>
      <c r="CU46" s="177" t="n"/>
      <c r="CV46" s="177" t="n"/>
      <c r="CW46" s="325" t="n"/>
    </row>
    <row r="47" ht="19.9" customFormat="1" customHeight="1" s="67">
      <c r="A47" s="233" t="inlineStr">
        <is>
          <t>Grupo Rodar</t>
        </is>
      </c>
      <c r="B47" s="66" t="n">
        <v>21040540</v>
      </c>
      <c r="C47" s="233" t="inlineStr">
        <is>
          <t>Norte Sul</t>
        </is>
      </c>
      <c r="D47" s="140" t="inlineStr">
        <is>
          <t>Anápolis</t>
        </is>
      </c>
      <c r="E47" s="140" t="inlineStr">
        <is>
          <t>Junho/2023</t>
        </is>
      </c>
      <c r="F47" s="141" t="n">
        <v>36000</v>
      </c>
      <c r="G47" s="326" t="n">
        <v>0.55</v>
      </c>
      <c r="H47" s="173">
        <f>F47*G47</f>
        <v/>
      </c>
      <c r="I47" s="121" t="inlineStr">
        <is>
          <t>Agosto/2023</t>
        </is>
      </c>
      <c r="J47" s="125" t="inlineStr">
        <is>
          <t>2 Growatt de 100 KW e 1 de 25 KW</t>
        </is>
      </c>
      <c r="K47" s="65" t="inlineStr">
        <is>
          <t>547 de 555W</t>
        </is>
      </c>
      <c r="L47" s="121" t="n"/>
      <c r="M47" s="126" t="inlineStr">
        <is>
          <t>Setembro/2023</t>
        </is>
      </c>
      <c r="N47" s="126" t="inlineStr">
        <is>
          <t>01/09/2023 a 01/10/2023</t>
        </is>
      </c>
      <c r="O47" s="321" t="n">
        <v>5568.87</v>
      </c>
      <c r="P47" s="321" t="n">
        <v>0</v>
      </c>
      <c r="Q47" s="321" t="n">
        <v>5002</v>
      </c>
      <c r="R47" s="207" t="n"/>
      <c r="S47" s="321" t="n">
        <v>560.6900000000001</v>
      </c>
      <c r="T47" s="321" t="n">
        <v>0</v>
      </c>
      <c r="U47" s="321" t="n">
        <v>6.18</v>
      </c>
      <c r="V47" s="321" t="n">
        <v>0</v>
      </c>
      <c r="W47" s="321" t="n"/>
      <c r="X47" s="321" t="n"/>
      <c r="Y47" s="321" t="n"/>
      <c r="Z47" s="321" t="n"/>
      <c r="AA47" s="321" t="n"/>
      <c r="AB47" s="322" t="n">
        <v>2.076928</v>
      </c>
      <c r="AC47" s="322" t="n">
        <v>0.485963</v>
      </c>
      <c r="AD47" s="124" t="n">
        <v>8.48</v>
      </c>
      <c r="AE47" s="124" t="n">
        <v>22289.14</v>
      </c>
      <c r="AF47" s="124" t="n">
        <v>4.2</v>
      </c>
      <c r="AG47" s="124">
        <f>SUM(AD47:AF47)</f>
        <v/>
      </c>
      <c r="AH47" s="124">
        <f>(AD47*AB47)+((AE47+AF47)*AC47)</f>
        <v/>
      </c>
      <c r="AI47" s="124">
        <f>AD47-AS47</f>
        <v/>
      </c>
      <c r="AJ47" s="124">
        <f>AE47-AT47</f>
        <v/>
      </c>
      <c r="AK47" s="124">
        <f>AF47-AU47</f>
        <v/>
      </c>
      <c r="AL47" s="210">
        <f>SUM(AI47:AK47)</f>
        <v/>
      </c>
      <c r="AM47" s="337">
        <f>(AI47*AB47)+((AJ47+AK47)*AC47)</f>
        <v/>
      </c>
      <c r="AN47" s="124" t="n">
        <v>1838.84</v>
      </c>
      <c r="AO47" s="124" t="n">
        <v>11163.6</v>
      </c>
      <c r="AP47" s="124" t="n">
        <v>1570.8</v>
      </c>
      <c r="AQ47" s="143">
        <f>SUM(AN47:AP47)</f>
        <v/>
      </c>
      <c r="AR47" s="331">
        <f>(AN47*AB47)+((AO47+AP47)*AC47)</f>
        <v/>
      </c>
      <c r="AS47" s="124" t="n">
        <v>8.48</v>
      </c>
      <c r="AT47" s="124" t="n">
        <v>7446.6</v>
      </c>
      <c r="AU47" s="124" t="n">
        <v>4.2</v>
      </c>
      <c r="AV47" s="124">
        <f>SUM(AS47:AU47)</f>
        <v/>
      </c>
      <c r="AW47" s="124" t="n">
        <v>1838.84</v>
      </c>
      <c r="AX47" s="124" t="n">
        <v>11163.6</v>
      </c>
      <c r="AY47" s="124" t="n">
        <v>1570.8</v>
      </c>
      <c r="AZ47" s="124">
        <f>SUM(AW47:AY47)</f>
        <v/>
      </c>
      <c r="BA47" s="335">
        <f>(AW47*AB47)+((AX47+AY47)*AC47)</f>
        <v/>
      </c>
      <c r="BB47" s="122">
        <f>AN47-AW47</f>
        <v/>
      </c>
      <c r="BC47" s="141">
        <f>BB47*AB47</f>
        <v/>
      </c>
      <c r="BD47" s="122">
        <f>AO47-AX47</f>
        <v/>
      </c>
      <c r="BE47" s="122">
        <f>BD47*AC47</f>
        <v/>
      </c>
      <c r="BF47" s="122">
        <f>AP47-AY47</f>
        <v/>
      </c>
      <c r="BG47" s="122">
        <f>BF47*AC47</f>
        <v/>
      </c>
      <c r="BH47" s="122">
        <f>BB47+BD47+BF47</f>
        <v/>
      </c>
      <c r="BI47" s="122">
        <f>BC47+BE47+BG47</f>
        <v/>
      </c>
      <c r="BJ47" s="324">
        <f>BL47+BS47+BV47+BY47+CB47+CE47+CH47+CK47</f>
        <v/>
      </c>
      <c r="BK47" s="320">
        <f>((AI47+AW47)*AB47)+((AJ47+AK47+AX47+AY47)*AC47)</f>
        <v/>
      </c>
      <c r="BL47" s="132">
        <f>BM47+BN47+AL47</f>
        <v/>
      </c>
      <c r="BM47" s="133">
        <f>AW47</f>
        <v/>
      </c>
      <c r="BN47" s="133">
        <f>AX47+AY47</f>
        <v/>
      </c>
      <c r="BO47" s="320" t="n"/>
      <c r="BP47" s="320" t="n"/>
      <c r="BQ47" s="320" t="n">
        <v>0</v>
      </c>
      <c r="BR47" s="320" t="n"/>
      <c r="BS47" s="124" t="n">
        <v>0</v>
      </c>
      <c r="BT47" s="320" t="n"/>
      <c r="BU47" s="320" t="n">
        <v>0</v>
      </c>
      <c r="BV47" s="124" t="n">
        <v>0</v>
      </c>
      <c r="BW47" s="320" t="n"/>
      <c r="BX47" s="320" t="n">
        <v>0</v>
      </c>
      <c r="BY47" s="173" t="n"/>
      <c r="BZ47" s="326" t="n"/>
      <c r="CA47" s="173" t="n"/>
      <c r="CB47" s="173" t="n"/>
      <c r="CC47" s="326" t="n"/>
      <c r="CD47" s="124" t="n"/>
      <c r="CE47" s="124" t="n"/>
      <c r="CF47" s="320" t="n"/>
      <c r="CG47" s="124" t="n"/>
      <c r="CH47" s="124" t="n"/>
      <c r="CI47" s="320" t="n"/>
      <c r="CJ47" s="124" t="n"/>
      <c r="CK47" s="124" t="n"/>
      <c r="CL47" s="320" t="n"/>
      <c r="CM47" s="124" t="n"/>
      <c r="CN47" s="320">
        <f>BK47+BU47+BX47+CA47+CD47+CG47+CJ47+CM47</f>
        <v/>
      </c>
      <c r="CO47" s="154">
        <f>CO48+(-CR48)</f>
        <v/>
      </c>
      <c r="CP47" s="320">
        <f>CR47*G47</f>
        <v/>
      </c>
      <c r="CQ47" s="124">
        <f>AL47+AZ47+AQ47</f>
        <v/>
      </c>
      <c r="CR47" s="154" t="n">
        <v>20107.91</v>
      </c>
      <c r="CS47" s="155" t="n"/>
      <c r="CT47" s="155" t="n"/>
      <c r="CU47" s="177" t="n"/>
      <c r="CV47" s="177" t="n"/>
      <c r="CW47" s="325" t="n"/>
    </row>
    <row r="48" ht="19.9" customFormat="1" customHeight="1" s="67">
      <c r="A48" s="120" t="inlineStr">
        <is>
          <t>Grupo Rodar</t>
        </is>
      </c>
      <c r="B48" s="65" t="n">
        <v>21040540</v>
      </c>
      <c r="C48" s="120" t="inlineStr">
        <is>
          <t>Norte Sul</t>
        </is>
      </c>
      <c r="D48" s="121" t="inlineStr">
        <is>
          <t>Anápolis</t>
        </is>
      </c>
      <c r="E48" s="121" t="inlineStr">
        <is>
          <t>Junho/2023</t>
        </is>
      </c>
      <c r="F48" s="122" t="n">
        <v>36000</v>
      </c>
      <c r="G48" s="320" t="n">
        <v>0.55</v>
      </c>
      <c r="H48" s="124">
        <f>F48*G48</f>
        <v/>
      </c>
      <c r="I48" s="140" t="inlineStr">
        <is>
          <t>Agosto/2023</t>
        </is>
      </c>
      <c r="J48" s="144" t="inlineStr">
        <is>
          <t>2 Growatt de 100 KW e 1 de 25 KW</t>
        </is>
      </c>
      <c r="K48" s="66" t="inlineStr">
        <is>
          <t>547 de 555W</t>
        </is>
      </c>
      <c r="L48" s="140" t="n"/>
      <c r="M48" s="145" t="inlineStr">
        <is>
          <t>Outubro/2023</t>
        </is>
      </c>
      <c r="N48" s="145" t="inlineStr">
        <is>
          <t>01/10/2023 a 01/11/2023</t>
        </is>
      </c>
      <c r="O48" s="331" t="n">
        <v>5893.09</v>
      </c>
      <c r="P48" s="331" t="n">
        <v>0</v>
      </c>
      <c r="Q48" s="331" t="n">
        <v>5240.19</v>
      </c>
      <c r="R48" s="147" t="n"/>
      <c r="S48" s="331" t="n">
        <v>646.72</v>
      </c>
      <c r="T48" s="331" t="n">
        <v>0</v>
      </c>
      <c r="U48" s="331" t="n">
        <v>6.18</v>
      </c>
      <c r="V48" s="331" t="n">
        <v>0</v>
      </c>
      <c r="W48" s="331" t="n"/>
      <c r="X48" s="331" t="n"/>
      <c r="Y48" s="331" t="n"/>
      <c r="Z48" s="331" t="n"/>
      <c r="AA48" s="331" t="n"/>
      <c r="AB48" s="332" t="n">
        <v>2.131063</v>
      </c>
      <c r="AC48" s="332" t="n">
        <v>0.474347</v>
      </c>
      <c r="AD48" s="143" t="n">
        <v>2.4</v>
      </c>
      <c r="AE48" s="173" t="n">
        <v>35674.57</v>
      </c>
      <c r="AF48" s="143" t="n">
        <v>5.76</v>
      </c>
      <c r="AG48" s="143">
        <f>SUM(AD48:AF48)</f>
        <v/>
      </c>
      <c r="AH48" s="143">
        <f>(AD48*AB48)+((AE48+AF48)*AC48)</f>
        <v/>
      </c>
      <c r="AI48" s="143">
        <f>AD48-AS48</f>
        <v/>
      </c>
      <c r="AJ48" s="143">
        <f>AE48-AT48</f>
        <v/>
      </c>
      <c r="AK48" s="143">
        <f>AF48-AU48</f>
        <v/>
      </c>
      <c r="AL48" s="208">
        <f>SUM(AI48:AK48)</f>
        <v/>
      </c>
      <c r="AM48" s="336">
        <f>(AI48*AB48)+((AJ48+AK48)*AC48)</f>
        <v/>
      </c>
      <c r="AN48" s="143" t="n">
        <v>2329.19</v>
      </c>
      <c r="AO48" s="143" t="n">
        <v>11356.8</v>
      </c>
      <c r="AP48" s="143" t="n">
        <v>1919.4</v>
      </c>
      <c r="AQ48" s="124">
        <f>SUM(AN48:AP48)</f>
        <v/>
      </c>
      <c r="AR48" s="321">
        <f>(AN48*AB48)+((AO48+AP48)*AC48)</f>
        <v/>
      </c>
      <c r="AS48" s="143" t="n">
        <v>0</v>
      </c>
      <c r="AT48" s="143" t="n">
        <v>15708</v>
      </c>
      <c r="AU48" s="143" t="n">
        <v>0</v>
      </c>
      <c r="AV48" s="143">
        <f>SUM(AS48:AU48)</f>
        <v/>
      </c>
      <c r="AW48" s="143" t="n">
        <v>2329.19</v>
      </c>
      <c r="AX48" s="143" t="n">
        <v>11356.8</v>
      </c>
      <c r="AY48" s="143" t="n">
        <v>1919.4</v>
      </c>
      <c r="AZ48" s="143">
        <f>SUM(AW48:AY48)</f>
        <v/>
      </c>
      <c r="BA48" s="335">
        <f>(AW48*AB48)+((AX48+AY48)*AC48)</f>
        <v/>
      </c>
      <c r="BB48" s="141">
        <f>AN48-AW48</f>
        <v/>
      </c>
      <c r="BC48" s="141">
        <f>BB48*AB48</f>
        <v/>
      </c>
      <c r="BD48" s="141">
        <f>AO48-AX48</f>
        <v/>
      </c>
      <c r="BE48" s="141">
        <f>BD48*AC48</f>
        <v/>
      </c>
      <c r="BF48" s="141">
        <f>AP48-AY48</f>
        <v/>
      </c>
      <c r="BG48" s="141">
        <f>BF48*AC48</f>
        <v/>
      </c>
      <c r="BH48" s="141">
        <f>BB48+BD48+BF48</f>
        <v/>
      </c>
      <c r="BI48" s="141">
        <f>BC48+BE48+BG48</f>
        <v/>
      </c>
      <c r="BJ48" s="324">
        <f>BL48+BS48+BV48+BY48+CB48+CE48+CH48+CK48</f>
        <v/>
      </c>
      <c r="BK48" s="320">
        <f>((AI48+AW48)*AB48)+((AJ48+AK48+AX48+AY48)*AC48)</f>
        <v/>
      </c>
      <c r="BL48" s="132">
        <f>BM48+BN48+AL48</f>
        <v/>
      </c>
      <c r="BM48" s="133">
        <f>AW48</f>
        <v/>
      </c>
      <c r="BN48" s="133">
        <f>AX48+AY48</f>
        <v/>
      </c>
      <c r="BO48" s="334" t="n"/>
      <c r="BP48" s="334" t="n"/>
      <c r="BQ48" s="334" t="n">
        <v>0</v>
      </c>
      <c r="BR48" s="334" t="n"/>
      <c r="BS48" s="143" t="n">
        <v>0</v>
      </c>
      <c r="BT48" s="334" t="n"/>
      <c r="BU48" s="334" t="n">
        <v>0</v>
      </c>
      <c r="BV48" s="143" t="n">
        <v>0</v>
      </c>
      <c r="BW48" s="334" t="n"/>
      <c r="BX48" s="334" t="n">
        <v>0</v>
      </c>
      <c r="BY48" s="124" t="n"/>
      <c r="BZ48" s="320" t="n"/>
      <c r="CA48" s="124" t="n"/>
      <c r="CB48" s="124" t="n"/>
      <c r="CC48" s="320" t="n"/>
      <c r="CD48" s="143" t="n"/>
      <c r="CE48" s="143" t="n"/>
      <c r="CF48" s="334" t="n"/>
      <c r="CG48" s="143" t="n"/>
      <c r="CH48" s="143" t="n"/>
      <c r="CI48" s="334" t="n"/>
      <c r="CJ48" s="143" t="n"/>
      <c r="CK48" s="143" t="n"/>
      <c r="CL48" s="334" t="n"/>
      <c r="CM48" s="143" t="n"/>
      <c r="CN48" s="320">
        <f>BK48+BU48+BX48+CA48+CD48+CG48+CJ48+CM48</f>
        <v/>
      </c>
      <c r="CO48" s="154">
        <f>CO49+(-CR49)</f>
        <v/>
      </c>
      <c r="CP48" s="320">
        <f>CR48*G48</f>
        <v/>
      </c>
      <c r="CQ48" s="124">
        <f>AL48+AZ48+AQ48</f>
        <v/>
      </c>
      <c r="CR48" s="154" t="n">
        <v>102.61</v>
      </c>
      <c r="CS48" s="155" t="n"/>
      <c r="CT48" s="155" t="n"/>
      <c r="CU48" s="177" t="n"/>
      <c r="CV48" s="177" t="n"/>
      <c r="CW48" s="325" t="n"/>
    </row>
    <row r="49" ht="19.9" customFormat="1" customHeight="1" s="67">
      <c r="A49" s="233" t="inlineStr">
        <is>
          <t>Grupo Rodar</t>
        </is>
      </c>
      <c r="B49" s="66" t="n">
        <v>21040540</v>
      </c>
      <c r="C49" s="233" t="inlineStr">
        <is>
          <t>Norte Sul</t>
        </is>
      </c>
      <c r="D49" s="140" t="inlineStr">
        <is>
          <t>Anápolis</t>
        </is>
      </c>
      <c r="E49" s="140" t="inlineStr">
        <is>
          <t>Junho/2023</t>
        </is>
      </c>
      <c r="F49" s="141" t="n">
        <v>36000</v>
      </c>
      <c r="G49" s="326" t="n">
        <v>0.55</v>
      </c>
      <c r="H49" s="173">
        <f>F49*G49</f>
        <v/>
      </c>
      <c r="I49" s="121" t="inlineStr">
        <is>
          <t>Agosto/2023</t>
        </is>
      </c>
      <c r="J49" s="125" t="inlineStr">
        <is>
          <t>2 Growatt de 100 KW e 1 de 25 KW</t>
        </is>
      </c>
      <c r="K49" s="65" t="inlineStr">
        <is>
          <t>547 de 555W</t>
        </is>
      </c>
      <c r="L49" s="121" t="n"/>
      <c r="M49" s="126" t="inlineStr">
        <is>
          <t>Novembro/2023</t>
        </is>
      </c>
      <c r="N49" s="126" t="inlineStr">
        <is>
          <t>01/11/2023 a 01/12/2023</t>
        </is>
      </c>
      <c r="O49" s="321" t="n">
        <v>6397.78</v>
      </c>
      <c r="P49" s="321" t="n">
        <v>0</v>
      </c>
      <c r="Q49" s="321" t="n">
        <v>5599.83</v>
      </c>
      <c r="R49" s="207" t="n"/>
      <c r="S49" s="321" t="n">
        <v>791.77</v>
      </c>
      <c r="T49" s="321" t="n">
        <v>0</v>
      </c>
      <c r="U49" s="321" t="n">
        <v>6.18</v>
      </c>
      <c r="V49" s="321" t="n">
        <v>0</v>
      </c>
      <c r="W49" s="321" t="n"/>
      <c r="X49" s="321" t="n"/>
      <c r="Y49" s="321" t="n"/>
      <c r="Z49" s="321" t="n"/>
      <c r="AA49" s="321" t="n"/>
      <c r="AB49" s="322" t="n">
        <v>2.198205</v>
      </c>
      <c r="AC49" s="322" t="n">
        <v>0.445477</v>
      </c>
      <c r="AD49" s="124" t="n">
        <v>14.17</v>
      </c>
      <c r="AE49" s="124" t="n">
        <v>36074.89</v>
      </c>
      <c r="AF49" s="124" t="n">
        <v>22.99</v>
      </c>
      <c r="AG49" s="124">
        <f>SUM(AD49:AF49)</f>
        <v/>
      </c>
      <c r="AH49" s="124">
        <f>(AD49*AB49)+((AE49+AF49)*AC49)</f>
        <v/>
      </c>
      <c r="AI49" s="124">
        <f>AD49-AS49</f>
        <v/>
      </c>
      <c r="AJ49" s="124">
        <f>AE49-AT49</f>
        <v/>
      </c>
      <c r="AK49" s="124">
        <f>AF49-AU49</f>
        <v/>
      </c>
      <c r="AL49" s="210">
        <f>SUM(AI49:AK49)</f>
        <v/>
      </c>
      <c r="AM49" s="337">
        <f>(AI49*AB49)+((AJ49+AK49)*AC49)</f>
        <v/>
      </c>
      <c r="AN49" s="143" t="n">
        <v>2789.85</v>
      </c>
      <c r="AO49" s="143" t="n">
        <v>10395</v>
      </c>
      <c r="AP49" s="143" t="n">
        <v>1932</v>
      </c>
      <c r="AQ49" s="143">
        <f>SUM(AN49:AP49)</f>
        <v/>
      </c>
      <c r="AR49" s="331">
        <f>(AN49*AB49)+((AO49+AP49)*AC49)</f>
        <v/>
      </c>
      <c r="AS49" s="143" t="n">
        <v>0</v>
      </c>
      <c r="AT49" s="143" t="n">
        <v>16573.2</v>
      </c>
      <c r="AU49" s="143" t="n">
        <v>0</v>
      </c>
      <c r="AV49" s="143">
        <f>SUM(AS49:AU49)</f>
        <v/>
      </c>
      <c r="AW49" s="143" t="n">
        <v>2789.85</v>
      </c>
      <c r="AX49" s="143" t="n">
        <v>10395</v>
      </c>
      <c r="AY49" s="143" t="n">
        <v>1932</v>
      </c>
      <c r="AZ49" s="143">
        <f>SUM(AW49:AY49)</f>
        <v/>
      </c>
      <c r="BA49" s="335">
        <f>(AW49*AB49)+((AX49+AY49)*AC49)</f>
        <v/>
      </c>
      <c r="BB49" s="141">
        <f>AN49-AW49</f>
        <v/>
      </c>
      <c r="BC49" s="141">
        <f>BB49*AB49</f>
        <v/>
      </c>
      <c r="BD49" s="141">
        <f>AO49-AX49</f>
        <v/>
      </c>
      <c r="BE49" s="141">
        <f>BD49*AC49</f>
        <v/>
      </c>
      <c r="BF49" s="141">
        <f>AP49-AY49</f>
        <v/>
      </c>
      <c r="BG49" s="141">
        <f>BF49*AC49</f>
        <v/>
      </c>
      <c r="BH49" s="141">
        <f>BB49+BD49+BF49</f>
        <v/>
      </c>
      <c r="BI49" s="141">
        <f>BC49+BE49+BG49</f>
        <v/>
      </c>
      <c r="BJ49" s="324">
        <f>BL49+BS49+BV49+BY49+CB49+CE49+CH49+CK49</f>
        <v/>
      </c>
      <c r="BK49" s="320">
        <f>((AI49+AW49)*AB49)+((AJ49+AK49+AX49+AY49)*AC49)</f>
        <v/>
      </c>
      <c r="BL49" s="132">
        <f>BM49+BN49+AL49</f>
        <v/>
      </c>
      <c r="BM49" s="133">
        <f>AW49</f>
        <v/>
      </c>
      <c r="BN49" s="133">
        <f>AX49+AY49</f>
        <v/>
      </c>
      <c r="BO49" s="334" t="n"/>
      <c r="BP49" s="334" t="n"/>
      <c r="BQ49" s="334" t="n"/>
      <c r="BR49" s="334" t="n"/>
      <c r="BS49" s="143" t="n"/>
      <c r="BT49" s="334" t="n"/>
      <c r="BU49" s="334" t="n"/>
      <c r="BV49" s="143" t="n"/>
      <c r="BW49" s="334" t="n"/>
      <c r="BX49" s="334" t="n"/>
      <c r="BY49" s="173" t="n"/>
      <c r="BZ49" s="326" t="n"/>
      <c r="CA49" s="173" t="n"/>
      <c r="CB49" s="173" t="n"/>
      <c r="CC49" s="326" t="n"/>
      <c r="CD49" s="143" t="n"/>
      <c r="CE49" s="143" t="n"/>
      <c r="CF49" s="334" t="n"/>
      <c r="CG49" s="143" t="n"/>
      <c r="CH49" s="143" t="n"/>
      <c r="CI49" s="334" t="n"/>
      <c r="CJ49" s="143" t="n"/>
      <c r="CK49" s="143" t="n"/>
      <c r="CL49" s="334" t="n"/>
      <c r="CM49" s="143" t="n"/>
      <c r="CN49" s="320">
        <f>BK49+BU49+BX49+CA49+CD49+CG49+CJ49+CM49</f>
        <v/>
      </c>
      <c r="CO49" s="154">
        <f>CO50+(-CR50)</f>
        <v/>
      </c>
      <c r="CP49" s="320">
        <f>CR49*G49</f>
        <v/>
      </c>
      <c r="CQ49" s="124">
        <f>AL49+AZ49+AQ49</f>
        <v/>
      </c>
      <c r="CR49" s="154" t="n">
        <v>1456.35</v>
      </c>
      <c r="CS49" s="155" t="n"/>
      <c r="CT49" s="155" t="n"/>
      <c r="CU49" s="177" t="n"/>
      <c r="CV49" s="177" t="n"/>
      <c r="CW49" s="325" t="n"/>
    </row>
    <row r="50" ht="19.9" customFormat="1" customHeight="1" s="67">
      <c r="A50" s="120" t="inlineStr">
        <is>
          <t>Grupo Rodar</t>
        </is>
      </c>
      <c r="B50" s="65" t="n">
        <v>21040540</v>
      </c>
      <c r="C50" s="120" t="inlineStr">
        <is>
          <t>Norte Sul</t>
        </is>
      </c>
      <c r="D50" s="121" t="inlineStr">
        <is>
          <t>Anápolis</t>
        </is>
      </c>
      <c r="E50" s="121" t="inlineStr">
        <is>
          <t>Junho/2023</t>
        </is>
      </c>
      <c r="F50" s="122" t="n">
        <v>36000</v>
      </c>
      <c r="G50" s="320" t="n">
        <v>0.55</v>
      </c>
      <c r="H50" s="124">
        <f>F50*G50</f>
        <v/>
      </c>
      <c r="I50" s="140" t="inlineStr">
        <is>
          <t>Agosto/2023</t>
        </is>
      </c>
      <c r="J50" s="144" t="inlineStr">
        <is>
          <t>2 Growatt de 100 KW e 1 de 25 KW</t>
        </is>
      </c>
      <c r="K50" s="66" t="inlineStr">
        <is>
          <t>547 de 555W</t>
        </is>
      </c>
      <c r="L50" s="140" t="n"/>
      <c r="M50" s="145" t="inlineStr">
        <is>
          <t>Dezembro/2023</t>
        </is>
      </c>
      <c r="N50" s="145" t="inlineStr">
        <is>
          <t>01/12/2023 a 01/01/2024</t>
        </is>
      </c>
      <c r="O50" s="331" t="n">
        <v>6226.04</v>
      </c>
      <c r="P50" s="331" t="n">
        <v>0</v>
      </c>
      <c r="Q50" s="331" t="n">
        <v>5521.49</v>
      </c>
      <c r="R50" s="147" t="n"/>
      <c r="S50" s="331" t="n">
        <v>675.42</v>
      </c>
      <c r="T50" s="331" t="n">
        <v>0</v>
      </c>
      <c r="U50" s="331" t="n">
        <v>6.18</v>
      </c>
      <c r="V50" s="331" t="n">
        <v>0</v>
      </c>
      <c r="W50" s="331" t="n"/>
      <c r="X50" s="331" t="n"/>
      <c r="Y50" s="331" t="n"/>
      <c r="Z50" s="331" t="n">
        <v>22.95</v>
      </c>
      <c r="AA50" s="331" t="n"/>
      <c r="AB50" s="332" t="n">
        <v>2.167453</v>
      </c>
      <c r="AC50" s="332" t="n">
        <v>0.439245</v>
      </c>
      <c r="AD50" s="143" t="n">
        <v>50.6</v>
      </c>
      <c r="AE50" s="173" t="n">
        <v>37774.25</v>
      </c>
      <c r="AF50" s="143" t="n">
        <v>16.45</v>
      </c>
      <c r="AG50" s="143">
        <f>SUM(AD50:AF50)</f>
        <v/>
      </c>
      <c r="AH50" s="143">
        <f>(AD50*AB50)+((AE50+AF50)*AC50)</f>
        <v/>
      </c>
      <c r="AI50" s="143">
        <f>AD50-AS50</f>
        <v/>
      </c>
      <c r="AJ50" s="143">
        <f>AE50-AT50</f>
        <v/>
      </c>
      <c r="AK50" s="143">
        <f>AF50-AU50</f>
        <v/>
      </c>
      <c r="AL50" s="208">
        <f>SUM(AI50:AK50)</f>
        <v/>
      </c>
      <c r="AM50" s="336">
        <f>(AI50*AB50)+((AJ50+AK50)*AC50)</f>
        <v/>
      </c>
      <c r="AN50" s="143" t="n">
        <v>2097.39</v>
      </c>
      <c r="AO50" s="143" t="n">
        <v>9622.200000000001</v>
      </c>
      <c r="AP50" s="143" t="n">
        <v>1562.4</v>
      </c>
      <c r="AQ50" s="124">
        <f>SUM(AN50:AP50)</f>
        <v/>
      </c>
      <c r="AR50" s="321">
        <f>(AN50*AB50)+((AO50+AP50)*AC50)</f>
        <v/>
      </c>
      <c r="AS50" s="143" t="n">
        <v>0</v>
      </c>
      <c r="AT50" s="143" t="n">
        <v>19282.2</v>
      </c>
      <c r="AU50" s="143" t="n">
        <v>0</v>
      </c>
      <c r="AV50" s="143">
        <f>SUM(AS50:AU50)</f>
        <v/>
      </c>
      <c r="AW50" s="143" t="n">
        <v>2097.39</v>
      </c>
      <c r="AX50" s="143" t="n">
        <v>9622.200000000001</v>
      </c>
      <c r="AY50" s="143" t="n">
        <v>1562.4</v>
      </c>
      <c r="AZ50" s="143">
        <f>SUM(AW50:AY50)</f>
        <v/>
      </c>
      <c r="BA50" s="335">
        <f>(AW50*AB50)+((AX50+AY50)*AC50)</f>
        <v/>
      </c>
      <c r="BB50" s="141">
        <f>AN50-AW50</f>
        <v/>
      </c>
      <c r="BC50" s="141">
        <f>BB50*AB50</f>
        <v/>
      </c>
      <c r="BD50" s="141">
        <f>AO50-AX50</f>
        <v/>
      </c>
      <c r="BE50" s="141">
        <f>BD50*AC50</f>
        <v/>
      </c>
      <c r="BF50" s="141">
        <f>AP50-AY50</f>
        <v/>
      </c>
      <c r="BG50" s="141">
        <f>BF50*AC50</f>
        <v/>
      </c>
      <c r="BH50" s="141">
        <f>BB50+BD50+BF50</f>
        <v/>
      </c>
      <c r="BI50" s="141">
        <f>BC50+BE50+BG50</f>
        <v/>
      </c>
      <c r="BJ50" s="324">
        <f>BL50+BS50+BV50+BY50+CB50+CE50+CH50+CK50</f>
        <v/>
      </c>
      <c r="BK50" s="320">
        <f>((AI50+AW50)*AB50)+((AJ50+AK50+AX50+AY50)*AC50)</f>
        <v/>
      </c>
      <c r="BL50" s="132">
        <f>BM50+BN50+AL50</f>
        <v/>
      </c>
      <c r="BM50" s="133">
        <f>AW50</f>
        <v/>
      </c>
      <c r="BN50" s="133">
        <f>AX50+AY50</f>
        <v/>
      </c>
      <c r="BO50" s="334" t="n"/>
      <c r="BP50" s="334" t="n"/>
      <c r="BQ50" s="334" t="n"/>
      <c r="BR50" s="334" t="n"/>
      <c r="BS50" s="143" t="n"/>
      <c r="BT50" s="334" t="n"/>
      <c r="BU50" s="334" t="n"/>
      <c r="BV50" s="143" t="n"/>
      <c r="BW50" s="334" t="n"/>
      <c r="BX50" s="334" t="n"/>
      <c r="BY50" s="124" t="n"/>
      <c r="BZ50" s="320" t="n"/>
      <c r="CA50" s="124" t="n"/>
      <c r="CB50" s="124" t="n"/>
      <c r="CC50" s="320" t="n"/>
      <c r="CD50" s="143" t="n"/>
      <c r="CE50" s="143" t="n"/>
      <c r="CF50" s="334" t="n"/>
      <c r="CG50" s="143" t="n"/>
      <c r="CH50" s="143" t="n"/>
      <c r="CI50" s="334" t="n"/>
      <c r="CJ50" s="143" t="n"/>
      <c r="CK50" s="143" t="n"/>
      <c r="CL50" s="334" t="n"/>
      <c r="CM50" s="143" t="n"/>
      <c r="CN50" s="320">
        <f>BK50+BU50+BX50+CA50+CD50+CG50+CJ50+CM50</f>
        <v/>
      </c>
      <c r="CO50" s="154">
        <f>CO51+(-CR51)</f>
        <v/>
      </c>
      <c r="CP50" s="320">
        <f>CR50*G50</f>
        <v/>
      </c>
      <c r="CQ50" s="124">
        <f>AL50+AZ50+AQ50</f>
        <v/>
      </c>
      <c r="CR50" s="154" t="n">
        <v>6000.21</v>
      </c>
      <c r="CS50" s="155" t="n"/>
      <c r="CT50" s="155" t="n"/>
      <c r="CU50" s="177" t="n"/>
      <c r="CV50" s="177" t="n"/>
      <c r="CW50" s="325" t="n"/>
    </row>
    <row r="51" ht="19.9" customFormat="1" customHeight="1" s="67">
      <c r="A51" s="233" t="inlineStr">
        <is>
          <t>Grupo Rodar</t>
        </is>
      </c>
      <c r="B51" s="66" t="n">
        <v>21040540</v>
      </c>
      <c r="C51" s="233" t="inlineStr">
        <is>
          <t>Norte Sul</t>
        </is>
      </c>
      <c r="D51" s="140" t="inlineStr">
        <is>
          <t>Anápolis</t>
        </is>
      </c>
      <c r="E51" s="140" t="inlineStr">
        <is>
          <t>Junho/2023</t>
        </is>
      </c>
      <c r="F51" s="141" t="n">
        <v>36000</v>
      </c>
      <c r="G51" s="326" t="n">
        <v>0.55</v>
      </c>
      <c r="H51" s="173">
        <f>F51*G51</f>
        <v/>
      </c>
      <c r="I51" s="121" t="inlineStr">
        <is>
          <t>Agosto/2023</t>
        </is>
      </c>
      <c r="J51" s="125" t="inlineStr">
        <is>
          <t>2 Growatt de 100 KW e 1 de 25 KW</t>
        </is>
      </c>
      <c r="K51" s="65" t="inlineStr">
        <is>
          <t>547 de 555W</t>
        </is>
      </c>
      <c r="L51" s="121" t="n"/>
      <c r="M51" s="126" t="inlineStr">
        <is>
          <t>Janeiro/2024</t>
        </is>
      </c>
      <c r="N51" s="126" t="inlineStr">
        <is>
          <t>01/01/2024 a 01/02/2024</t>
        </is>
      </c>
      <c r="O51" s="321" t="n">
        <v>5340.6</v>
      </c>
      <c r="P51" s="177" t="n">
        <v>1179.98</v>
      </c>
      <c r="Q51" s="321" t="n">
        <v>4326.64</v>
      </c>
      <c r="R51" s="207" t="n"/>
      <c r="S51" s="321" t="n">
        <v>13.37</v>
      </c>
      <c r="T51" s="321" t="n"/>
      <c r="U51" s="321" t="n">
        <v>6.2</v>
      </c>
      <c r="V51" s="321" t="n">
        <v>0</v>
      </c>
      <c r="W51" s="321" t="n"/>
      <c r="X51" s="321" t="n"/>
      <c r="Y51" s="321" t="n"/>
      <c r="Z51" s="321" t="n">
        <v>994.39</v>
      </c>
      <c r="AA51" s="321" t="n"/>
      <c r="AB51" s="322" t="n">
        <v>2.161623</v>
      </c>
      <c r="AC51" s="322" t="n">
        <v>0.438064</v>
      </c>
      <c r="AD51" s="124" t="n">
        <v>121.23</v>
      </c>
      <c r="AE51" s="124" t="n">
        <v>32850.81</v>
      </c>
      <c r="AF51" s="124" t="n">
        <v>0.88</v>
      </c>
      <c r="AG51" s="124">
        <f>SUM(AD51:AF51)</f>
        <v/>
      </c>
      <c r="AH51" s="124">
        <f>(AD51*AB51)+((AE51+AF51)*AC51)</f>
        <v/>
      </c>
      <c r="AI51" s="124">
        <f>AD51-AS51</f>
        <v/>
      </c>
      <c r="AJ51" s="124">
        <f>AE51-AT51</f>
        <v/>
      </c>
      <c r="AK51" s="124">
        <f>AF51-AU51</f>
        <v/>
      </c>
      <c r="AL51" s="210">
        <f>SUM(AI51:AK51)</f>
        <v/>
      </c>
      <c r="AM51" s="337">
        <f>(AI51*AB51)+((AJ51+AK51)*AC51)</f>
        <v/>
      </c>
      <c r="AN51" s="143" t="n">
        <v>2561.62</v>
      </c>
      <c r="AO51" s="143" t="n">
        <v>11264.4</v>
      </c>
      <c r="AP51" s="143" t="n">
        <v>1864.8</v>
      </c>
      <c r="AQ51" s="124">
        <f>SUM(AN51:AP51)</f>
        <v/>
      </c>
      <c r="AR51" s="321">
        <f>(AN51*AB51)+((AO51+AP51)*AC51)</f>
        <v/>
      </c>
      <c r="AS51" s="143" t="n">
        <v>0</v>
      </c>
      <c r="AT51" s="143" t="n">
        <v>14204.4</v>
      </c>
      <c r="AU51" s="143" t="n">
        <v>0</v>
      </c>
      <c r="AV51" s="143">
        <f>SUM(AS51:AU51)</f>
        <v/>
      </c>
      <c r="AW51" s="143" t="n">
        <v>2561.62</v>
      </c>
      <c r="AX51" s="143" t="n">
        <v>11264.4</v>
      </c>
      <c r="AY51" s="143" t="n">
        <v>1864.8</v>
      </c>
      <c r="AZ51" s="143">
        <f>SUM(AW51:AY51)</f>
        <v/>
      </c>
      <c r="BA51" s="335">
        <f>(AW51*AB51)+((AX51+AY51)*AC51)</f>
        <v/>
      </c>
      <c r="BB51" s="141">
        <f>AN51-AW51</f>
        <v/>
      </c>
      <c r="BC51" s="141">
        <f>BB51*AB51</f>
        <v/>
      </c>
      <c r="BD51" s="141">
        <f>AO51-AX51</f>
        <v/>
      </c>
      <c r="BE51" s="141">
        <f>BD51*AC51</f>
        <v/>
      </c>
      <c r="BF51" s="141">
        <f>AP51-AY51</f>
        <v/>
      </c>
      <c r="BG51" s="141">
        <f>BF51*AC51</f>
        <v/>
      </c>
      <c r="BH51" s="141">
        <f>BB51+BD51+BF51</f>
        <v/>
      </c>
      <c r="BI51" s="141">
        <f>BC51+BE51+BG51</f>
        <v/>
      </c>
      <c r="BJ51" s="324">
        <f>BL51+BS51+BV51+BY51+CB51+CE51+CH51+CK51</f>
        <v/>
      </c>
      <c r="BK51" s="320">
        <f>((AI51+AW51)*AB51)+((AJ51+AK51+AX51+AY51)*AC51)</f>
        <v/>
      </c>
      <c r="BL51" s="132">
        <f>BM51+BN51+AL51</f>
        <v/>
      </c>
      <c r="BM51" s="133">
        <f>AW51</f>
        <v/>
      </c>
      <c r="BN51" s="133">
        <f>AX51+AY51</f>
        <v/>
      </c>
      <c r="BO51" s="334" t="n"/>
      <c r="BP51" s="334" t="n"/>
      <c r="BQ51" s="334" t="n"/>
      <c r="BR51" s="334" t="n"/>
      <c r="BS51" s="143" t="n"/>
      <c r="BT51" s="334" t="n"/>
      <c r="BU51" s="334" t="n"/>
      <c r="BV51" s="143" t="n"/>
      <c r="BW51" s="334" t="n"/>
      <c r="BX51" s="334" t="n"/>
      <c r="BY51" s="173" t="n"/>
      <c r="BZ51" s="326" t="n"/>
      <c r="CA51" s="173" t="n"/>
      <c r="CB51" s="173" t="n"/>
      <c r="CC51" s="326" t="n"/>
      <c r="CD51" s="143" t="n"/>
      <c r="CE51" s="143" t="n"/>
      <c r="CF51" s="334" t="n"/>
      <c r="CG51" s="143" t="n"/>
      <c r="CH51" s="143" t="n"/>
      <c r="CI51" s="334" t="n"/>
      <c r="CJ51" s="143" t="n"/>
      <c r="CK51" s="143" t="n"/>
      <c r="CL51" s="334" t="n"/>
      <c r="CM51" s="143" t="n"/>
      <c r="CN51" s="320">
        <f>BK51+BU51+BX51+CA51+CD51+CG51+CJ51+CM51</f>
        <v/>
      </c>
      <c r="CO51" s="154" t="n">
        <v>26916.5</v>
      </c>
      <c r="CP51" s="320">
        <f>CR51*G51</f>
        <v/>
      </c>
      <c r="CQ51" s="124">
        <f>AL51+AZ51+AQ51</f>
        <v/>
      </c>
      <c r="CR51" s="154" t="n">
        <v>-1486.42</v>
      </c>
      <c r="CS51" s="155" t="n"/>
      <c r="CT51" s="155" t="n"/>
      <c r="CU51" s="177" t="n"/>
      <c r="CW51" s="325" t="n"/>
    </row>
    <row r="52" ht="19.9" customFormat="1" customHeight="1" s="67">
      <c r="A52" s="120" t="inlineStr">
        <is>
          <t>Grupo Rodar</t>
        </is>
      </c>
      <c r="B52" s="65" t="n">
        <v>21040540</v>
      </c>
      <c r="C52" s="120" t="inlineStr">
        <is>
          <t>Norte Sul</t>
        </is>
      </c>
      <c r="D52" s="121" t="inlineStr">
        <is>
          <t>Anápolis</t>
        </is>
      </c>
      <c r="E52" s="121" t="inlineStr">
        <is>
          <t>Junho/2023</t>
        </is>
      </c>
      <c r="F52" s="122" t="n">
        <v>36000</v>
      </c>
      <c r="G52" s="320" t="n">
        <v>0.55</v>
      </c>
      <c r="H52" s="124">
        <f>F52*G52</f>
        <v/>
      </c>
      <c r="I52" s="140" t="inlineStr">
        <is>
          <t>Agosto/2023</t>
        </is>
      </c>
      <c r="J52" s="144" t="inlineStr">
        <is>
          <t>2 Growatt de 100 KW e 1 de 25 KW</t>
        </is>
      </c>
      <c r="K52" s="66" t="inlineStr">
        <is>
          <t>547 de 555W</t>
        </is>
      </c>
      <c r="L52" s="121" t="n"/>
      <c r="M52" s="126" t="inlineStr">
        <is>
          <t>Fevereiro/2024</t>
        </is>
      </c>
      <c r="N52" s="126" t="inlineStr">
        <is>
          <t>01/02/2024 a 01/03/2024</t>
        </is>
      </c>
      <c r="O52" s="321" t="n">
        <v>0</v>
      </c>
      <c r="P52" s="177" t="n">
        <v>221.52</v>
      </c>
      <c r="Q52" s="321" t="n">
        <v>4742.08</v>
      </c>
      <c r="R52" s="207" t="n"/>
      <c r="S52" s="321" t="n">
        <v>12.13</v>
      </c>
      <c r="T52" s="321" t="n"/>
      <c r="U52" s="321" t="n">
        <v>6.2</v>
      </c>
      <c r="V52" s="321" t="n">
        <v>0</v>
      </c>
      <c r="W52" s="321" t="n"/>
      <c r="X52" s="321" t="n"/>
      <c r="Y52" s="321" t="n"/>
      <c r="Z52" s="321">
        <f>807.62+654.97-6223</f>
        <v/>
      </c>
      <c r="AA52" s="321" t="n"/>
      <c r="AB52" s="322" t="n">
        <v>2.205566</v>
      </c>
      <c r="AC52" s="322" t="n">
        <v>0.446968</v>
      </c>
      <c r="AD52" s="124" t="n">
        <v>88.47</v>
      </c>
      <c r="AE52" s="124" t="n">
        <v>29516.87</v>
      </c>
      <c r="AF52" s="124" t="n">
        <v>0</v>
      </c>
      <c r="AG52" s="124">
        <f>SUM(AD52:AF52)</f>
        <v/>
      </c>
      <c r="AH52" s="124">
        <f>(AD52*AB52)+((AE52+AF52)*AC52)</f>
        <v/>
      </c>
      <c r="AI52" s="124">
        <f>AD52-AS52</f>
        <v/>
      </c>
      <c r="AJ52" s="124">
        <f>AE52-AT52</f>
        <v/>
      </c>
      <c r="AK52" s="124">
        <f>AF52-AU52</f>
        <v/>
      </c>
      <c r="AL52" s="210">
        <f>SUM(AI52:AK52)</f>
        <v/>
      </c>
      <c r="AM52" s="337">
        <f>(AI52*AB52)+((AJ52+AK52)*AC52)</f>
        <v/>
      </c>
      <c r="AN52" s="143" t="n">
        <v>1987.23</v>
      </c>
      <c r="AO52" s="143" t="n">
        <v>11823</v>
      </c>
      <c r="AP52" s="143" t="n">
        <v>1596</v>
      </c>
      <c r="AQ52" s="124">
        <f>SUM(AN52:AP52)</f>
        <v/>
      </c>
      <c r="AR52" s="321">
        <f>(AN52*AB52)+((AO52+AP52)*AC52)</f>
        <v/>
      </c>
      <c r="AS52" s="143" t="n">
        <v>0.84</v>
      </c>
      <c r="AT52" s="143" t="n">
        <v>12700.8</v>
      </c>
      <c r="AU52" s="143" t="n">
        <v>0</v>
      </c>
      <c r="AV52" s="143">
        <f>SUM(AS52:AU52)</f>
        <v/>
      </c>
      <c r="AW52" s="143" t="n">
        <v>1987.23</v>
      </c>
      <c r="AX52" s="143" t="n">
        <v>11823</v>
      </c>
      <c r="AY52" s="143" t="n">
        <v>1596</v>
      </c>
      <c r="AZ52" s="143">
        <f>SUM(AW52:AY52)</f>
        <v/>
      </c>
      <c r="BA52" s="335">
        <f>(AW52*AB52)+((AX52+AY52)*AC52)</f>
        <v/>
      </c>
      <c r="BB52" s="141">
        <f>AN52-AW52</f>
        <v/>
      </c>
      <c r="BC52" s="141">
        <f>BB52*AB52</f>
        <v/>
      </c>
      <c r="BD52" s="141">
        <f>AO52-AX52</f>
        <v/>
      </c>
      <c r="BE52" s="141">
        <f>BD52*AC52</f>
        <v/>
      </c>
      <c r="BF52" s="141">
        <f>AP52-AY52</f>
        <v/>
      </c>
      <c r="BG52" s="141">
        <f>BF52*AC52</f>
        <v/>
      </c>
      <c r="BH52" s="141">
        <f>BB52+BD52+BF52</f>
        <v/>
      </c>
      <c r="BI52" s="141">
        <f>BC52+BE52+BG52</f>
        <v/>
      </c>
      <c r="BJ52" s="324">
        <f>BL52+BS52+BV52+BY52+CB52+CE52+CH52+CK52</f>
        <v/>
      </c>
      <c r="BK52" s="320">
        <f>((AI52+AW52)*AB52)+((AJ52+AK52+AX52+AY52)*AC52)</f>
        <v/>
      </c>
      <c r="BL52" s="132">
        <f>BM52+BN52+AL52</f>
        <v/>
      </c>
      <c r="BM52" s="133">
        <f>AW52</f>
        <v/>
      </c>
      <c r="BN52" s="133">
        <f>AX52+AY52</f>
        <v/>
      </c>
      <c r="BO52" s="334" t="n"/>
      <c r="BP52" s="334" t="n"/>
      <c r="BQ52" s="334" t="n"/>
      <c r="BR52" s="334" t="n"/>
      <c r="BS52" s="143" t="n"/>
      <c r="BT52" s="334" t="n"/>
      <c r="BU52" s="334" t="n"/>
      <c r="BV52" s="143" t="n"/>
      <c r="BW52" s="334" t="n"/>
      <c r="BX52" s="334" t="n"/>
      <c r="BY52" s="124" t="n"/>
      <c r="BZ52" s="320" t="n"/>
      <c r="CA52" s="124" t="n"/>
      <c r="CB52" s="124" t="n"/>
      <c r="CC52" s="320" t="n"/>
      <c r="CD52" s="143" t="n"/>
      <c r="CE52" s="143" t="n"/>
      <c r="CF52" s="334" t="n"/>
      <c r="CG52" s="143" t="n"/>
      <c r="CH52" s="143" t="n"/>
      <c r="CI52" s="334" t="n"/>
      <c r="CJ52" s="143" t="n"/>
      <c r="CK52" s="143" t="n"/>
      <c r="CL52" s="334" t="n"/>
      <c r="CM52" s="143" t="n"/>
      <c r="CN52" s="320">
        <f>BK52+BU52+BX52+CA52+CD52+CG52+CJ52+CM52</f>
        <v/>
      </c>
      <c r="CO52" s="154" t="n">
        <v>24211.91</v>
      </c>
      <c r="CP52" s="320">
        <f>CR52*G52</f>
        <v/>
      </c>
      <c r="CQ52" s="124">
        <f>AL52+AZ52+AQ52</f>
        <v/>
      </c>
      <c r="CR52" s="154" t="n"/>
      <c r="CS52" s="156" t="inlineStr">
        <is>
          <t>No mês de Fevereiro de 2024, a eficiência na geração de energia atingiu 82% (devido a um grande número de dias chuvosos e nublados).
Consta um crédito nessa fatura de R$6.223,00, devido a uma indenização de violação de prazo de atendimento.</t>
        </is>
      </c>
      <c r="CT52" s="155" t="n"/>
      <c r="CU52" s="177" t="n"/>
      <c r="CW52" s="325" t="n"/>
    </row>
    <row r="53" ht="19.9" customFormat="1" customHeight="1" s="67">
      <c r="A53" s="233" t="inlineStr">
        <is>
          <t>Grupo Rodar</t>
        </is>
      </c>
      <c r="B53" s="66" t="n">
        <v>8327411</v>
      </c>
      <c r="C53" s="233" t="inlineStr">
        <is>
          <t>Roda Mais Gurupi</t>
        </is>
      </c>
      <c r="D53" s="140" t="inlineStr">
        <is>
          <t>Gurupi</t>
        </is>
      </c>
      <c r="E53" s="140" t="inlineStr">
        <is>
          <t>Julho/2023</t>
        </is>
      </c>
      <c r="F53" s="141" t="n">
        <v>28372</v>
      </c>
      <c r="G53" s="326" t="n">
        <v>0.28</v>
      </c>
      <c r="H53" s="173">
        <f>F53*G53</f>
        <v/>
      </c>
      <c r="I53" s="140" t="inlineStr">
        <is>
          <t>Julho/2023</t>
        </is>
      </c>
      <c r="J53" s="144" t="inlineStr">
        <is>
          <t>2 Growatt de 100 KW</t>
        </is>
      </c>
      <c r="K53" s="66" t="inlineStr">
        <is>
          <t>392 de 555W</t>
        </is>
      </c>
      <c r="L53" s="140" t="n"/>
      <c r="M53" s="145" t="inlineStr">
        <is>
          <t>Julho/2023</t>
        </is>
      </c>
      <c r="N53" s="145" t="inlineStr">
        <is>
          <t>30/06/2023 a 31/07/2023</t>
        </is>
      </c>
      <c r="O53" s="331" t="n">
        <v>12591.11</v>
      </c>
      <c r="P53" s="331" t="n">
        <v>0</v>
      </c>
      <c r="Q53" s="331" t="n">
        <v>10934.22</v>
      </c>
      <c r="R53" s="147" t="n"/>
      <c r="S53" s="331" t="n">
        <v>535.8200000000001</v>
      </c>
      <c r="T53" s="331" t="n">
        <v>0</v>
      </c>
      <c r="U53" s="331" t="n">
        <v>65.04000000000001</v>
      </c>
      <c r="V53" s="331" t="n">
        <v>0</v>
      </c>
      <c r="W53" s="331">
        <f>(2934-2801.09)+(5529.05-574.5-4031.43)</f>
        <v/>
      </c>
      <c r="X53" s="331" t="n"/>
      <c r="Y53" s="331" t="n"/>
      <c r="Z53" s="331" t="n"/>
      <c r="AA53" s="331" t="n"/>
      <c r="AB53" s="332" t="n">
        <v>3.18368</v>
      </c>
      <c r="AC53" s="332" t="n">
        <v>0.41549</v>
      </c>
      <c r="AD53" s="143" t="n">
        <v>0</v>
      </c>
      <c r="AE53" s="173" t="n">
        <v>20586.3</v>
      </c>
      <c r="AF53" s="143" t="n">
        <v>0</v>
      </c>
      <c r="AG53" s="143">
        <f>SUM(AD53:AF53)</f>
        <v/>
      </c>
      <c r="AH53" s="143">
        <f>(AD53*AB53)+((AE53+AF53)*AC53)</f>
        <v/>
      </c>
      <c r="AI53" s="143">
        <f>AD53-AS53</f>
        <v/>
      </c>
      <c r="AJ53" s="143">
        <f>AE53-AT53</f>
        <v/>
      </c>
      <c r="AK53" s="143">
        <f>AF53-AU53</f>
        <v/>
      </c>
      <c r="AL53" s="208">
        <f>SUM(AI53:AK53)</f>
        <v/>
      </c>
      <c r="AM53" s="336">
        <f>(AI53*AB53)+((AJ53+AK53)*AC53)</f>
        <v/>
      </c>
      <c r="AN53" s="124" t="n">
        <v>1736.68</v>
      </c>
      <c r="AO53" s="124" t="n">
        <v>7061.39</v>
      </c>
      <c r="AP53" s="124" t="n">
        <v>0</v>
      </c>
      <c r="AQ53" s="143">
        <f>SUM(AN53:AP53)</f>
        <v/>
      </c>
      <c r="AR53" s="331">
        <f>(AN53*AB53)+((AO53+AP53)*AC53)</f>
        <v/>
      </c>
      <c r="AS53" s="124" t="n">
        <v>0</v>
      </c>
      <c r="AT53" s="124" t="n">
        <v>7415.93</v>
      </c>
      <c r="AU53" s="124" t="n">
        <v>0</v>
      </c>
      <c r="AV53" s="124">
        <f>SUM(AS53:AU53)</f>
        <v/>
      </c>
      <c r="AW53" s="124" t="n">
        <v>1736.68</v>
      </c>
      <c r="AX53" s="124" t="n">
        <v>7061.39</v>
      </c>
      <c r="AY53" s="124" t="n">
        <v>0</v>
      </c>
      <c r="AZ53" s="124">
        <f>SUM(AW53:AY53)</f>
        <v/>
      </c>
      <c r="BA53" s="335">
        <f>(AW53*AB53)+((AX53+AY53)*AC53)</f>
        <v/>
      </c>
      <c r="BB53" s="122">
        <f>AN53-AW53</f>
        <v/>
      </c>
      <c r="BC53" s="141">
        <f>BB53*AB53</f>
        <v/>
      </c>
      <c r="BD53" s="122">
        <f>AO53-AX53</f>
        <v/>
      </c>
      <c r="BE53" s="122">
        <f>BD53*AC53</f>
        <v/>
      </c>
      <c r="BF53" s="122">
        <f>AP53-AY53</f>
        <v/>
      </c>
      <c r="BG53" s="122">
        <f>BF53*AC53</f>
        <v/>
      </c>
      <c r="BH53" s="141">
        <f>BB53+BD53+BF53</f>
        <v/>
      </c>
      <c r="BI53" s="141">
        <f>BC53+BE53+BG53</f>
        <v/>
      </c>
      <c r="BJ53" s="324">
        <f>BL53+BS53+BV53+BY53+CB53+CE53+CH53+CK53</f>
        <v/>
      </c>
      <c r="BK53" s="320">
        <f>((AI53+AW53)*AB53)+((AJ53+AK53+AX53+AY53)*AC53)</f>
        <v/>
      </c>
      <c r="BL53" s="132">
        <f>BM53+BN53+AL53</f>
        <v/>
      </c>
      <c r="BM53" s="133">
        <f>AW53</f>
        <v/>
      </c>
      <c r="BN53" s="133">
        <f>AX53+AY53</f>
        <v/>
      </c>
      <c r="BO53" s="320" t="n"/>
      <c r="BP53" s="320" t="n"/>
      <c r="BQ53" s="320" t="n">
        <v>0</v>
      </c>
      <c r="BR53" s="320" t="n"/>
      <c r="BS53" s="124" t="n">
        <v>0</v>
      </c>
      <c r="BT53" s="320" t="n"/>
      <c r="BU53" s="320" t="n">
        <v>0</v>
      </c>
      <c r="BV53" s="124" t="n">
        <v>0</v>
      </c>
      <c r="BW53" s="320" t="n"/>
      <c r="BX53" s="320" t="n">
        <v>0</v>
      </c>
      <c r="BY53" s="173" t="n"/>
      <c r="BZ53" s="326" t="n"/>
      <c r="CA53" s="173" t="n"/>
      <c r="CB53" s="173" t="n"/>
      <c r="CC53" s="326" t="n"/>
      <c r="CD53" s="124" t="n"/>
      <c r="CE53" s="124" t="n"/>
      <c r="CF53" s="320" t="n"/>
      <c r="CG53" s="124" t="n"/>
      <c r="CH53" s="124" t="n"/>
      <c r="CI53" s="320" t="n"/>
      <c r="CJ53" s="124" t="n"/>
      <c r="CK53" s="124" t="n"/>
      <c r="CL53" s="320" t="n"/>
      <c r="CM53" s="124" t="n"/>
      <c r="CN53" s="320">
        <f>BK53+BU53+BX53+CA53+CD53+CG53+CJ53+CM53</f>
        <v/>
      </c>
      <c r="CO53" s="154">
        <f>AV53-((((((AW53-AS53)*1.636665685)+AS53)+AX53+BS53+BV53+BY53)))+22518.69</f>
        <v/>
      </c>
      <c r="CP53" s="320">
        <f>CR53*G53</f>
        <v/>
      </c>
      <c r="CQ53" s="124">
        <f>AL53+AZ53+AQ53</f>
        <v/>
      </c>
      <c r="CR53" s="154">
        <f>AV53-(((AW53-AS53)*1.636665685)+AS53+AX53)</f>
        <v/>
      </c>
      <c r="CS53" s="155" t="n"/>
      <c r="CT53" s="155" t="n"/>
      <c r="CU53" s="177" t="n"/>
      <c r="CV53" s="177" t="n"/>
      <c r="CW53" s="325" t="n"/>
    </row>
    <row r="54" ht="19.9" customFormat="1" customHeight="1" s="67">
      <c r="A54" s="120" t="inlineStr">
        <is>
          <t>Grupo Rodar</t>
        </is>
      </c>
      <c r="B54" s="65" t="n">
        <v>8327411</v>
      </c>
      <c r="C54" s="120" t="inlineStr">
        <is>
          <t>Roda Mais Gurupi</t>
        </is>
      </c>
      <c r="D54" s="121" t="inlineStr">
        <is>
          <t>Gurupi</t>
        </is>
      </c>
      <c r="E54" s="121" t="inlineStr">
        <is>
          <t>Julho/2023</t>
        </is>
      </c>
      <c r="F54" s="122" t="n">
        <v>28372</v>
      </c>
      <c r="G54" s="320" t="n">
        <v>0.28</v>
      </c>
      <c r="H54" s="124">
        <f>F54*G54</f>
        <v/>
      </c>
      <c r="I54" s="121" t="inlineStr">
        <is>
          <t>Julho/2023</t>
        </is>
      </c>
      <c r="J54" s="125" t="inlineStr">
        <is>
          <t>2 Growatt de 100 KW</t>
        </is>
      </c>
      <c r="K54" s="65" t="inlineStr">
        <is>
          <t>392 de 555W</t>
        </is>
      </c>
      <c r="L54" s="121" t="n"/>
      <c r="M54" s="126" t="inlineStr">
        <is>
          <t>Agosto/2023</t>
        </is>
      </c>
      <c r="N54" s="126" t="inlineStr">
        <is>
          <t>31/07/2023 a 31/08/2023</t>
        </is>
      </c>
      <c r="O54" s="321" t="n">
        <v>12643.54</v>
      </c>
      <c r="P54" s="321" t="n">
        <v>0</v>
      </c>
      <c r="Q54" s="321" t="n">
        <v>11004.04</v>
      </c>
      <c r="R54" s="207" t="n"/>
      <c r="S54" s="321" t="n">
        <v>450.78</v>
      </c>
      <c r="T54" s="321" t="n">
        <v>0</v>
      </c>
      <c r="U54" s="321" t="n">
        <v>65.04000000000001</v>
      </c>
      <c r="V54" s="321" t="n">
        <v>0</v>
      </c>
      <c r="W54" s="321">
        <f>(3037.53-2900.69)+(5898.39-889.25-4022.3)</f>
        <v/>
      </c>
      <c r="X54" s="321" t="n"/>
      <c r="Y54" s="321" t="n"/>
      <c r="Z54" s="321" t="n"/>
      <c r="AA54" s="321" t="n"/>
      <c r="AB54" s="322" t="n">
        <v>3.19333</v>
      </c>
      <c r="AC54" s="322" t="n">
        <v>0.41175</v>
      </c>
      <c r="AD54" s="124" t="n">
        <v>0.06</v>
      </c>
      <c r="AE54" s="124" t="n">
        <v>20501.7</v>
      </c>
      <c r="AF54" s="124" t="n">
        <v>0</v>
      </c>
      <c r="AG54" s="124">
        <f>SUM(AD54:AF54)</f>
        <v/>
      </c>
      <c r="AH54" s="124">
        <f>(AD54*AB54)+((AE54+AF54)*AC54)</f>
        <v/>
      </c>
      <c r="AI54" s="124">
        <f>AD54-AS54</f>
        <v/>
      </c>
      <c r="AJ54" s="124">
        <f>AE54-AT54</f>
        <v/>
      </c>
      <c r="AK54" s="124">
        <f>AF54-AU54</f>
        <v/>
      </c>
      <c r="AL54" s="210">
        <f>SUM(AI54:AK54)</f>
        <v/>
      </c>
      <c r="AM54" s="337">
        <f>(AI54*AB54)+((AJ54+AK54)*AC54)</f>
        <v/>
      </c>
      <c r="AN54" s="143" t="n">
        <v>1847.09</v>
      </c>
      <c r="AO54" s="143" t="n">
        <v>7376.97</v>
      </c>
      <c r="AP54" s="143" t="n">
        <v>0</v>
      </c>
      <c r="AQ54" s="124">
        <f>SUM(AN54:AP54)</f>
        <v/>
      </c>
      <c r="AR54" s="321">
        <f>(AN54*AB54)+((AO54+AP54)*AC54)</f>
        <v/>
      </c>
      <c r="AS54" s="143" t="n">
        <v>0</v>
      </c>
      <c r="AT54" s="143" t="n">
        <v>7924.22</v>
      </c>
      <c r="AU54" s="143" t="n">
        <v>0</v>
      </c>
      <c r="AV54" s="143">
        <f>SUM(AS54:AU54)</f>
        <v/>
      </c>
      <c r="AW54" s="143" t="n">
        <v>1847.09</v>
      </c>
      <c r="AX54" s="143" t="n">
        <v>7376.97</v>
      </c>
      <c r="AY54" s="143" t="n">
        <v>0</v>
      </c>
      <c r="AZ54" s="143">
        <f>SUM(AW54:AY54)</f>
        <v/>
      </c>
      <c r="BA54" s="335">
        <f>(AW54*AB54)+((AX54+AY54)*AC54)</f>
        <v/>
      </c>
      <c r="BB54" s="141">
        <f>AN54-AW54</f>
        <v/>
      </c>
      <c r="BC54" s="141">
        <f>BB54*AB54</f>
        <v/>
      </c>
      <c r="BD54" s="141">
        <f>AO54-AX54</f>
        <v/>
      </c>
      <c r="BE54" s="141">
        <f>BD54*AC54</f>
        <v/>
      </c>
      <c r="BF54" s="141">
        <f>AP54-AY54</f>
        <v/>
      </c>
      <c r="BG54" s="141">
        <f>BF54*AC54</f>
        <v/>
      </c>
      <c r="BH54" s="122">
        <f>BB54+BD54+BF54</f>
        <v/>
      </c>
      <c r="BI54" s="122">
        <f>BC54+BE54+BG54</f>
        <v/>
      </c>
      <c r="BJ54" s="324">
        <f>BL54+BS54+BV54+BY54+CB54+CE54+CH54+CK54</f>
        <v/>
      </c>
      <c r="BK54" s="320">
        <f>((AI54+AW54)*AB54)+((AJ54+AK54+AX54+AY54)*AC54)</f>
        <v/>
      </c>
      <c r="BL54" s="132">
        <f>BM54+BN54+AL54</f>
        <v/>
      </c>
      <c r="BM54" s="133">
        <f>AW54</f>
        <v/>
      </c>
      <c r="BN54" s="133">
        <f>AX54+AY54</f>
        <v/>
      </c>
      <c r="BO54" s="334" t="n"/>
      <c r="BP54" s="334" t="n"/>
      <c r="BQ54" s="334" t="n">
        <v>0</v>
      </c>
      <c r="BR54" s="334" t="n"/>
      <c r="BS54" s="143" t="n">
        <v>0</v>
      </c>
      <c r="BT54" s="334" t="n"/>
      <c r="BU54" s="334" t="n">
        <v>0</v>
      </c>
      <c r="BV54" s="143" t="n">
        <v>0</v>
      </c>
      <c r="BW54" s="334" t="n"/>
      <c r="BX54" s="334" t="n">
        <v>0</v>
      </c>
      <c r="BY54" s="124" t="n"/>
      <c r="BZ54" s="320" t="n"/>
      <c r="CA54" s="124" t="n"/>
      <c r="CB54" s="124" t="n"/>
      <c r="CC54" s="320" t="n"/>
      <c r="CD54" s="143" t="n"/>
      <c r="CE54" s="143" t="n"/>
      <c r="CF54" s="334" t="n"/>
      <c r="CG54" s="143" t="n"/>
      <c r="CH54" s="143" t="n"/>
      <c r="CI54" s="334" t="n"/>
      <c r="CJ54" s="143" t="n"/>
      <c r="CK54" s="143" t="n"/>
      <c r="CL54" s="334" t="n"/>
      <c r="CM54" s="143" t="n"/>
      <c r="CN54" s="320">
        <f>BK54+BU54+BX54+CA54+CD54+CG54+CJ54+CM54</f>
        <v/>
      </c>
      <c r="CO54" s="154">
        <f>AV54-((((((AW54-AS54)*(392.23/239.69))+AS54)+AX54+BS54+BV54+BY54)))+CO53</f>
        <v/>
      </c>
      <c r="CP54" s="320">
        <f>CR54*G54</f>
        <v/>
      </c>
      <c r="CQ54" s="124">
        <f>AL54+AZ54+AQ54</f>
        <v/>
      </c>
      <c r="CR54" s="154">
        <f>AV54-(((AW54-AS54)*(392.23/239.69))+AS54+AX54)</f>
        <v/>
      </c>
      <c r="CS54" s="155" t="inlineStr">
        <is>
          <t>Economia com redução da demanda contratada acumulada já é de R$ 1.401,50 (R$ 1.179,98 economia anterior + R$ 221,52 economia atual)</t>
        </is>
      </c>
      <c r="CT54" s="155" t="n"/>
      <c r="CU54" s="177" t="n"/>
      <c r="CV54" s="177" t="n"/>
      <c r="CW54" s="325" t="n"/>
    </row>
    <row r="55" ht="19.9" customFormat="1" customHeight="1" s="67">
      <c r="A55" s="233" t="inlineStr">
        <is>
          <t>Grupo Rodar</t>
        </is>
      </c>
      <c r="B55" s="66" t="n">
        <v>8327411</v>
      </c>
      <c r="C55" s="233" t="inlineStr">
        <is>
          <t>Roda Mais Gurupi</t>
        </is>
      </c>
      <c r="D55" s="140" t="inlineStr">
        <is>
          <t>Gurupi</t>
        </is>
      </c>
      <c r="E55" s="140" t="inlineStr">
        <is>
          <t>Julho/2023</t>
        </is>
      </c>
      <c r="F55" s="141" t="n">
        <v>28372</v>
      </c>
      <c r="G55" s="326" t="n">
        <v>0.28</v>
      </c>
      <c r="H55" s="173">
        <f>F55*G55</f>
        <v/>
      </c>
      <c r="I55" s="140" t="inlineStr">
        <is>
          <t>Julho/2023</t>
        </is>
      </c>
      <c r="J55" s="144" t="inlineStr">
        <is>
          <t>2 Growatt de 100 KW</t>
        </is>
      </c>
      <c r="K55" s="66" t="inlineStr">
        <is>
          <t>392 de 555W</t>
        </is>
      </c>
      <c r="L55" s="140" t="n"/>
      <c r="M55" s="145" t="inlineStr">
        <is>
          <t>Setembro/2023</t>
        </is>
      </c>
      <c r="N55" s="145" t="inlineStr">
        <is>
          <t>31/08/2023 a 30/09/2023</t>
        </is>
      </c>
      <c r="O55" s="331" t="n">
        <v>11913.42</v>
      </c>
      <c r="P55" s="331" t="n">
        <v>0</v>
      </c>
      <c r="Q55" s="331" t="n">
        <v>11004.04</v>
      </c>
      <c r="R55" s="147" t="n"/>
      <c r="S55" s="331" t="n">
        <v>165.98</v>
      </c>
      <c r="T55" s="331" t="n">
        <v>0</v>
      </c>
      <c r="U55" s="331" t="n">
        <v>65.04000000000001</v>
      </c>
      <c r="V55" s="331" t="n">
        <v>0</v>
      </c>
      <c r="W55" s="331">
        <f>(2029.87-1938.42)+(3508.05-2921.14)</f>
        <v/>
      </c>
      <c r="X55" s="331" t="n"/>
      <c r="Y55" s="331" t="n"/>
      <c r="Z55" s="331" t="n"/>
      <c r="AA55" s="331" t="n"/>
      <c r="AB55" s="332" t="n">
        <v>3.19333</v>
      </c>
      <c r="AC55" s="332" t="n">
        <v>0.41175</v>
      </c>
      <c r="AD55" s="143" t="n">
        <v>0.15</v>
      </c>
      <c r="AE55" s="173" t="n">
        <v>29200.31</v>
      </c>
      <c r="AF55" s="143" t="n">
        <v>0</v>
      </c>
      <c r="AG55" s="143">
        <f>SUM(AD55:AF55)</f>
        <v/>
      </c>
      <c r="AH55" s="143">
        <f>(AD55*AB55)+((AE55+AF55)*AC55)</f>
        <v/>
      </c>
      <c r="AI55" s="143">
        <f>AD55-AS55</f>
        <v/>
      </c>
      <c r="AJ55" s="143">
        <f>AE55-AT55</f>
        <v/>
      </c>
      <c r="AK55" s="143">
        <f>AF55-AU55</f>
        <v/>
      </c>
      <c r="AL55" s="208">
        <f>SUM(AI55:AK55)</f>
        <v/>
      </c>
      <c r="AM55" s="336">
        <f>(AI55*AB55)+((AJ55+AK55)*AC55)</f>
        <v/>
      </c>
      <c r="AN55" s="124" t="n">
        <v>1098.55</v>
      </c>
      <c r="AO55" s="124" t="n">
        <v>4929.76</v>
      </c>
      <c r="AP55" s="124" t="n">
        <v>0</v>
      </c>
      <c r="AQ55" s="143">
        <f>SUM(AN55:AP55)</f>
        <v/>
      </c>
      <c r="AR55" s="331">
        <f>(AN55*AB55)+((AO55+AP55)*AC55)</f>
        <v/>
      </c>
      <c r="AS55" s="124" t="n">
        <v>0</v>
      </c>
      <c r="AT55" s="124" t="n">
        <v>16393.73</v>
      </c>
      <c r="AU55" s="124" t="n">
        <v>0</v>
      </c>
      <c r="AV55" s="124">
        <f>SUM(AS55:AU55)</f>
        <v/>
      </c>
      <c r="AW55" s="124" t="n">
        <v>1098.55</v>
      </c>
      <c r="AX55" s="124" t="n">
        <v>4929.76</v>
      </c>
      <c r="AY55" s="124" t="n">
        <v>0</v>
      </c>
      <c r="AZ55" s="124">
        <f>SUM(AW55:AY55)</f>
        <v/>
      </c>
      <c r="BA55" s="335">
        <f>(AW55*AB55)+((AX55+AY55)*AC55)</f>
        <v/>
      </c>
      <c r="BB55" s="122">
        <f>AN55-AW55</f>
        <v/>
      </c>
      <c r="BC55" s="141">
        <f>BB55*AB55</f>
        <v/>
      </c>
      <c r="BD55" s="122">
        <f>AO55-AX55</f>
        <v/>
      </c>
      <c r="BE55" s="122">
        <f>BD55*AC55</f>
        <v/>
      </c>
      <c r="BF55" s="122">
        <f>AP55-AY55</f>
        <v/>
      </c>
      <c r="BG55" s="122">
        <f>BF55*AC55</f>
        <v/>
      </c>
      <c r="BH55" s="141">
        <f>BB55+BD55+BF55</f>
        <v/>
      </c>
      <c r="BI55" s="141">
        <f>BC55+BE55+BG55</f>
        <v/>
      </c>
      <c r="BJ55" s="324">
        <f>BL55+BS55+BV55+BY55+CB55+CE55+CH55+CK55</f>
        <v/>
      </c>
      <c r="BK55" s="320">
        <f>((AI55+AW55)*AB55)+((AJ55+AK55+AX55+AY55)*AC55)</f>
        <v/>
      </c>
      <c r="BL55" s="132">
        <f>BM55+BN55+AL55</f>
        <v/>
      </c>
      <c r="BM55" s="133">
        <f>AW55</f>
        <v/>
      </c>
      <c r="BN55" s="133">
        <f>AX55+AY55</f>
        <v/>
      </c>
      <c r="BO55" s="320" t="n"/>
      <c r="BP55" s="320" t="n"/>
      <c r="BQ55" s="320" t="n">
        <v>0</v>
      </c>
      <c r="BR55" s="320" t="n"/>
      <c r="BS55" s="124" t="n">
        <v>0</v>
      </c>
      <c r="BT55" s="320" t="n"/>
      <c r="BU55" s="320" t="n">
        <v>0</v>
      </c>
      <c r="BV55" s="124" t="n">
        <v>0</v>
      </c>
      <c r="BW55" s="320" t="n"/>
      <c r="BX55" s="320" t="n">
        <v>0</v>
      </c>
      <c r="BY55" s="173" t="n"/>
      <c r="BZ55" s="326" t="n"/>
      <c r="CA55" s="173" t="n"/>
      <c r="CB55" s="173" t="n"/>
      <c r="CC55" s="326" t="n"/>
      <c r="CD55" s="124" t="n"/>
      <c r="CE55" s="124" t="n"/>
      <c r="CF55" s="320" t="n"/>
      <c r="CG55" s="124" t="n"/>
      <c r="CH55" s="124" t="n"/>
      <c r="CI55" s="320" t="n"/>
      <c r="CJ55" s="124" t="n"/>
      <c r="CK55" s="124" t="n"/>
      <c r="CL55" s="320" t="n"/>
      <c r="CM55" s="124" t="n"/>
      <c r="CN55" s="320">
        <f>BK55+BU55+BX55+CA55+CD55+CG55+CJ55+CM55</f>
        <v/>
      </c>
      <c r="CO55" s="154">
        <f>AV55-((((((AW55-AS55)*(392.23/239.69))+AS55)+AX55+BS55+BV55+BY55)))+CO54</f>
        <v/>
      </c>
      <c r="CP55" s="320">
        <f>CR55*G55</f>
        <v/>
      </c>
      <c r="CQ55" s="124">
        <f>AL55+AZ55+AQ55</f>
        <v/>
      </c>
      <c r="CR55" s="154">
        <f>AV55-(((AW55-AS55)*(392.23/239.69))+AS55+AX55)</f>
        <v/>
      </c>
      <c r="CS55" s="155" t="n"/>
      <c r="CT55" s="155" t="n"/>
      <c r="CU55" s="177" t="n"/>
      <c r="CV55" s="177" t="n"/>
      <c r="CW55" s="325" t="n"/>
    </row>
    <row r="56" ht="19.9" customFormat="1" customHeight="1" s="67">
      <c r="A56" s="120" t="inlineStr">
        <is>
          <t>Grupo Rodar</t>
        </is>
      </c>
      <c r="B56" s="65" t="n">
        <v>8327411</v>
      </c>
      <c r="C56" s="120" t="inlineStr">
        <is>
          <t>Roda Mais Gurupi</t>
        </is>
      </c>
      <c r="D56" s="121" t="inlineStr">
        <is>
          <t>Gurupi</t>
        </is>
      </c>
      <c r="E56" s="121" t="inlineStr">
        <is>
          <t>Julho/2023</t>
        </is>
      </c>
      <c r="F56" s="122" t="n">
        <v>28372</v>
      </c>
      <c r="G56" s="320" t="n">
        <v>0.28</v>
      </c>
      <c r="H56" s="124">
        <f>F56*G56</f>
        <v/>
      </c>
      <c r="I56" s="121" t="inlineStr">
        <is>
          <t>Julho/2023</t>
        </is>
      </c>
      <c r="J56" s="125" t="inlineStr">
        <is>
          <t>2 Growatt de 100 KW</t>
        </is>
      </c>
      <c r="K56" s="65" t="inlineStr">
        <is>
          <t>392 de 555W</t>
        </is>
      </c>
      <c r="L56" s="121" t="n"/>
      <c r="M56" s="126" t="inlineStr">
        <is>
          <t>Outubro/2023</t>
        </is>
      </c>
      <c r="N56" s="126" t="inlineStr">
        <is>
          <t>30/09/2023 a 31/10/2023</t>
        </is>
      </c>
      <c r="O56" s="321" t="n">
        <v>12091.46</v>
      </c>
      <c r="P56" s="321" t="n">
        <v>0</v>
      </c>
      <c r="Q56" s="321" t="n">
        <v>11004.04</v>
      </c>
      <c r="R56" s="207" t="n"/>
      <c r="S56" s="321" t="n">
        <v>277.12</v>
      </c>
      <c r="T56" s="321" t="n">
        <v>0</v>
      </c>
      <c r="U56" s="321" t="n">
        <v>65.04000000000001</v>
      </c>
      <c r="V56" s="321" t="n">
        <v>0</v>
      </c>
      <c r="W56" s="321">
        <f>(2076.86-1983.29)+(3895.21-3243.52)</f>
        <v/>
      </c>
      <c r="X56" s="321" t="n"/>
      <c r="Y56" s="321" t="n"/>
      <c r="Z56" s="321" t="n"/>
      <c r="AA56" s="321" t="n"/>
      <c r="AB56" s="322" t="n">
        <v>3.19333</v>
      </c>
      <c r="AC56" s="322" t="n">
        <v>0.41175</v>
      </c>
      <c r="AD56" s="124" t="n">
        <v>0.07000000000000001</v>
      </c>
      <c r="AE56" s="124" t="n">
        <v>29245.99</v>
      </c>
      <c r="AF56" s="124" t="n">
        <v>0</v>
      </c>
      <c r="AG56" s="124">
        <f>SUM(AD56:AF56)</f>
        <v/>
      </c>
      <c r="AH56" s="124">
        <f>(AD56*AB56)+((AE56+AF56)*AC56)</f>
        <v/>
      </c>
      <c r="AI56" s="124">
        <f>AD56-AS56</f>
        <v/>
      </c>
      <c r="AJ56" s="124">
        <f>AE56-AT56</f>
        <v/>
      </c>
      <c r="AK56" s="124">
        <f>AF56-AU56</f>
        <v/>
      </c>
      <c r="AL56" s="210">
        <f>SUM(AI56:AK56)</f>
        <v/>
      </c>
      <c r="AM56" s="337">
        <f>(AI56*AB56)+((AJ56+AK56)*AC56)</f>
        <v/>
      </c>
      <c r="AN56" s="143" t="n">
        <v>1219.79</v>
      </c>
      <c r="AO56" s="143" t="n">
        <v>5043.86</v>
      </c>
      <c r="AP56" s="143" t="n">
        <v>0</v>
      </c>
      <c r="AQ56" s="124">
        <f>SUM(AN56:AP56)</f>
        <v/>
      </c>
      <c r="AR56" s="321">
        <f>(AN56*AB56)+((AO56+AP56)*AC56)</f>
        <v/>
      </c>
      <c r="AS56" s="143" t="n">
        <v>0</v>
      </c>
      <c r="AT56" s="143" t="n">
        <v>15948.7</v>
      </c>
      <c r="AU56" s="143" t="n">
        <v>0</v>
      </c>
      <c r="AV56" s="143">
        <f>SUM(AS56:AU56)</f>
        <v/>
      </c>
      <c r="AW56" s="143" t="n">
        <v>1219.79</v>
      </c>
      <c r="AX56" s="143" t="n">
        <v>5043.86</v>
      </c>
      <c r="AY56" s="143" t="n">
        <v>0</v>
      </c>
      <c r="AZ56" s="143">
        <f>SUM(AW56:AY56)</f>
        <v/>
      </c>
      <c r="BA56" s="335">
        <f>(AW56*AB56)+((AX56+AY56)*AC56)</f>
        <v/>
      </c>
      <c r="BB56" s="141">
        <f>AN56-AW56</f>
        <v/>
      </c>
      <c r="BC56" s="141">
        <f>BB56*AB56</f>
        <v/>
      </c>
      <c r="BD56" s="141">
        <f>AO56-AX56</f>
        <v/>
      </c>
      <c r="BE56" s="141">
        <f>BD56*AC56</f>
        <v/>
      </c>
      <c r="BF56" s="141">
        <f>AP56-AY56</f>
        <v/>
      </c>
      <c r="BG56" s="141">
        <f>BF56*AC56</f>
        <v/>
      </c>
      <c r="BH56" s="122">
        <f>BB56+BD56+BF56</f>
        <v/>
      </c>
      <c r="BI56" s="122">
        <f>BC56+BE56+BG56</f>
        <v/>
      </c>
      <c r="BJ56" s="324">
        <f>BL56+BS56+BV56+BY56+CB56+CE56+CH56+CK56</f>
        <v/>
      </c>
      <c r="BK56" s="320">
        <f>((AI56+AW56)*AB56)+((AJ56+AK56+AX56+AY56)*AC56)</f>
        <v/>
      </c>
      <c r="BL56" s="132">
        <f>BM56+BN56+AL56</f>
        <v/>
      </c>
      <c r="BM56" s="133">
        <f>AW56</f>
        <v/>
      </c>
      <c r="BN56" s="133">
        <f>AX56+AY56</f>
        <v/>
      </c>
      <c r="BO56" s="334" t="n"/>
      <c r="BP56" s="334" t="n"/>
      <c r="BQ56" s="334" t="n">
        <v>0</v>
      </c>
      <c r="BR56" s="334" t="n"/>
      <c r="BS56" s="143" t="n">
        <v>0</v>
      </c>
      <c r="BT56" s="334" t="n"/>
      <c r="BU56" s="334" t="n">
        <v>0</v>
      </c>
      <c r="BV56" s="143" t="n">
        <v>0</v>
      </c>
      <c r="BW56" s="334" t="n"/>
      <c r="BX56" s="334" t="n">
        <v>0</v>
      </c>
      <c r="BY56" s="124" t="n"/>
      <c r="BZ56" s="320" t="n"/>
      <c r="CA56" s="124" t="n"/>
      <c r="CB56" s="124" t="n"/>
      <c r="CC56" s="320" t="n"/>
      <c r="CD56" s="143" t="n"/>
      <c r="CE56" s="143" t="n"/>
      <c r="CF56" s="334" t="n"/>
      <c r="CG56" s="143" t="n"/>
      <c r="CH56" s="143" t="n"/>
      <c r="CI56" s="334" t="n"/>
      <c r="CJ56" s="143" t="n"/>
      <c r="CK56" s="143" t="n"/>
      <c r="CL56" s="334" t="n"/>
      <c r="CM56" s="143" t="n"/>
      <c r="CN56" s="320">
        <f>BK56+BU56+BX56+CA56+CD56+CG56+CJ56+CM56</f>
        <v/>
      </c>
      <c r="CO56" s="154">
        <f>AV56-((((((AW56-AS56)*(392.23/239.69))+AS56)+AX56+BS56+BV56+BY56)))+CO55</f>
        <v/>
      </c>
      <c r="CP56" s="320">
        <f>CR56*G56</f>
        <v/>
      </c>
      <c r="CQ56" s="124">
        <f>AL56+AZ56+AQ56</f>
        <v/>
      </c>
      <c r="CR56" s="154">
        <f>AV56-(((AW56-AS56)*(392.23/239.69))+AS56+AX56)</f>
        <v/>
      </c>
      <c r="CS56" s="155" t="n"/>
      <c r="CT56" s="155" t="n"/>
      <c r="CU56" s="177" t="n"/>
      <c r="CV56" s="177" t="n"/>
      <c r="CW56" s="325" t="n"/>
    </row>
    <row r="57" ht="19.9" customFormat="1" customHeight="1" s="67">
      <c r="A57" s="233" t="inlineStr">
        <is>
          <t>Grupo Rodar</t>
        </is>
      </c>
      <c r="B57" s="66" t="n">
        <v>8327411</v>
      </c>
      <c r="C57" s="233" t="inlineStr">
        <is>
          <t>Roda Mais Gurupi</t>
        </is>
      </c>
      <c r="D57" s="140" t="inlineStr">
        <is>
          <t>Gurupi</t>
        </is>
      </c>
      <c r="E57" s="140" t="inlineStr">
        <is>
          <t>Julho/2023</t>
        </is>
      </c>
      <c r="F57" s="141" t="n">
        <v>28372</v>
      </c>
      <c r="G57" s="326" t="n">
        <v>0.28</v>
      </c>
      <c r="H57" s="173">
        <f>F57*G57</f>
        <v/>
      </c>
      <c r="I57" s="140" t="inlineStr">
        <is>
          <t>Julho/2023</t>
        </is>
      </c>
      <c r="J57" s="144" t="inlineStr">
        <is>
          <t>2 Growatt de 100 KW</t>
        </is>
      </c>
      <c r="K57" s="66" t="inlineStr">
        <is>
          <t>392 de 555W</t>
        </is>
      </c>
      <c r="L57" s="140" t="n"/>
      <c r="M57" s="145" t="inlineStr">
        <is>
          <t>Novembro/2023</t>
        </is>
      </c>
      <c r="N57" s="145" t="inlineStr">
        <is>
          <t>31/10/2023 a 30/11/2023</t>
        </is>
      </c>
      <c r="O57" s="331" t="n">
        <v>11834.5</v>
      </c>
      <c r="P57" s="331" t="n">
        <v>0</v>
      </c>
      <c r="Q57" s="331" t="n">
        <v>11004.04</v>
      </c>
      <c r="R57" s="147" t="n"/>
      <c r="S57" s="331" t="n">
        <v>226.33</v>
      </c>
      <c r="T57" s="331" t="n">
        <v>0</v>
      </c>
      <c r="U57" s="331" t="n">
        <v>65.04000000000001</v>
      </c>
      <c r="V57" s="331" t="n">
        <v>0</v>
      </c>
      <c r="W57" s="331" t="n">
        <v>539.1</v>
      </c>
      <c r="X57" s="331" t="n"/>
      <c r="Y57" s="331" t="n"/>
      <c r="Z57" s="331" t="n"/>
      <c r="AA57" s="331" t="n"/>
      <c r="AB57" s="332" t="n">
        <v>3.19333</v>
      </c>
      <c r="AC57" s="332" t="n">
        <v>0.41175</v>
      </c>
      <c r="AD57" s="143" t="n">
        <v>7.99</v>
      </c>
      <c r="AE57" s="173" t="n">
        <v>28893.92</v>
      </c>
      <c r="AF57" s="143" t="n">
        <v>0</v>
      </c>
      <c r="AG57" s="143">
        <f>SUM(AD57:AF57)</f>
        <v/>
      </c>
      <c r="AH57" s="143">
        <f>(AD57*AB57)+((AE57+AF57)*AC57)</f>
        <v/>
      </c>
      <c r="AI57" s="143">
        <f>AD57-AS57</f>
        <v/>
      </c>
      <c r="AJ57" s="143">
        <f>AE57-AT57</f>
        <v/>
      </c>
      <c r="AK57" s="143">
        <f>AF57-AU57</f>
        <v/>
      </c>
      <c r="AL57" s="208">
        <f>SUM(AI57:AK57)</f>
        <v/>
      </c>
      <c r="AM57" s="336">
        <f>(AI57*AB57)+((AJ57+AK57)*AC57)</f>
        <v/>
      </c>
      <c r="AN57" s="124" t="n">
        <v>883.3</v>
      </c>
      <c r="AO57" s="124" t="n">
        <v>3621.82</v>
      </c>
      <c r="AP57" s="124" t="n">
        <v>0</v>
      </c>
      <c r="AQ57" s="143">
        <f>SUM(AN57:AP57)</f>
        <v/>
      </c>
      <c r="AR57" s="331">
        <f>(AN57*AB57)+((AO57+AP57)*AC57)</f>
        <v/>
      </c>
      <c r="AS57" s="124" t="n">
        <v>1.64</v>
      </c>
      <c r="AT57" s="124" t="n">
        <v>17350.32</v>
      </c>
      <c r="AU57" s="124" t="n">
        <v>0</v>
      </c>
      <c r="AV57" s="124">
        <f>SUM(AS57:AU57)</f>
        <v/>
      </c>
      <c r="AW57" s="124" t="n">
        <v>883.3</v>
      </c>
      <c r="AX57" s="124" t="n">
        <v>3621.82</v>
      </c>
      <c r="AY57" s="124" t="n">
        <v>0</v>
      </c>
      <c r="AZ57" s="143">
        <f>SUM(AW57:AY57)</f>
        <v/>
      </c>
      <c r="BA57" s="335">
        <f>(AW57*AB57)+((AX57+AY57)*AC57)</f>
        <v/>
      </c>
      <c r="BB57" s="141">
        <f>AN57-AW57</f>
        <v/>
      </c>
      <c r="BC57" s="141">
        <f>BB57*AB57</f>
        <v/>
      </c>
      <c r="BD57" s="141">
        <f>AO57-AX57</f>
        <v/>
      </c>
      <c r="BE57" s="141">
        <f>BD57*AC57</f>
        <v/>
      </c>
      <c r="BF57" s="141">
        <f>AP57-AY57</f>
        <v/>
      </c>
      <c r="BG57" s="141">
        <f>BF57*AC57</f>
        <v/>
      </c>
      <c r="BH57" s="141">
        <f>BB57+BD57+BF57</f>
        <v/>
      </c>
      <c r="BI57" s="141">
        <f>BC57+BE57+BG57</f>
        <v/>
      </c>
      <c r="BJ57" s="324">
        <f>BL57+BS57+BV57+BY57+CB57+CE57+CH57+CK57</f>
        <v/>
      </c>
      <c r="BK57" s="320">
        <f>((AI57+AW57)*AB57)+((AJ57+AK57+AX57+AY57)*AC57)</f>
        <v/>
      </c>
      <c r="BL57" s="132">
        <f>BM57+BN57+AL57</f>
        <v/>
      </c>
      <c r="BM57" s="133">
        <f>AW57</f>
        <v/>
      </c>
      <c r="BN57" s="133">
        <f>AX57+AY57</f>
        <v/>
      </c>
      <c r="BO57" s="320" t="n"/>
      <c r="BP57" s="320" t="n"/>
      <c r="BQ57" s="320" t="n">
        <v>0</v>
      </c>
      <c r="BR57" s="320" t="n"/>
      <c r="BS57" s="124" t="n">
        <v>0</v>
      </c>
      <c r="BT57" s="320" t="n"/>
      <c r="BU57" s="320" t="n">
        <v>0</v>
      </c>
      <c r="BV57" s="124" t="n">
        <v>0</v>
      </c>
      <c r="BW57" s="320" t="n"/>
      <c r="BX57" s="320" t="n">
        <v>0</v>
      </c>
      <c r="BY57" s="173" t="n"/>
      <c r="BZ57" s="326" t="n"/>
      <c r="CA57" s="173" t="n"/>
      <c r="CB57" s="173" t="n"/>
      <c r="CC57" s="326" t="n"/>
      <c r="CD57" s="124" t="n"/>
      <c r="CE57" s="124" t="n"/>
      <c r="CF57" s="320" t="n"/>
      <c r="CG57" s="124" t="n"/>
      <c r="CH57" s="124" t="n"/>
      <c r="CI57" s="320" t="n"/>
      <c r="CJ57" s="124" t="n"/>
      <c r="CK57" s="124" t="n"/>
      <c r="CL57" s="320" t="n"/>
      <c r="CM57" s="124" t="n"/>
      <c r="CN57" s="320">
        <f>BK57+BU57+BX57+CA57+CD57+CG57+CJ57+CM57</f>
        <v/>
      </c>
      <c r="CO57" s="154">
        <f>AV57-((((((AW57-AS57)*(392.23/239.69))+AS57)+AX57+BS57+BV57+BY57)))+CO56</f>
        <v/>
      </c>
      <c r="CP57" s="320">
        <f>CR57*G57</f>
        <v/>
      </c>
      <c r="CQ57" s="124">
        <f>AL57+AZ57+AQ57</f>
        <v/>
      </c>
      <c r="CR57" s="154">
        <f>AV57-(((AW57-AS57)*(392.23/239.69))+AS57+AX57)</f>
        <v/>
      </c>
      <c r="CS57" s="155" t="n"/>
      <c r="CT57" s="155" t="n"/>
      <c r="CU57" s="177" t="n"/>
      <c r="CV57" s="177" t="n"/>
      <c r="CW57" s="325" t="n"/>
    </row>
    <row r="58" ht="19.9" customFormat="1" customHeight="1" s="67">
      <c r="A58" s="120" t="inlineStr">
        <is>
          <t>Grupo Rodar</t>
        </is>
      </c>
      <c r="B58" s="65" t="n">
        <v>8327411</v>
      </c>
      <c r="C58" s="120" t="inlineStr">
        <is>
          <t>Roda Mais Gurupi</t>
        </is>
      </c>
      <c r="D58" s="121" t="inlineStr">
        <is>
          <t>Gurupi</t>
        </is>
      </c>
      <c r="E58" s="121" t="inlineStr">
        <is>
          <t>Julho/2023</t>
        </is>
      </c>
      <c r="F58" s="122" t="n">
        <v>28372</v>
      </c>
      <c r="G58" s="320" t="n">
        <v>0.28</v>
      </c>
      <c r="H58" s="124">
        <f>F58*G58</f>
        <v/>
      </c>
      <c r="I58" s="121" t="inlineStr">
        <is>
          <t>Julho/2023</t>
        </is>
      </c>
      <c r="J58" s="125" t="inlineStr">
        <is>
          <t>2 Growatt de 100 KW</t>
        </is>
      </c>
      <c r="K58" s="65" t="inlineStr">
        <is>
          <t>392 de 555W</t>
        </is>
      </c>
      <c r="L58" s="121" t="n"/>
      <c r="M58" s="126" t="inlineStr">
        <is>
          <t>Dezembro/2023</t>
        </is>
      </c>
      <c r="N58" s="126" t="inlineStr">
        <is>
          <t>30/11/2023 a 31/12/2023</t>
        </is>
      </c>
      <c r="O58" s="321" t="n">
        <v>11910.22</v>
      </c>
      <c r="P58" s="321" t="n">
        <v>0</v>
      </c>
      <c r="Q58" s="321" t="n">
        <v>11004.04</v>
      </c>
      <c r="R58" s="207" t="n"/>
      <c r="S58" s="321" t="n">
        <v>224.58</v>
      </c>
      <c r="T58" s="321" t="n">
        <v>0</v>
      </c>
      <c r="U58" s="321" t="n">
        <v>65.04000000000001</v>
      </c>
      <c r="V58" s="321" t="n">
        <v>77.5</v>
      </c>
      <c r="W58" s="321" t="n">
        <v>539.0599999999999</v>
      </c>
      <c r="X58" s="321" t="n"/>
      <c r="Y58" s="321" t="n"/>
      <c r="Z58" s="321" t="n"/>
      <c r="AA58" s="321" t="n"/>
      <c r="AB58" s="322" t="n">
        <v>3.19333</v>
      </c>
      <c r="AC58" s="322" t="n">
        <v>0.41175</v>
      </c>
      <c r="AD58" s="124" t="n">
        <v>22.83</v>
      </c>
      <c r="AE58" s="124" t="n">
        <v>28909.65</v>
      </c>
      <c r="AF58" s="124" t="n">
        <v>0</v>
      </c>
      <c r="AG58" s="124">
        <f>SUM(AD58:AF58)</f>
        <v/>
      </c>
      <c r="AH58" s="124">
        <f>(AD58*AB58)+((AE58+AF58)*AC58)</f>
        <v/>
      </c>
      <c r="AI58" s="124">
        <f>AD58-AS58</f>
        <v/>
      </c>
      <c r="AJ58" s="124">
        <f>AE58-AT58</f>
        <v/>
      </c>
      <c r="AK58" s="124">
        <f>AF58-AU58</f>
        <v/>
      </c>
      <c r="AL58" s="210">
        <f>SUM(AI58:AK58)</f>
        <v/>
      </c>
      <c r="AM58" s="337">
        <f>(AI58*AB58)+((AJ58+AK58)*AC58)</f>
        <v/>
      </c>
      <c r="AN58" s="143" t="n">
        <v>895.15</v>
      </c>
      <c r="AO58" s="143" t="n">
        <v>3277.95</v>
      </c>
      <c r="AP58" s="143" t="n">
        <v>0</v>
      </c>
      <c r="AQ58" s="124">
        <f>SUM(AN58:AP58)</f>
        <v/>
      </c>
      <c r="AR58" s="321">
        <f>(AN58*AB58)+((AO58+AP58)*AC58)</f>
        <v/>
      </c>
      <c r="AS58" s="143" t="n">
        <v>0.27</v>
      </c>
      <c r="AT58" s="143" t="n">
        <v>17161.87</v>
      </c>
      <c r="AU58" s="143" t="n">
        <v>0</v>
      </c>
      <c r="AV58" s="143">
        <f>SUM(AS58:AU58)</f>
        <v/>
      </c>
      <c r="AW58" s="143" t="n">
        <v>895.15</v>
      </c>
      <c r="AX58" s="143" t="n">
        <v>3277.95</v>
      </c>
      <c r="AY58" s="143" t="n">
        <v>0</v>
      </c>
      <c r="AZ58" s="143">
        <f>SUM(AW58:AY58)</f>
        <v/>
      </c>
      <c r="BA58" s="335">
        <f>(AW58*AB58)+((AX58+AY58)*AC58)</f>
        <v/>
      </c>
      <c r="BB58" s="141">
        <f>AN58-AW58</f>
        <v/>
      </c>
      <c r="BC58" s="141">
        <f>BB58*AB58</f>
        <v/>
      </c>
      <c r="BD58" s="141">
        <f>AO58-AX58</f>
        <v/>
      </c>
      <c r="BE58" s="141">
        <f>BD58*AC58</f>
        <v/>
      </c>
      <c r="BF58" s="141">
        <f>AP58-AY58</f>
        <v/>
      </c>
      <c r="BG58" s="141">
        <f>BF58*AC58</f>
        <v/>
      </c>
      <c r="BH58" s="122">
        <f>BB58+BD58+BF58</f>
        <v/>
      </c>
      <c r="BI58" s="122">
        <f>BC58+BE58+BG58</f>
        <v/>
      </c>
      <c r="BJ58" s="324">
        <f>BL58+BS58+BV58+BY58+CB58+CE58+CH58+CK58</f>
        <v/>
      </c>
      <c r="BK58" s="320">
        <f>((AI58+AW58)*AB58)+((AJ58+AK58+AX58+AY58)*AC58)</f>
        <v/>
      </c>
      <c r="BL58" s="132">
        <f>BM58+BN58+AL58</f>
        <v/>
      </c>
      <c r="BM58" s="133">
        <f>AW58</f>
        <v/>
      </c>
      <c r="BN58" s="133">
        <f>AX58+AY58</f>
        <v/>
      </c>
      <c r="BO58" s="334" t="n"/>
      <c r="BP58" s="334" t="n"/>
      <c r="BQ58" s="334" t="n">
        <v>0</v>
      </c>
      <c r="BR58" s="334" t="n"/>
      <c r="BS58" s="143" t="n">
        <v>0</v>
      </c>
      <c r="BT58" s="334" t="n"/>
      <c r="BU58" s="334" t="n">
        <v>0</v>
      </c>
      <c r="BV58" s="143" t="n">
        <v>0</v>
      </c>
      <c r="BW58" s="334" t="n"/>
      <c r="BX58" s="334" t="n">
        <v>0</v>
      </c>
      <c r="BY58" s="124" t="n"/>
      <c r="BZ58" s="320" t="n"/>
      <c r="CA58" s="124" t="n"/>
      <c r="CB58" s="124" t="n"/>
      <c r="CC58" s="320" t="n"/>
      <c r="CD58" s="143" t="n"/>
      <c r="CE58" s="143" t="n"/>
      <c r="CF58" s="334" t="n"/>
      <c r="CG58" s="143" t="n"/>
      <c r="CH58" s="143" t="n"/>
      <c r="CI58" s="334" t="n"/>
      <c r="CJ58" s="143" t="n"/>
      <c r="CK58" s="143" t="n"/>
      <c r="CL58" s="334" t="n"/>
      <c r="CM58" s="143" t="n"/>
      <c r="CN58" s="320">
        <f>BK58+BU58+BX58+CA58+CD58+CG58+CJ58+CM58</f>
        <v/>
      </c>
      <c r="CO58" s="154">
        <f>AV58-((((((AW58-AS58)*(392.23/239.69))+AS58)+AX58+BS58+BV58+BY58)))+CO57</f>
        <v/>
      </c>
      <c r="CP58" s="320">
        <f>CR58*G58</f>
        <v/>
      </c>
      <c r="CQ58" s="124">
        <f>AL58+AZ58+AQ58</f>
        <v/>
      </c>
      <c r="CR58" s="154">
        <f>AV58-(((AW58-AS58)*(392.23/239.69))+AS58+AX58)</f>
        <v/>
      </c>
      <c r="CS58" s="155" t="n"/>
      <c r="CT58" s="155" t="n"/>
      <c r="CU58" s="177" t="n"/>
      <c r="CV58" s="177" t="n"/>
      <c r="CW58" s="325" t="n"/>
    </row>
    <row r="59" ht="19.9" customFormat="1" customHeight="1" s="67">
      <c r="A59" s="233" t="inlineStr">
        <is>
          <t>Grupo Rodar</t>
        </is>
      </c>
      <c r="B59" s="66" t="n">
        <v>8327411</v>
      </c>
      <c r="C59" s="233" t="inlineStr">
        <is>
          <t>Roda Mais Gurupi</t>
        </is>
      </c>
      <c r="D59" s="140" t="inlineStr">
        <is>
          <t>Gurupi</t>
        </is>
      </c>
      <c r="E59" s="140" t="inlineStr">
        <is>
          <t>Julho/2023</t>
        </is>
      </c>
      <c r="F59" s="141" t="n">
        <v>28372</v>
      </c>
      <c r="G59" s="326" t="n">
        <v>0.28</v>
      </c>
      <c r="H59" s="173">
        <f>F59*G59</f>
        <v/>
      </c>
      <c r="I59" s="140" t="inlineStr">
        <is>
          <t>Julho/2023</t>
        </is>
      </c>
      <c r="J59" s="144" t="inlineStr">
        <is>
          <t>2 Growatt de 100 KW</t>
        </is>
      </c>
      <c r="K59" s="66" t="inlineStr">
        <is>
          <t>392 de 555W</t>
        </is>
      </c>
      <c r="L59" s="140" t="n"/>
      <c r="M59" s="145" t="inlineStr">
        <is>
          <t>Janeiro/2024</t>
        </is>
      </c>
      <c r="N59" s="145" t="inlineStr">
        <is>
          <t>31/12/2023 a 31/01/2024</t>
        </is>
      </c>
      <c r="O59" s="331" t="n">
        <v>12084.72</v>
      </c>
      <c r="P59" s="331" t="n">
        <v>0</v>
      </c>
      <c r="Q59" s="331" t="n">
        <v>10830.65</v>
      </c>
      <c r="R59" s="147" t="n"/>
      <c r="S59" s="331" t="n">
        <v>352.49</v>
      </c>
      <c r="T59" s="331" t="n"/>
      <c r="U59" s="331" t="n">
        <v>65.04000000000001</v>
      </c>
      <c r="V59" s="331" t="n">
        <v>0</v>
      </c>
      <c r="W59" s="331">
        <f>724.15+112.39</f>
        <v/>
      </c>
      <c r="X59" s="331" t="n"/>
      <c r="Y59" s="331" t="n"/>
      <c r="Z59" s="331" t="n"/>
      <c r="AA59" s="331" t="n"/>
      <c r="AB59" s="332" t="n">
        <v>3.14302</v>
      </c>
      <c r="AC59" s="332" t="n">
        <v>0.40527</v>
      </c>
      <c r="AD59" s="143" t="n">
        <v>45.12</v>
      </c>
      <c r="AE59" s="173" t="n">
        <v>24893.26</v>
      </c>
      <c r="AF59" s="143" t="n">
        <v>0</v>
      </c>
      <c r="AG59" s="143">
        <f>SUM(AD59:AF59)</f>
        <v/>
      </c>
      <c r="AH59" s="143">
        <f>(AD59*AB59)+((AE59+AF59)*AC59)</f>
        <v/>
      </c>
      <c r="AI59" s="143">
        <f>AD59-AS59</f>
        <v/>
      </c>
      <c r="AJ59" s="143">
        <f>AE59-AT59</f>
        <v/>
      </c>
      <c r="AK59" s="143">
        <f>AF59-AU59</f>
        <v/>
      </c>
      <c r="AL59" s="208">
        <f>SUM(AI59:AK59)</f>
        <v/>
      </c>
      <c r="AM59" s="336">
        <f>(AI59*AB59)+((AJ59+AK59)*AC59)</f>
        <v/>
      </c>
      <c r="AN59" s="143" t="n">
        <v>1377.11</v>
      </c>
      <c r="AO59" s="143" t="n">
        <v>6155.54</v>
      </c>
      <c r="AP59" s="143" t="n">
        <v>0</v>
      </c>
      <c r="AQ59" s="143">
        <f>SUM(AN59:AP59)</f>
        <v/>
      </c>
      <c r="AR59" s="331">
        <f>(AN59*AB59)+((AO59+AP59)*AC59)</f>
        <v/>
      </c>
      <c r="AS59" s="143" t="n">
        <v>0</v>
      </c>
      <c r="AT59" s="143" t="n">
        <v>12300.87</v>
      </c>
      <c r="AU59" s="143" t="n">
        <v>0</v>
      </c>
      <c r="AV59" s="124">
        <f>SUM(AS59:AU59)</f>
        <v/>
      </c>
      <c r="AW59" s="143" t="n">
        <v>1377.11</v>
      </c>
      <c r="AX59" s="143" t="n">
        <v>6155.54</v>
      </c>
      <c r="AY59" s="143" t="n">
        <v>0</v>
      </c>
      <c r="AZ59" s="143">
        <f>SUM(AW59:AY59)</f>
        <v/>
      </c>
      <c r="BA59" s="335">
        <f>(AW59*AB59)+((AX59+AY59)*AC59)</f>
        <v/>
      </c>
      <c r="BB59" s="141">
        <f>AN59-AW59</f>
        <v/>
      </c>
      <c r="BC59" s="141">
        <f>BB59*AB59</f>
        <v/>
      </c>
      <c r="BD59" s="141">
        <f>AO59-AX59</f>
        <v/>
      </c>
      <c r="BE59" s="141">
        <f>BD59*AC59</f>
        <v/>
      </c>
      <c r="BF59" s="141">
        <f>AP59-AY59</f>
        <v/>
      </c>
      <c r="BG59" s="141">
        <f>BF59*AC59</f>
        <v/>
      </c>
      <c r="BH59" s="141">
        <f>BB59+BD59+BF59</f>
        <v/>
      </c>
      <c r="BI59" s="141">
        <f>BC59+BE59+BG59</f>
        <v/>
      </c>
      <c r="BJ59" s="324">
        <f>BL59+BS59+BV59+BY59+CB59+CE59+CH59+CK59</f>
        <v/>
      </c>
      <c r="BK59" s="320">
        <f>((AI59+AW59)*AB59)+((AJ59+AK59+AX59+AY59)*AC59)</f>
        <v/>
      </c>
      <c r="BL59" s="132">
        <f>BM59+BN59+AL59</f>
        <v/>
      </c>
      <c r="BM59" s="133">
        <f>AW59</f>
        <v/>
      </c>
      <c r="BN59" s="133">
        <f>AX59+AY59</f>
        <v/>
      </c>
      <c r="BO59" s="334" t="n"/>
      <c r="BP59" s="334" t="n"/>
      <c r="BQ59" s="334" t="n"/>
      <c r="BR59" s="334" t="n"/>
      <c r="BS59" s="143" t="n"/>
      <c r="BT59" s="334" t="n"/>
      <c r="BU59" s="334" t="n"/>
      <c r="BV59" s="143" t="n"/>
      <c r="BW59" s="334" t="n"/>
      <c r="BX59" s="334" t="n"/>
      <c r="BY59" s="173" t="n"/>
      <c r="BZ59" s="326" t="n"/>
      <c r="CA59" s="173" t="n"/>
      <c r="CB59" s="173" t="n"/>
      <c r="CC59" s="326" t="n"/>
      <c r="CD59" s="143" t="n"/>
      <c r="CE59" s="143" t="n"/>
      <c r="CF59" s="334" t="n"/>
      <c r="CG59" s="143" t="n"/>
      <c r="CH59" s="143" t="n"/>
      <c r="CI59" s="334" t="n"/>
      <c r="CJ59" s="143" t="n"/>
      <c r="CK59" s="143" t="n"/>
      <c r="CL59" s="334" t="n"/>
      <c r="CM59" s="143" t="n"/>
      <c r="CN59" s="320">
        <f>BK59+BU59+BX59+CA59+CD59+CG59+CJ59+CM59</f>
        <v/>
      </c>
      <c r="CO59" s="154">
        <f>AV59-((((((AW59-AS59)*(392.23/239.69))+AS59)+AX59+BS59+BV59+BY59)))+CO58</f>
        <v/>
      </c>
      <c r="CP59" s="320">
        <f>CR59*G59</f>
        <v/>
      </c>
      <c r="CQ59" s="124">
        <f>AL59+AZ59+AQ59</f>
        <v/>
      </c>
      <c r="CR59" s="154">
        <f>AV59-(((AW59-AS59)*(392.23/239.69))+AS59+AX59)</f>
        <v/>
      </c>
      <c r="CS59" s="155" t="n"/>
      <c r="CT59" s="155" t="n"/>
      <c r="CU59" s="177" t="n"/>
      <c r="CV59" s="177" t="n"/>
      <c r="CW59" s="325" t="n"/>
    </row>
    <row r="60" ht="19.9" customFormat="1" customHeight="1" s="67">
      <c r="A60" s="120" t="inlineStr">
        <is>
          <t>Grupo Rodar</t>
        </is>
      </c>
      <c r="B60" s="65" t="n">
        <v>8327411</v>
      </c>
      <c r="C60" s="120" t="inlineStr">
        <is>
          <t>Roda Mais Gurupi</t>
        </is>
      </c>
      <c r="D60" s="121" t="inlineStr">
        <is>
          <t>Gurupi</t>
        </is>
      </c>
      <c r="E60" s="121" t="inlineStr">
        <is>
          <t>Julho/2023</t>
        </is>
      </c>
      <c r="F60" s="122" t="n">
        <v>28372</v>
      </c>
      <c r="G60" s="320" t="n">
        <v>0.28</v>
      </c>
      <c r="H60" s="124">
        <f>F60*G60</f>
        <v/>
      </c>
      <c r="I60" s="140" t="inlineStr">
        <is>
          <t>Julho/2023</t>
        </is>
      </c>
      <c r="J60" s="144" t="inlineStr">
        <is>
          <t>2 Growatt de 100 KW</t>
        </is>
      </c>
      <c r="K60" s="66" t="inlineStr">
        <is>
          <t>392 de 555W</t>
        </is>
      </c>
      <c r="L60" s="140" t="n"/>
      <c r="M60" s="145" t="inlineStr">
        <is>
          <t>Fevereiro/2024</t>
        </is>
      </c>
      <c r="N60" s="145" t="inlineStr">
        <is>
          <t>31/01/2024 a 29/02/2024</t>
        </is>
      </c>
      <c r="O60" s="331" t="n">
        <v>5625.14</v>
      </c>
      <c r="P60" s="331" t="n">
        <v>0</v>
      </c>
      <c r="Q60" s="331" t="n">
        <v>7783.99</v>
      </c>
      <c r="R60" s="147" t="n"/>
      <c r="S60" s="331" t="n">
        <v>134.16</v>
      </c>
      <c r="T60" s="331" t="n">
        <v>0</v>
      </c>
      <c r="U60" s="331" t="n">
        <v>71.48999999999999</v>
      </c>
      <c r="V60" s="331" t="n">
        <v>0</v>
      </c>
      <c r="W60" s="331" t="n">
        <v>553.0599999999999</v>
      </c>
      <c r="X60" s="331" t="n"/>
      <c r="Y60" s="331" t="n"/>
      <c r="Z60" s="331" t="n">
        <v>-2917.56</v>
      </c>
      <c r="AA60" s="331" t="n"/>
      <c r="AB60" s="332" t="n">
        <v>3.1157</v>
      </c>
      <c r="AC60" s="332" t="n">
        <v>0.40174</v>
      </c>
      <c r="AD60" s="143" t="n">
        <v>44.93</v>
      </c>
      <c r="AE60" s="173" t="n">
        <v>23040.87</v>
      </c>
      <c r="AF60" s="143" t="n">
        <v>0</v>
      </c>
      <c r="AG60" s="143">
        <f>SUM(AD60:AF60)</f>
        <v/>
      </c>
      <c r="AH60" s="143">
        <f>(AD60*AB60)+((AE60+AF60)*AC60)</f>
        <v/>
      </c>
      <c r="AI60" s="143">
        <f>AD60-AS60</f>
        <v/>
      </c>
      <c r="AJ60" s="143">
        <f>AE60-AT60</f>
        <v/>
      </c>
      <c r="AK60" s="143">
        <f>AF60-AU60</f>
        <v/>
      </c>
      <c r="AL60" s="208">
        <f>SUM(AI60:AK60)</f>
        <v/>
      </c>
      <c r="AM60" s="336">
        <f>(AI60*AB60)+((AJ60+AK60)*AC60)</f>
        <v/>
      </c>
      <c r="AN60" s="143" t="n">
        <v>905.36</v>
      </c>
      <c r="AO60" s="143" t="n">
        <v>4481.18</v>
      </c>
      <c r="AP60" s="143" t="n">
        <v>0</v>
      </c>
      <c r="AQ60" s="143">
        <f>SUM(AN60:AP60)</f>
        <v/>
      </c>
      <c r="AR60" s="331">
        <f>(AN60*AB60)+((AO60+AP60)*AC60)</f>
        <v/>
      </c>
      <c r="AS60" s="143" t="n">
        <v>2.85</v>
      </c>
      <c r="AT60" s="143" t="n">
        <v>12183.99</v>
      </c>
      <c r="AU60" s="143" t="n">
        <v>0</v>
      </c>
      <c r="AV60" s="124">
        <f>SUM(AS60:AU60)</f>
        <v/>
      </c>
      <c r="AW60" s="143" t="n">
        <v>905.36</v>
      </c>
      <c r="AX60" s="143" t="n">
        <v>4481.18</v>
      </c>
      <c r="AY60" s="143" t="n">
        <v>0</v>
      </c>
      <c r="AZ60" s="143">
        <f>SUM(AW60:AY60)</f>
        <v/>
      </c>
      <c r="BA60" s="335">
        <f>(AW60*AB60)+((AX60+AY60)*AC60)</f>
        <v/>
      </c>
      <c r="BB60" s="141">
        <f>AN60-AW60</f>
        <v/>
      </c>
      <c r="BC60" s="141">
        <f>BB60*AB60</f>
        <v/>
      </c>
      <c r="BD60" s="141">
        <f>AO60-AX60</f>
        <v/>
      </c>
      <c r="BE60" s="141">
        <f>BD60*AC60</f>
        <v/>
      </c>
      <c r="BF60" s="141">
        <f>AP60-AY60</f>
        <v/>
      </c>
      <c r="BG60" s="141">
        <f>BF60*AC60</f>
        <v/>
      </c>
      <c r="BH60" s="141">
        <f>BB60+BD60+BF60</f>
        <v/>
      </c>
      <c r="BI60" s="141">
        <f>BC60+BE60+BG60</f>
        <v/>
      </c>
      <c r="BJ60" s="324">
        <f>BL60+BS60+BV60+BY60+CB60+CE60+CH60+CK60</f>
        <v/>
      </c>
      <c r="BK60" s="320">
        <f>((AI60+AW60)*AB60)+((AJ60+AK60+AX60+AY60)*AC60)</f>
        <v/>
      </c>
      <c r="BL60" s="132">
        <f>BM60+BN60+AL60</f>
        <v/>
      </c>
      <c r="BM60" s="133">
        <f>AW60</f>
        <v/>
      </c>
      <c r="BN60" s="133">
        <f>AX60+AY60</f>
        <v/>
      </c>
      <c r="BO60" s="334" t="n"/>
      <c r="BP60" s="334" t="n"/>
      <c r="BQ60" s="334" t="n"/>
      <c r="BR60" s="334" t="n"/>
      <c r="BS60" s="143" t="n"/>
      <c r="BT60" s="334" t="n"/>
      <c r="BU60" s="334" t="n"/>
      <c r="BV60" s="143" t="n"/>
      <c r="BW60" s="334" t="n"/>
      <c r="BX60" s="334" t="n"/>
      <c r="BY60" s="124" t="n"/>
      <c r="BZ60" s="320" t="n"/>
      <c r="CA60" s="124" t="n"/>
      <c r="CB60" s="124" t="n"/>
      <c r="CC60" s="320" t="n"/>
      <c r="CD60" s="143" t="n"/>
      <c r="CE60" s="143" t="n"/>
      <c r="CF60" s="334" t="n"/>
      <c r="CG60" s="143" t="n"/>
      <c r="CH60" s="143" t="n"/>
      <c r="CI60" s="334" t="n"/>
      <c r="CJ60" s="143" t="n"/>
      <c r="CK60" s="143" t="n"/>
      <c r="CL60" s="334" t="n"/>
      <c r="CM60" s="143" t="n"/>
      <c r="CN60" s="320">
        <f>BK60+BU60+BX60+CA60+CD60+CG60+CJ60+CM60</f>
        <v/>
      </c>
      <c r="CO60" s="154">
        <f>AV60-((((((AW60-AS60)*(392.23/239.69))+AS60)+AX60+BS60+BV60+BY60)))+CO59</f>
        <v/>
      </c>
      <c r="CP60" s="320">
        <f>CR60*G60</f>
        <v/>
      </c>
      <c r="CQ60" s="124">
        <f>AL60+AZ60+AQ60</f>
        <v/>
      </c>
      <c r="CR60" s="154">
        <f>AV60-(((AW60-AS60)*(392.23/239.69))+AS60+AX60)</f>
        <v/>
      </c>
      <c r="CS60" s="231" t="inlineStr">
        <is>
      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      </is>
      </c>
      <c r="CT60" s="155" t="n"/>
      <c r="CU60" s="177" t="n"/>
      <c r="CV60" s="177" t="n"/>
      <c r="CW60" s="325" t="n"/>
    </row>
    <row r="61" ht="19.9" customFormat="1" customHeight="1" s="67">
      <c r="A61" s="233" t="inlineStr">
        <is>
          <t>Casa do Pica-Pau</t>
        </is>
      </c>
      <c r="B61" s="66" t="n">
        <v>12084724</v>
      </c>
      <c r="C61" s="233" t="inlineStr">
        <is>
          <t>Matriz</t>
        </is>
      </c>
      <c r="D61" s="140" t="inlineStr">
        <is>
          <t xml:space="preserve">Goiânia </t>
        </is>
      </c>
      <c r="E61" s="140" t="n">
        <v>44834</v>
      </c>
      <c r="F61" s="141" t="n">
        <v>19509</v>
      </c>
      <c r="G61" s="326" t="n">
        <v>0.6879999999999999</v>
      </c>
      <c r="H61" s="173">
        <f>F61*G61</f>
        <v/>
      </c>
      <c r="I61" s="121" t="inlineStr">
        <is>
          <t>Novembro/2022</t>
        </is>
      </c>
      <c r="J61" s="125" t="inlineStr">
        <is>
          <t>3 Growatt de 50 KW</t>
        </is>
      </c>
      <c r="K61" s="65" t="inlineStr">
        <is>
          <t>272 de 550W</t>
        </is>
      </c>
      <c r="L61" s="121" t="n"/>
      <c r="M61" s="126" t="inlineStr">
        <is>
          <t>Outubro/2022</t>
        </is>
      </c>
      <c r="N61" s="126" t="inlineStr">
        <is>
          <t>01/10/2022 a 01/11/2022</t>
        </is>
      </c>
      <c r="O61" s="321" t="n">
        <v>2620.15</v>
      </c>
      <c r="P61" s="321" t="n">
        <v>0</v>
      </c>
      <c r="Q61" s="321" t="n">
        <v>2596.1</v>
      </c>
      <c r="R61" s="207" t="n"/>
      <c r="S61" s="321" t="n">
        <v>13.43</v>
      </c>
      <c r="T61" s="321" t="n">
        <v>0</v>
      </c>
      <c r="U61" s="321" t="n">
        <v>10.62</v>
      </c>
      <c r="V61" s="321" t="n">
        <v>0</v>
      </c>
      <c r="W61" s="321" t="n">
        <v>0</v>
      </c>
      <c r="X61" s="321" t="n"/>
      <c r="Y61" s="321" t="n"/>
      <c r="Z61" s="321" t="n"/>
      <c r="AA61" s="321" t="n"/>
      <c r="AB61" s="322">
        <f>1.84243+0.58065</f>
        <v/>
      </c>
      <c r="AC61" s="322">
        <f>0.14215+0.35983</f>
        <v/>
      </c>
      <c r="AD61" s="124" t="n">
        <v>40.86</v>
      </c>
      <c r="AE61" s="124" t="n">
        <v>13130.76</v>
      </c>
      <c r="AF61" s="124" t="n">
        <v>180.6</v>
      </c>
      <c r="AG61" s="124">
        <f>SUM(AD61:AF61)</f>
        <v/>
      </c>
      <c r="AH61" s="124">
        <f>(AD61*AB61)+((AE61+AF61)*AC61)</f>
        <v/>
      </c>
      <c r="AI61" s="124">
        <f>AD61-AS61</f>
        <v/>
      </c>
      <c r="AJ61" s="124">
        <f>AE61-AT61</f>
        <v/>
      </c>
      <c r="AK61" s="124">
        <f>AF61-AU61</f>
        <v/>
      </c>
      <c r="AL61" s="210">
        <f>SUM(AI61:AK61)</f>
        <v/>
      </c>
      <c r="AM61" s="337">
        <f>(AI61*AB61)+((AJ61+AK61)*AC61)</f>
        <v/>
      </c>
      <c r="AN61" s="143" t="n">
        <v>68.5</v>
      </c>
      <c r="AO61" s="143" t="n">
        <v>239.4</v>
      </c>
      <c r="AP61" s="143" t="n">
        <v>12.6</v>
      </c>
      <c r="AQ61" s="124">
        <f>SUM(AN61:AP61)</f>
        <v/>
      </c>
      <c r="AR61" s="321">
        <f>(AN61*AB61)+((AO61+AP61)*AC61)</f>
        <v/>
      </c>
      <c r="AS61" s="143" t="n">
        <v>40.86</v>
      </c>
      <c r="AT61" s="143" t="n">
        <v>915.6</v>
      </c>
      <c r="AU61" s="143" t="n">
        <v>180.6</v>
      </c>
      <c r="AV61" s="143">
        <f>SUM(AS61:AU61)</f>
        <v/>
      </c>
      <c r="AW61" s="143" t="n">
        <v>68.5</v>
      </c>
      <c r="AX61" s="143" t="n">
        <v>239.4</v>
      </c>
      <c r="AY61" s="143" t="n">
        <v>12.6</v>
      </c>
      <c r="AZ61" s="143">
        <f>SUM(AW61:AY61)</f>
        <v/>
      </c>
      <c r="BA61" s="335">
        <f>(AW61*AB61)+((AX61+AY61)*AC61)</f>
        <v/>
      </c>
      <c r="BB61" s="141">
        <f>AN61-AW61</f>
        <v/>
      </c>
      <c r="BC61" s="141">
        <f>BB61*AB61</f>
        <v/>
      </c>
      <c r="BD61" s="141">
        <f>AO61-AX61</f>
        <v/>
      </c>
      <c r="BE61" s="141">
        <f>BD61*AC61</f>
        <v/>
      </c>
      <c r="BF61" s="141">
        <f>AP61-AY61</f>
        <v/>
      </c>
      <c r="BG61" s="141">
        <f>BF61*AC61</f>
        <v/>
      </c>
      <c r="BH61" s="141">
        <f>BB61+BD61+BF61</f>
        <v/>
      </c>
      <c r="BI61" s="141">
        <f>BC61+BE61+BG61</f>
        <v/>
      </c>
      <c r="BJ61" s="324">
        <f>BL61+BS61+BV61+BY61+CB61+CE61+CH61+CK61</f>
        <v/>
      </c>
      <c r="BK61" s="320">
        <f>((AI61+AW61)*AB61)+((AJ61+AK61+AX61+AY61)*AC61)</f>
        <v/>
      </c>
      <c r="BL61" s="132">
        <f>BM61+BN61+AL61</f>
        <v/>
      </c>
      <c r="BM61" s="133">
        <f>AW61</f>
        <v/>
      </c>
      <c r="BN61" s="133">
        <f>AX61+AY61</f>
        <v/>
      </c>
      <c r="BO61" s="328">
        <f>1.84243+0.58065</f>
        <v/>
      </c>
      <c r="BP61" s="328">
        <f>0.14215+0.35983</f>
        <v/>
      </c>
      <c r="BQ61" s="320">
        <f>BM61*BO61</f>
        <v/>
      </c>
      <c r="BR61" s="320">
        <f>BN61*BP61</f>
        <v/>
      </c>
      <c r="BS61" s="143" t="n"/>
      <c r="BT61" s="334" t="n"/>
      <c r="BU61" s="334" t="n"/>
      <c r="BV61" s="143" t="n"/>
      <c r="BW61" s="334" t="n"/>
      <c r="BX61" s="334" t="n"/>
      <c r="BY61" s="173" t="n"/>
      <c r="BZ61" s="326" t="n"/>
      <c r="CA61" s="173" t="n"/>
      <c r="CB61" s="173" t="n"/>
      <c r="CC61" s="326" t="n"/>
      <c r="CD61" s="143" t="n"/>
      <c r="CE61" s="143" t="n"/>
      <c r="CF61" s="334" t="n"/>
      <c r="CG61" s="143" t="n"/>
      <c r="CH61" s="143" t="n"/>
      <c r="CI61" s="334" t="n"/>
      <c r="CJ61" s="143" t="n"/>
      <c r="CK61" s="143" t="n"/>
      <c r="CL61" s="334" t="n"/>
      <c r="CM61" s="143" t="n"/>
      <c r="CN61" s="320">
        <f>BK61+BU61+BX61+CA61+CD61+CG61+CJ61+CM61</f>
        <v/>
      </c>
      <c r="CO61" s="154">
        <f>AV61-(AZ61+BS61+BV61+BY61)</f>
        <v/>
      </c>
      <c r="CP61" s="320">
        <f>CR61*G61</f>
        <v/>
      </c>
      <c r="CQ61" s="124">
        <f>AL61+AZ61+AQ61</f>
        <v/>
      </c>
      <c r="CR61" s="159">
        <f>AV61-AZ61-BS61-BV61-BY61-CB61</f>
        <v/>
      </c>
      <c r="CS61" s="230" t="n"/>
      <c r="CT61" s="155" t="n"/>
      <c r="CU61" s="177" t="n"/>
      <c r="CV61" s="177" t="n"/>
      <c r="CW61" s="325" t="n"/>
    </row>
    <row r="62" ht="19.9" customFormat="1" customHeight="1" s="67">
      <c r="A62" s="120" t="inlineStr">
        <is>
          <t>Casa do Pica-Pau</t>
        </is>
      </c>
      <c r="B62" s="65" t="n">
        <v>12084724</v>
      </c>
      <c r="C62" s="120" t="inlineStr">
        <is>
          <t>Matriz</t>
        </is>
      </c>
      <c r="D62" s="121" t="inlineStr">
        <is>
          <t xml:space="preserve">Goiânia </t>
        </is>
      </c>
      <c r="E62" s="121" t="n">
        <v>44834</v>
      </c>
      <c r="F62" s="122" t="n">
        <v>19509</v>
      </c>
      <c r="G62" s="320" t="n">
        <v>0.6879999999999999</v>
      </c>
      <c r="H62" s="124">
        <f>F62*G62</f>
        <v/>
      </c>
      <c r="I62" s="140" t="inlineStr">
        <is>
          <t>Novembro/2022</t>
        </is>
      </c>
      <c r="J62" s="144" t="inlineStr">
        <is>
          <t>3 Growatt de 50 KW</t>
        </is>
      </c>
      <c r="K62" s="66" t="inlineStr">
        <is>
          <t>272 de 550W</t>
        </is>
      </c>
      <c r="L62" s="140" t="n"/>
      <c r="M62" s="145" t="inlineStr">
        <is>
          <t>Novembro/2022</t>
        </is>
      </c>
      <c r="N62" s="145" t="inlineStr">
        <is>
          <t>01/11/2022 a 01/12/2022</t>
        </is>
      </c>
      <c r="O62" s="331" t="n">
        <v>2680.6</v>
      </c>
      <c r="P62" s="331" t="n">
        <v>0</v>
      </c>
      <c r="Q62" s="331" t="n">
        <v>2646.67</v>
      </c>
      <c r="R62" s="147" t="n"/>
      <c r="S62" s="331" t="n">
        <v>20.31</v>
      </c>
      <c r="T62" s="331" t="n">
        <v>0</v>
      </c>
      <c r="U62" s="331" t="n">
        <v>13.62</v>
      </c>
      <c r="V62" s="331" t="n">
        <v>0</v>
      </c>
      <c r="W62" s="331" t="n">
        <v>0</v>
      </c>
      <c r="X62" s="331" t="n"/>
      <c r="Y62" s="331" t="n"/>
      <c r="Z62" s="331" t="n"/>
      <c r="AA62" s="331" t="n"/>
      <c r="AB62" s="332">
        <f>1.88925+0.5602</f>
        <v/>
      </c>
      <c r="AC62" s="332">
        <f>0.1786+0.34973</f>
        <v/>
      </c>
      <c r="AD62" s="143" t="n">
        <v>41.53</v>
      </c>
      <c r="AE62" s="173" t="n">
        <v>18820.3</v>
      </c>
      <c r="AF62" s="143" t="n">
        <v>201.6</v>
      </c>
      <c r="AG62" s="143">
        <f>SUM(AD62:AF62)</f>
        <v/>
      </c>
      <c r="AH62" s="143">
        <f>(AD62*AB62)+((AE62+AF62)*AC62)</f>
        <v/>
      </c>
      <c r="AI62" s="143">
        <f>AD62-AS62</f>
        <v/>
      </c>
      <c r="AJ62" s="143">
        <f>AE62-AT62</f>
        <v/>
      </c>
      <c r="AK62" s="143">
        <f>AF62-AU62</f>
        <v/>
      </c>
      <c r="AL62" s="208">
        <f>SUM(AI62:AK62)</f>
        <v/>
      </c>
      <c r="AM62" s="336">
        <f>(AI62*AB62)+((AJ62+AK62)*AC62)</f>
        <v/>
      </c>
      <c r="AN62" s="124" t="n">
        <v>55.77</v>
      </c>
      <c r="AO62" s="124" t="n">
        <v>256.2</v>
      </c>
      <c r="AP62" s="124" t="n">
        <v>12.6</v>
      </c>
      <c r="AQ62" s="143">
        <f>SUM(AN62:AP62)</f>
        <v/>
      </c>
      <c r="AR62" s="331">
        <f>(AN62*AB62)+((AO62+AP62)*AC62)</f>
        <v/>
      </c>
      <c r="AS62" s="124" t="n">
        <v>41.53</v>
      </c>
      <c r="AT62" s="124" t="n">
        <v>743.4</v>
      </c>
      <c r="AU62" s="124" t="n">
        <v>201.6</v>
      </c>
      <c r="AV62" s="124">
        <f>SUM(AS62:AU62)</f>
        <v/>
      </c>
      <c r="AW62" s="124" t="n">
        <v>55.77</v>
      </c>
      <c r="AX62" s="124" t="n">
        <v>256.2</v>
      </c>
      <c r="AY62" s="124" t="n">
        <v>12.6</v>
      </c>
      <c r="AZ62" s="124">
        <f>SUM(AW62:AY62)</f>
        <v/>
      </c>
      <c r="BA62" s="335">
        <f>(AW62*AB62)+((AX62+AY62)*AC62)</f>
        <v/>
      </c>
      <c r="BB62" s="122">
        <f>AN62-AW62</f>
        <v/>
      </c>
      <c r="BC62" s="141">
        <f>BB62*AB62</f>
        <v/>
      </c>
      <c r="BD62" s="122">
        <f>AO62-AX62</f>
        <v/>
      </c>
      <c r="BE62" s="122">
        <f>BD62*AC62</f>
        <v/>
      </c>
      <c r="BF62" s="122">
        <f>AP62-AY62</f>
        <v/>
      </c>
      <c r="BG62" s="122">
        <f>BF62*AC62</f>
        <v/>
      </c>
      <c r="BH62" s="122">
        <f>BB62+BD62+BF62</f>
        <v/>
      </c>
      <c r="BI62" s="122">
        <f>BC62+BE62+BG62</f>
        <v/>
      </c>
      <c r="BJ62" s="324">
        <f>BL62+BS62+BV62+BY62+CB62+CE62+CH62+CK62</f>
        <v/>
      </c>
      <c r="BK62" s="320">
        <f>((AI62+AW62)*AB62)+((AJ62+AK62+AX62+AY62)*AC62)</f>
        <v/>
      </c>
      <c r="BL62" s="132">
        <f>BM62+BN62+AL62</f>
        <v/>
      </c>
      <c r="BM62" s="133">
        <f>AW62</f>
        <v/>
      </c>
      <c r="BN62" s="133">
        <f>AX62+AY62</f>
        <v/>
      </c>
      <c r="BO62" s="340">
        <f>1.88925+0.5602</f>
        <v/>
      </c>
      <c r="BP62" s="340">
        <f>0.1786+0.34973</f>
        <v/>
      </c>
      <c r="BQ62" s="320">
        <f>BM62*BO62</f>
        <v/>
      </c>
      <c r="BR62" s="320">
        <f>BN62*BP62</f>
        <v/>
      </c>
      <c r="BS62" s="124" t="n"/>
      <c r="BT62" s="320" t="n"/>
      <c r="BU62" s="320" t="n"/>
      <c r="BV62" s="124" t="n"/>
      <c r="BW62" s="320" t="n"/>
      <c r="BX62" s="320" t="n"/>
      <c r="BY62" s="124" t="n"/>
      <c r="BZ62" s="320" t="n"/>
      <c r="CA62" s="124" t="n"/>
      <c r="CB62" s="124" t="n"/>
      <c r="CC62" s="320" t="n"/>
      <c r="CD62" s="124" t="n"/>
      <c r="CE62" s="124" t="n"/>
      <c r="CF62" s="320" t="n"/>
      <c r="CG62" s="124" t="n"/>
      <c r="CH62" s="124" t="n"/>
      <c r="CI62" s="320" t="n"/>
      <c r="CJ62" s="124" t="n"/>
      <c r="CK62" s="124" t="n"/>
      <c r="CL62" s="320" t="n"/>
      <c r="CM62" s="124" t="n"/>
      <c r="CN62" s="320">
        <f>BK62+BU62+BX62+CA62+CD62+CG62+CJ62+CM62</f>
        <v/>
      </c>
      <c r="CO62" s="154">
        <f>(AV62-(AZ62+BV62+BY62+CB62+CE62+CH62+CK62+BS62)+CO61)</f>
        <v/>
      </c>
      <c r="CP62" s="320">
        <f>CR62*G62</f>
        <v/>
      </c>
      <c r="CQ62" s="124">
        <f>AL62+AZ62+AQ62</f>
        <v/>
      </c>
      <c r="CR62" s="159">
        <f>AV62-AZ62-BS62-BV62-BY62-CB62</f>
        <v/>
      </c>
      <c r="CS62" s="230" t="inlineStr">
        <is>
      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      </is>
      </c>
      <c r="CT62" s="155" t="n"/>
      <c r="CU62" s="177" t="n"/>
      <c r="CV62" s="177" t="n"/>
      <c r="CW62" s="325" t="n"/>
    </row>
    <row r="63" ht="19.9" customFormat="1" customHeight="1" s="67">
      <c r="A63" s="233" t="inlineStr">
        <is>
          <t>Casa do Pica-Pau</t>
        </is>
      </c>
      <c r="B63" s="66" t="n">
        <v>12084724</v>
      </c>
      <c r="C63" s="233" t="inlineStr">
        <is>
          <t>Matriz</t>
        </is>
      </c>
      <c r="D63" s="140" t="inlineStr">
        <is>
          <t xml:space="preserve">Goiânia </t>
        </is>
      </c>
      <c r="E63" s="140" t="n">
        <v>44834</v>
      </c>
      <c r="F63" s="141" t="n">
        <v>19509</v>
      </c>
      <c r="G63" s="326" t="n">
        <v>0.6879999999999999</v>
      </c>
      <c r="H63" s="173">
        <f>F63*G63</f>
        <v/>
      </c>
      <c r="I63" s="121" t="inlineStr">
        <is>
          <t>Novembro/2022</t>
        </is>
      </c>
      <c r="J63" s="125" t="inlineStr">
        <is>
          <t>3 Growatt de 50 KW</t>
        </is>
      </c>
      <c r="K63" s="65" t="inlineStr">
        <is>
          <t>272 de 550W</t>
        </is>
      </c>
      <c r="L63" s="121" t="n"/>
      <c r="M63" s="126" t="inlineStr">
        <is>
          <t>Dezembro/2022</t>
        </is>
      </c>
      <c r="N63" s="126" t="inlineStr">
        <is>
          <t>01/12/2022 a 01/01/2023</t>
        </is>
      </c>
      <c r="O63" s="321" t="n">
        <v>7073.41</v>
      </c>
      <c r="P63" s="321" t="n">
        <v>0</v>
      </c>
      <c r="Q63" s="321" t="n">
        <v>2562.76</v>
      </c>
      <c r="R63" s="207" t="n"/>
      <c r="S63" s="321" t="n">
        <v>2.33</v>
      </c>
      <c r="T63" s="321" t="n">
        <v>0</v>
      </c>
      <c r="U63" s="321" t="n">
        <v>14.02</v>
      </c>
      <c r="V63" s="321" t="n">
        <v>0</v>
      </c>
      <c r="W63" s="321" t="n">
        <v>0</v>
      </c>
      <c r="X63" s="321" t="n"/>
      <c r="Y63" s="321" t="n"/>
      <c r="Z63" s="321" t="n"/>
      <c r="AA63" s="321" t="n"/>
      <c r="AB63" s="322">
        <f>1.82936+0.54244</f>
        <v/>
      </c>
      <c r="AC63" s="322">
        <f>0.17293+0.33863</f>
        <v/>
      </c>
      <c r="AD63" s="124" t="n">
        <v>28.91</v>
      </c>
      <c r="AE63" s="124" t="n">
        <v>17320.27</v>
      </c>
      <c r="AF63" s="124" t="n">
        <v>16.8</v>
      </c>
      <c r="AG63" s="124">
        <f>SUM(AD63:AF63)</f>
        <v/>
      </c>
      <c r="AH63" s="124">
        <f>(AD63*AB63)+((AE63+AF63)*AC63)</f>
        <v/>
      </c>
      <c r="AI63" s="124">
        <f>AD63-AS63</f>
        <v/>
      </c>
      <c r="AJ63" s="124">
        <f>AE63-AT63</f>
        <v/>
      </c>
      <c r="AK63" s="124">
        <f>AF63-AU63</f>
        <v/>
      </c>
      <c r="AL63" s="210">
        <f>SUM(AI63:AK63)</f>
        <v/>
      </c>
      <c r="AM63" s="337">
        <f>(AI63*AB63)+((AJ63+AK63)*AC63)</f>
        <v/>
      </c>
      <c r="AN63" s="143" t="n">
        <v>1801</v>
      </c>
      <c r="AO63" s="143" t="n">
        <v>5733</v>
      </c>
      <c r="AP63" s="143" t="n">
        <v>1990.8</v>
      </c>
      <c r="AQ63" s="124">
        <f>SUM(AN63:AP63)</f>
        <v/>
      </c>
      <c r="AR63" s="321">
        <f>(AN63*AB63)+((AO63+AP63)*AC63)</f>
        <v/>
      </c>
      <c r="AS63" s="143" t="n">
        <v>0.29</v>
      </c>
      <c r="AT63" s="143" t="n">
        <v>5791.8</v>
      </c>
      <c r="AU63" s="143" t="n">
        <v>16.8</v>
      </c>
      <c r="AV63" s="143">
        <f>SUM(AS63:AU63)</f>
        <v/>
      </c>
      <c r="AW63" s="143" t="n">
        <v>0.29</v>
      </c>
      <c r="AX63" s="143" t="n">
        <v>5733</v>
      </c>
      <c r="AY63" s="143" t="n">
        <v>1554.12</v>
      </c>
      <c r="AZ63" s="143">
        <f>SUM(AW63:AY63)</f>
        <v/>
      </c>
      <c r="BA63" s="335">
        <f>(AW63*AB63)+((AX63+AY63)*AC63)</f>
        <v/>
      </c>
      <c r="BB63" s="141">
        <f>AN63-AW63</f>
        <v/>
      </c>
      <c r="BC63" s="141">
        <f>BB63*AB63</f>
        <v/>
      </c>
      <c r="BD63" s="141">
        <f>AO63-AX63</f>
        <v/>
      </c>
      <c r="BE63" s="141">
        <f>BD63*AC63</f>
        <v/>
      </c>
      <c r="BF63" s="141">
        <f>AP63-AY63</f>
        <v/>
      </c>
      <c r="BG63" s="141">
        <f>BF63*AC63</f>
        <v/>
      </c>
      <c r="BH63" s="141">
        <f>BB63+BD63+BF63</f>
        <v/>
      </c>
      <c r="BI63" s="141">
        <f>BC63+BE63+BG63</f>
        <v/>
      </c>
      <c r="BJ63" s="324">
        <f>BL63+BS63+BV63+BY63+CB63+CE63+CH63+CK63</f>
        <v/>
      </c>
      <c r="BK63" s="320">
        <f>((AI63+AW63)*AB63)+((AJ63+AK63+AX63+AY63)*AC63)</f>
        <v/>
      </c>
      <c r="BL63" s="132">
        <f>BM63+BN63+AL63</f>
        <v/>
      </c>
      <c r="BM63" s="133">
        <f>AW63</f>
        <v/>
      </c>
      <c r="BN63" s="133">
        <f>AX63+AY63</f>
        <v/>
      </c>
      <c r="BO63" s="328">
        <f>1.82936+0.54244</f>
        <v/>
      </c>
      <c r="BP63" s="328">
        <f>0.17293+0.33863</f>
        <v/>
      </c>
      <c r="BQ63" s="320">
        <f>BM63*BO63</f>
        <v/>
      </c>
      <c r="BR63" s="320">
        <f>BN63*BP63</f>
        <v/>
      </c>
      <c r="BS63" s="143" t="n"/>
      <c r="BT63" s="334" t="n"/>
      <c r="BU63" s="334" t="n"/>
      <c r="BV63" s="143" t="n"/>
      <c r="BW63" s="334" t="n"/>
      <c r="BX63" s="334" t="n"/>
      <c r="BY63" s="173" t="n"/>
      <c r="BZ63" s="326" t="n"/>
      <c r="CA63" s="173" t="n"/>
      <c r="CB63" s="173" t="n"/>
      <c r="CC63" s="326" t="n"/>
      <c r="CD63" s="143" t="n"/>
      <c r="CE63" s="143" t="n"/>
      <c r="CF63" s="334" t="n"/>
      <c r="CG63" s="143" t="n"/>
      <c r="CH63" s="143" t="n"/>
      <c r="CI63" s="334" t="n"/>
      <c r="CJ63" s="143" t="n"/>
      <c r="CK63" s="143" t="n"/>
      <c r="CL63" s="334" t="n"/>
      <c r="CM63" s="143" t="n"/>
      <c r="CN63" s="320">
        <f>BK63+BU63+BX63+CA63+CD63+CG63+CJ63+CM63</f>
        <v/>
      </c>
      <c r="CO63" s="154">
        <f>(AV63-(AZ63+BV63+BY63+CB63+CE63+CH63+CK63+BS63)+CO62)</f>
        <v/>
      </c>
      <c r="CP63" s="320">
        <f>CR63*G63</f>
        <v/>
      </c>
      <c r="CQ63" s="124">
        <f>AL63+AZ63+AQ63</f>
        <v/>
      </c>
      <c r="CR63" s="159">
        <f>AV63-AZ63-BS63-BV63-BY63-CB63</f>
        <v/>
      </c>
      <c r="CS63" s="155" t="n"/>
      <c r="CT63" s="155" t="n"/>
      <c r="CU63" s="177" t="n"/>
      <c r="CV63" s="177" t="n"/>
      <c r="CW63" s="325" t="n"/>
    </row>
    <row r="64" ht="19.9" customFormat="1" customHeight="1" s="67">
      <c r="A64" s="120" t="inlineStr">
        <is>
          <t>Casa do Pica-Pau</t>
        </is>
      </c>
      <c r="B64" s="65" t="n">
        <v>12084724</v>
      </c>
      <c r="C64" s="120" t="inlineStr">
        <is>
          <t>Matriz</t>
        </is>
      </c>
      <c r="D64" s="121" t="inlineStr">
        <is>
          <t xml:space="preserve">Goiânia </t>
        </is>
      </c>
      <c r="E64" s="121" t="n">
        <v>44834</v>
      </c>
      <c r="F64" s="122" t="n">
        <v>19509</v>
      </c>
      <c r="G64" s="320" t="n">
        <v>0.6879999999999999</v>
      </c>
      <c r="H64" s="124">
        <f>F64*G64</f>
        <v/>
      </c>
      <c r="I64" s="140" t="inlineStr">
        <is>
          <t>Novembro/2022</t>
        </is>
      </c>
      <c r="J64" s="144" t="inlineStr">
        <is>
          <t>3 Growatt de 50 KW</t>
        </is>
      </c>
      <c r="K64" s="66" t="inlineStr">
        <is>
          <t>272 de 550W</t>
        </is>
      </c>
      <c r="L64" s="140" t="n"/>
      <c r="M64" s="145" t="inlineStr">
        <is>
          <t>Janeiro/2023</t>
        </is>
      </c>
      <c r="N64" s="145" t="inlineStr">
        <is>
          <t>01/01/2023 a 01/02/2023</t>
        </is>
      </c>
      <c r="O64" s="331" t="n">
        <v>6978.96</v>
      </c>
      <c r="P64" s="331" t="n">
        <v>0</v>
      </c>
      <c r="Q64" s="331" t="n">
        <v>2560.66</v>
      </c>
      <c r="R64" s="147" t="n"/>
      <c r="S64" s="331" t="n">
        <v>0</v>
      </c>
      <c r="T64" s="331" t="n">
        <v>0</v>
      </c>
      <c r="U64" s="331" t="n">
        <v>11.73</v>
      </c>
      <c r="V64" s="331" t="n">
        <v>0</v>
      </c>
      <c r="W64" s="331" t="n">
        <v>0</v>
      </c>
      <c r="X64" s="331" t="n"/>
      <c r="Y64" s="331" t="n"/>
      <c r="Z64" s="331" t="n"/>
      <c r="AA64" s="331" t="n"/>
      <c r="AB64" s="332">
        <f>1.82785+0.542</f>
        <v/>
      </c>
      <c r="AC64" s="332">
        <f>0.17279+0.33836</f>
        <v/>
      </c>
      <c r="AD64" s="143" t="n">
        <v>59.06</v>
      </c>
      <c r="AE64" s="173" t="n">
        <v>17535.91</v>
      </c>
      <c r="AF64" s="143" t="n">
        <v>0</v>
      </c>
      <c r="AG64" s="143">
        <f>SUM(AD64:AF64)</f>
        <v/>
      </c>
      <c r="AH64" s="143">
        <f>(AD64*AB64)+((AE64+AF64)*AC64)</f>
        <v/>
      </c>
      <c r="AI64" s="143">
        <f>AD64-AS64</f>
        <v/>
      </c>
      <c r="AJ64" s="143">
        <f>AE64-AT64</f>
        <v/>
      </c>
      <c r="AK64" s="143">
        <f>AF64-AU64</f>
        <v/>
      </c>
      <c r="AL64" s="208">
        <f>SUM(AI64:AK64)</f>
        <v/>
      </c>
      <c r="AM64" s="336">
        <f>(AI64*AB64)+((AJ64+AK64)*AC64)</f>
        <v/>
      </c>
      <c r="AN64" s="124" t="n">
        <v>1633.88</v>
      </c>
      <c r="AO64" s="124" t="n">
        <v>5649</v>
      </c>
      <c r="AP64" s="124" t="n">
        <v>1995</v>
      </c>
      <c r="AQ64" s="143">
        <f>SUM(AN64:AP64)</f>
        <v/>
      </c>
      <c r="AR64" s="331">
        <f>(AN64*AB64)+((AO64+AP64)*AC64)</f>
        <v/>
      </c>
      <c r="AS64" s="124" t="n">
        <v>0</v>
      </c>
      <c r="AT64" s="124" t="n">
        <v>6598.2</v>
      </c>
      <c r="AU64" s="124" t="n">
        <v>0</v>
      </c>
      <c r="AV64" s="124">
        <f>SUM(AS64:AU64)</f>
        <v/>
      </c>
      <c r="AW64" s="124" t="n">
        <v>0</v>
      </c>
      <c r="AX64" s="124" t="n">
        <v>5649</v>
      </c>
      <c r="AY64" s="124" t="n">
        <v>949.2</v>
      </c>
      <c r="AZ64" s="124">
        <f>SUM(AW64:AY64)</f>
        <v/>
      </c>
      <c r="BA64" s="335">
        <f>(AW64*AB64)+((AX64+AY64)*AC64)</f>
        <v/>
      </c>
      <c r="BB64" s="122">
        <f>AN64-AW64</f>
        <v/>
      </c>
      <c r="BC64" s="141">
        <f>BB64*AB64</f>
        <v/>
      </c>
      <c r="BD64" s="122">
        <f>AO64-AX64</f>
        <v/>
      </c>
      <c r="BE64" s="122">
        <f>BD64*AC64</f>
        <v/>
      </c>
      <c r="BF64" s="122">
        <f>AP64-AY64</f>
        <v/>
      </c>
      <c r="BG64" s="122">
        <f>BF64*AC64</f>
        <v/>
      </c>
      <c r="BH64" s="122">
        <f>BB64+BD64+BF64</f>
        <v/>
      </c>
      <c r="BI64" s="122">
        <f>BC64+BE64+BG64</f>
        <v/>
      </c>
      <c r="BJ64" s="324">
        <f>BL64+BS64+BV64+BY64+CB64+CE64+CH64+CK64</f>
        <v/>
      </c>
      <c r="BK64" s="320">
        <f>((AI64+AW64)*AB64)+((AJ64+AK64+AX64+AY64)*AC64)</f>
        <v/>
      </c>
      <c r="BL64" s="132">
        <f>BM64+BN64+AL64</f>
        <v/>
      </c>
      <c r="BM64" s="133">
        <f>AW64</f>
        <v/>
      </c>
      <c r="BN64" s="133">
        <f>AX64+AY64</f>
        <v/>
      </c>
      <c r="BO64" s="340">
        <f>1.82785+0.542</f>
        <v/>
      </c>
      <c r="BP64" s="340">
        <f>0.17279+0.33836</f>
        <v/>
      </c>
      <c r="BQ64" s="320">
        <f>BM64*BO64</f>
        <v/>
      </c>
      <c r="BR64" s="320">
        <f>BN64*BP64</f>
        <v/>
      </c>
      <c r="BS64" s="124" t="n"/>
      <c r="BT64" s="320" t="n"/>
      <c r="BU64" s="320" t="n"/>
      <c r="BV64" s="124" t="n"/>
      <c r="BW64" s="320" t="n"/>
      <c r="BX64" s="320" t="n"/>
      <c r="BY64" s="124" t="n"/>
      <c r="BZ64" s="320" t="n"/>
      <c r="CA64" s="124" t="n"/>
      <c r="CB64" s="124" t="n"/>
      <c r="CC64" s="320" t="n"/>
      <c r="CD64" s="124" t="n"/>
      <c r="CE64" s="124" t="n"/>
      <c r="CF64" s="320" t="n"/>
      <c r="CG64" s="124" t="n"/>
      <c r="CH64" s="124" t="n"/>
      <c r="CI64" s="320" t="n"/>
      <c r="CJ64" s="124" t="n"/>
      <c r="CK64" s="124" t="n"/>
      <c r="CL64" s="320" t="n"/>
      <c r="CM64" s="124" t="n"/>
      <c r="CN64" s="320">
        <f>BK64+BU64+BX64+CA64+CD64+CG64+CJ64+CM64</f>
        <v/>
      </c>
      <c r="CO64" s="154">
        <f>(AV64-(AZ64+BV64+BY64+CB64+CE64+CH64+CK64+BS64)+CO63)</f>
        <v/>
      </c>
      <c r="CP64" s="320">
        <f>CR64*G64</f>
        <v/>
      </c>
      <c r="CQ64" s="124">
        <f>AL64+AZ64+AQ64</f>
        <v/>
      </c>
      <c r="CR64" s="159">
        <f>AV64-AZ64-BS64-BV64-BY64-CB64</f>
        <v/>
      </c>
      <c r="CS64" s="155" t="inlineStr">
        <is>
          <t>Com a redução da demanda contratada, em Fevereiro de 2024, ocorreu uma economia para unidade de R$ 2.952,55.</t>
        </is>
      </c>
      <c r="CT64" s="155" t="n"/>
      <c r="CU64" s="177" t="n"/>
      <c r="CV64" s="177" t="n"/>
      <c r="CW64" s="325" t="n"/>
    </row>
    <row r="65" ht="19.9" customFormat="1" customHeight="1" s="67">
      <c r="A65" s="233" t="inlineStr">
        <is>
          <t>Casa do Pica-Pau</t>
        </is>
      </c>
      <c r="B65" s="66" t="n">
        <v>12084724</v>
      </c>
      <c r="C65" s="233" t="inlineStr">
        <is>
          <t>Matriz</t>
        </is>
      </c>
      <c r="D65" s="140" t="inlineStr">
        <is>
          <t xml:space="preserve">Goiânia </t>
        </is>
      </c>
      <c r="E65" s="140" t="n">
        <v>44834</v>
      </c>
      <c r="F65" s="141" t="n">
        <v>19509</v>
      </c>
      <c r="G65" s="326" t="n">
        <v>0.6879999999999999</v>
      </c>
      <c r="H65" s="173">
        <f>F65*G65</f>
        <v/>
      </c>
      <c r="I65" s="121" t="inlineStr">
        <is>
          <t>Novembro/2022</t>
        </is>
      </c>
      <c r="J65" s="125" t="inlineStr">
        <is>
          <t>3 Growatt de 50 KW</t>
        </is>
      </c>
      <c r="K65" s="65" t="inlineStr">
        <is>
          <t>272 de 550W</t>
        </is>
      </c>
      <c r="L65" s="121" t="n"/>
      <c r="M65" s="126" t="inlineStr">
        <is>
          <t>Fevereiro/2023</t>
        </is>
      </c>
      <c r="N65" s="126" t="inlineStr">
        <is>
          <t>01/02/2023 a 01/03/2023</t>
        </is>
      </c>
      <c r="O65" s="321" t="n">
        <v>7243.47</v>
      </c>
      <c r="P65" s="321" t="n">
        <v>0</v>
      </c>
      <c r="Q65" s="321" t="n">
        <v>2664.29</v>
      </c>
      <c r="R65" s="207" t="n"/>
      <c r="S65" s="321" t="n">
        <v>3.1</v>
      </c>
      <c r="T65" s="321" t="n">
        <v>0</v>
      </c>
      <c r="U65" s="321" t="n">
        <v>9.369999999999999</v>
      </c>
      <c r="V65" s="321" t="n">
        <v>0</v>
      </c>
      <c r="W65" s="321" t="n">
        <v>0</v>
      </c>
      <c r="X65" s="321" t="n"/>
      <c r="Y65" s="321" t="n"/>
      <c r="Z65" s="321" t="n"/>
      <c r="AA65" s="321" t="n"/>
      <c r="AB65" s="322">
        <f>1.90183+0.56393</f>
        <v/>
      </c>
      <c r="AC65" s="322">
        <f>0.17979+0.35206</f>
        <v/>
      </c>
      <c r="AD65" s="124" t="n">
        <v>34.9</v>
      </c>
      <c r="AE65" s="124" t="n">
        <v>17002.03</v>
      </c>
      <c r="AF65" s="124" t="n">
        <v>0</v>
      </c>
      <c r="AG65" s="124">
        <f>SUM(AD65:AF65)</f>
        <v/>
      </c>
      <c r="AH65" s="124">
        <f>(AD65*AB65)+((AE65+AF65)*AC65)</f>
        <v/>
      </c>
      <c r="AI65" s="124">
        <f>AD65-AS65</f>
        <v/>
      </c>
      <c r="AJ65" s="124">
        <f>AE65-AT65</f>
        <v/>
      </c>
      <c r="AK65" s="124">
        <f>AF65-AU65</f>
        <v/>
      </c>
      <c r="AL65" s="210">
        <f>SUM(AI65:AK65)</f>
        <v/>
      </c>
      <c r="AM65" s="337">
        <f>(AI65*AB65)+((AJ65+AK65)*AC65)</f>
        <v/>
      </c>
      <c r="AN65" s="143" t="n">
        <v>1536.82</v>
      </c>
      <c r="AO65" s="143" t="n">
        <v>5829.6</v>
      </c>
      <c r="AP65" s="143" t="n">
        <v>1839.6</v>
      </c>
      <c r="AQ65" s="124">
        <f>SUM(AN65:AP65)</f>
        <v/>
      </c>
      <c r="AR65" s="321">
        <f>(AN65*AB65)+((AO65+AP65)*AC65)</f>
        <v/>
      </c>
      <c r="AS65" s="143" t="n">
        <v>0</v>
      </c>
      <c r="AT65" s="143" t="n">
        <v>6207.6</v>
      </c>
      <c r="AU65" s="143" t="n">
        <v>0</v>
      </c>
      <c r="AV65" s="143">
        <f>SUM(AS65:AU65)</f>
        <v/>
      </c>
      <c r="AW65" s="143" t="n">
        <v>0</v>
      </c>
      <c r="AX65" s="143" t="n">
        <v>5829.6</v>
      </c>
      <c r="AY65" s="143" t="n">
        <v>378</v>
      </c>
      <c r="AZ65" s="143">
        <f>SUM(AW65:AY65)</f>
        <v/>
      </c>
      <c r="BA65" s="335">
        <f>(AW65*AB65)+((AX65+AY65)*AC65)</f>
        <v/>
      </c>
      <c r="BB65" s="141">
        <f>AN65-AW65</f>
        <v/>
      </c>
      <c r="BC65" s="141">
        <f>BB65*AB65</f>
        <v/>
      </c>
      <c r="BD65" s="141">
        <f>AO65-AX65</f>
        <v/>
      </c>
      <c r="BE65" s="141">
        <f>BD65*AC65</f>
        <v/>
      </c>
      <c r="BF65" s="141">
        <f>AP65-AY65</f>
        <v/>
      </c>
      <c r="BG65" s="141">
        <f>BF65*AC65</f>
        <v/>
      </c>
      <c r="BH65" s="141">
        <f>BB65+BD65+BF65</f>
        <v/>
      </c>
      <c r="BI65" s="141">
        <f>BC65+BE65+BG65</f>
        <v/>
      </c>
      <c r="BJ65" s="324">
        <f>BL65+BS65+BV65+BY65+CB65+CE65+CH65+CK65</f>
        <v/>
      </c>
      <c r="BK65" s="320">
        <f>((AI65+AW65)*AB65)+((AJ65+AK65+AX65+AY65)*AC65)</f>
        <v/>
      </c>
      <c r="BL65" s="132">
        <f>BM65+BN65+AL65</f>
        <v/>
      </c>
      <c r="BM65" s="133">
        <f>AW65</f>
        <v/>
      </c>
      <c r="BN65" s="133">
        <f>AX65+AY65</f>
        <v/>
      </c>
      <c r="BO65" s="328">
        <f>1.90183+0.56393</f>
        <v/>
      </c>
      <c r="BP65" s="328">
        <f>0.17979+0.35206</f>
        <v/>
      </c>
      <c r="BQ65" s="320">
        <f>BM65*BO65</f>
        <v/>
      </c>
      <c r="BR65" s="320">
        <f>BN65*BP65</f>
        <v/>
      </c>
      <c r="BS65" s="143" t="n"/>
      <c r="BT65" s="334" t="n"/>
      <c r="BU65" s="334" t="n"/>
      <c r="BV65" s="143" t="n"/>
      <c r="BW65" s="334" t="n"/>
      <c r="BX65" s="334" t="n"/>
      <c r="BY65" s="173" t="n"/>
      <c r="BZ65" s="326" t="n"/>
      <c r="CA65" s="173" t="n"/>
      <c r="CB65" s="173" t="n"/>
      <c r="CC65" s="326" t="n"/>
      <c r="CD65" s="143" t="n"/>
      <c r="CE65" s="143" t="n"/>
      <c r="CF65" s="334" t="n"/>
      <c r="CG65" s="143" t="n"/>
      <c r="CH65" s="143" t="n"/>
      <c r="CI65" s="334" t="n"/>
      <c r="CJ65" s="143" t="n"/>
      <c r="CK65" s="143" t="n"/>
      <c r="CL65" s="334" t="n"/>
      <c r="CM65" s="143" t="n"/>
      <c r="CN65" s="320">
        <f>BK65+BU65+BX65+CA65+CD65+CG65+CJ65+CM65</f>
        <v/>
      </c>
      <c r="CO65" s="154">
        <f>(AV65-(AZ65+BV65+BY65+CB65+CE65+CH65+CK65+BS65)+CO64)</f>
        <v/>
      </c>
      <c r="CP65" s="320">
        <f>CR65*G65</f>
        <v/>
      </c>
      <c r="CQ65" s="124">
        <f>AL65+AZ65+AQ65</f>
        <v/>
      </c>
      <c r="CR65" s="159">
        <f>AV65-AZ65-BS65-BV65-BY65-CB65</f>
        <v/>
      </c>
      <c r="CS65" s="155" t="n"/>
      <c r="CT65" s="155" t="n"/>
      <c r="CU65" s="177" t="n"/>
      <c r="CV65" s="177" t="n"/>
      <c r="CW65" s="325" t="n"/>
    </row>
    <row r="66" ht="19.9" customFormat="1" customHeight="1" s="67">
      <c r="A66" s="120" t="inlineStr">
        <is>
          <t>Casa do Pica-Pau</t>
        </is>
      </c>
      <c r="B66" s="65" t="n">
        <v>12084724</v>
      </c>
      <c r="C66" s="120" t="inlineStr">
        <is>
          <t>Matriz</t>
        </is>
      </c>
      <c r="D66" s="121" t="inlineStr">
        <is>
          <t xml:space="preserve">Goiânia </t>
        </is>
      </c>
      <c r="E66" s="121" t="n">
        <v>44834</v>
      </c>
      <c r="F66" s="122" t="n">
        <v>19509</v>
      </c>
      <c r="G66" s="320" t="n">
        <v>0.6879999999999999</v>
      </c>
      <c r="H66" s="124">
        <f>F66*G66</f>
        <v/>
      </c>
      <c r="I66" s="140" t="inlineStr">
        <is>
          <t>Novembro/2022</t>
        </is>
      </c>
      <c r="J66" s="144" t="inlineStr">
        <is>
          <t>3 Growatt de 50 KW</t>
        </is>
      </c>
      <c r="K66" s="66" t="inlineStr">
        <is>
          <t>272 de 550W</t>
        </is>
      </c>
      <c r="L66" s="140" t="n"/>
      <c r="M66" s="145" t="inlineStr">
        <is>
          <t>Março/2023</t>
        </is>
      </c>
      <c r="N66" s="145" t="inlineStr">
        <is>
          <t>01/03/2023 a 01/04/2023</t>
        </is>
      </c>
      <c r="O66" s="331" t="n">
        <v>10552.2</v>
      </c>
      <c r="P66" s="331" t="n">
        <v>0</v>
      </c>
      <c r="Q66" s="331" t="n">
        <v>2648.19</v>
      </c>
      <c r="R66" s="147" t="n"/>
      <c r="S66" s="331" t="n">
        <v>3.08</v>
      </c>
      <c r="T66" s="331" t="n">
        <v>0</v>
      </c>
      <c r="U66" s="331" t="n">
        <v>9.279999999999999</v>
      </c>
      <c r="V66" s="331" t="n">
        <v>0</v>
      </c>
      <c r="W66" s="331" t="n">
        <v>0</v>
      </c>
      <c r="X66" s="331" t="n"/>
      <c r="Y66" s="331" t="n"/>
      <c r="Z66" s="331" t="n"/>
      <c r="AA66" s="331" t="n"/>
      <c r="AB66" s="332">
        <f>1.89033+0.56053</f>
        <v/>
      </c>
      <c r="AC66" s="332">
        <f>0.17871+0.34992</f>
        <v/>
      </c>
      <c r="AD66" s="143" t="n">
        <v>0</v>
      </c>
      <c r="AE66" s="173" t="n">
        <v>14573.9</v>
      </c>
      <c r="AF66" s="143" t="n">
        <v>0</v>
      </c>
      <c r="AG66" s="143">
        <f>SUM(AD66:AF66)</f>
        <v/>
      </c>
      <c r="AH66" s="143">
        <f>(AD66*AB66)+((AE66+AF66)*AC66)</f>
        <v/>
      </c>
      <c r="AI66" s="143">
        <f>AD66-AS66</f>
        <v/>
      </c>
      <c r="AJ66" s="143">
        <f>AE66-AT66</f>
        <v/>
      </c>
      <c r="AK66" s="143">
        <f>AF66-AU66</f>
        <v/>
      </c>
      <c r="AL66" s="208">
        <f>SUM(AI66:AK66)</f>
        <v/>
      </c>
      <c r="AM66" s="336">
        <f>(AI66*AB66)+((AJ66+AK66)*AC66)</f>
        <v/>
      </c>
      <c r="AN66" s="124" t="n">
        <v>1844.8</v>
      </c>
      <c r="AO66" s="124" t="n">
        <v>8374.799999999999</v>
      </c>
      <c r="AP66" s="124" t="n">
        <v>2137.8</v>
      </c>
      <c r="AQ66" s="143">
        <f>SUM(AN66:AP66)</f>
        <v/>
      </c>
      <c r="AR66" s="331">
        <f>(AN66*AB66)+((AO66+AP66)*AC66)</f>
        <v/>
      </c>
      <c r="AS66" s="124" t="n">
        <v>0</v>
      </c>
      <c r="AT66" s="124" t="n">
        <v>4137</v>
      </c>
      <c r="AU66" s="124" t="n">
        <v>0</v>
      </c>
      <c r="AV66" s="124">
        <f>SUM(AS66:AU66)</f>
        <v/>
      </c>
      <c r="AW66" s="124" t="n">
        <v>0</v>
      </c>
      <c r="AX66" s="124" t="n">
        <v>4137</v>
      </c>
      <c r="AY66" s="124" t="n">
        <v>0</v>
      </c>
      <c r="AZ66" s="124">
        <f>SUM(AW66:AY66)</f>
        <v/>
      </c>
      <c r="BA66" s="335">
        <f>(AW66*AB66)+((AX66+AY66)*AC66)</f>
        <v/>
      </c>
      <c r="BB66" s="122">
        <f>AN66-AW66</f>
        <v/>
      </c>
      <c r="BC66" s="141">
        <f>BB66*AB66</f>
        <v/>
      </c>
      <c r="BD66" s="122">
        <f>AO66-AX66</f>
        <v/>
      </c>
      <c r="BE66" s="122">
        <f>BD66*AC66</f>
        <v/>
      </c>
      <c r="BF66" s="122">
        <f>AP66-AY66</f>
        <v/>
      </c>
      <c r="BG66" s="122">
        <f>BF66*AC66</f>
        <v/>
      </c>
      <c r="BH66" s="122">
        <f>BB66+BD66+BF66</f>
        <v/>
      </c>
      <c r="BI66" s="122">
        <f>BC66+BE66+BG66</f>
        <v/>
      </c>
      <c r="BJ66" s="324">
        <f>BL66+BS66+BV66+BY66+CB66+CE66+CH66+CK66</f>
        <v/>
      </c>
      <c r="BK66" s="320">
        <f>((AI66+AW66)*AB66)+((AJ66+AK66+AX66+AY66)*AC66)</f>
        <v/>
      </c>
      <c r="BL66" s="132">
        <f>BM66+BN66+AL66</f>
        <v/>
      </c>
      <c r="BM66" s="133">
        <f>AW66</f>
        <v/>
      </c>
      <c r="BN66" s="133">
        <f>AX66+AY66</f>
        <v/>
      </c>
      <c r="BO66" s="340">
        <f>1.89033+0.56053</f>
        <v/>
      </c>
      <c r="BP66" s="340">
        <f>0.17871+0.34992</f>
        <v/>
      </c>
      <c r="BQ66" s="320">
        <f>BM66*BO66</f>
        <v/>
      </c>
      <c r="BR66" s="320">
        <f>BN66*BP66</f>
        <v/>
      </c>
      <c r="BS66" s="124" t="n"/>
      <c r="BT66" s="320" t="n"/>
      <c r="BU66" s="320" t="n"/>
      <c r="BV66" s="124" t="n"/>
      <c r="BW66" s="320" t="n"/>
      <c r="BX66" s="320" t="n"/>
      <c r="BY66" s="124" t="n"/>
      <c r="BZ66" s="320" t="n"/>
      <c r="CA66" s="124" t="n"/>
      <c r="CB66" s="124" t="n"/>
      <c r="CC66" s="320" t="n"/>
      <c r="CD66" s="124" t="n"/>
      <c r="CE66" s="124" t="n"/>
      <c r="CF66" s="320" t="n"/>
      <c r="CG66" s="124" t="n"/>
      <c r="CH66" s="124" t="n"/>
      <c r="CI66" s="320" t="n"/>
      <c r="CJ66" s="124" t="n"/>
      <c r="CK66" s="124" t="n"/>
      <c r="CL66" s="320" t="n"/>
      <c r="CM66" s="124" t="n"/>
      <c r="CN66" s="320">
        <f>BK66+BU66+BX66+CA66+CD66+CG66+CJ66+CM66</f>
        <v/>
      </c>
      <c r="CO66" s="154">
        <f>(AV66-(AZ66+BV66+BY66+CB66+CE66+CH66+CK66+BS66)+CO65)</f>
        <v/>
      </c>
      <c r="CP66" s="320">
        <f>CR66*G66</f>
        <v/>
      </c>
      <c r="CQ66" s="124">
        <f>AL66+AZ66+AQ66</f>
        <v/>
      </c>
      <c r="CR66" s="159">
        <f>AV66-AZ66-BS66-BV66-BY66-CB66</f>
        <v/>
      </c>
      <c r="CS66" s="155" t="n"/>
      <c r="CT66" s="155" t="n"/>
      <c r="CU66" s="177" t="n"/>
      <c r="CV66" s="177" t="n"/>
      <c r="CW66" s="325" t="n"/>
    </row>
    <row r="67" ht="19.9" customFormat="1" customHeight="1" s="67">
      <c r="A67" s="233" t="inlineStr">
        <is>
          <t>Casa do Pica-Pau</t>
        </is>
      </c>
      <c r="B67" s="66" t="n">
        <v>12084724</v>
      </c>
      <c r="C67" s="233" t="inlineStr">
        <is>
          <t>Matriz</t>
        </is>
      </c>
      <c r="D67" s="140" t="inlineStr">
        <is>
          <t xml:space="preserve">Goiânia </t>
        </is>
      </c>
      <c r="E67" s="140" t="n">
        <v>44834</v>
      </c>
      <c r="F67" s="141" t="n">
        <v>19509</v>
      </c>
      <c r="G67" s="326" t="n">
        <v>0.6879999999999999</v>
      </c>
      <c r="H67" s="173">
        <f>F67*G67</f>
        <v/>
      </c>
      <c r="I67" s="121" t="inlineStr">
        <is>
          <t>Novembro/2022</t>
        </is>
      </c>
      <c r="J67" s="125" t="inlineStr">
        <is>
          <t>3 Growatt de 50 KW</t>
        </is>
      </c>
      <c r="K67" s="65" t="inlineStr">
        <is>
          <t>272 de 550W</t>
        </is>
      </c>
      <c r="L67" s="121" t="n"/>
      <c r="M67" s="126" t="inlineStr">
        <is>
          <t>Abril/2023</t>
        </is>
      </c>
      <c r="N67" s="126" t="inlineStr">
        <is>
          <t>01/04/2023 a 01/05/2023</t>
        </is>
      </c>
      <c r="O67" s="321" t="n">
        <v>9264.799999999999</v>
      </c>
      <c r="P67" s="321" t="n">
        <v>0</v>
      </c>
      <c r="Q67" s="321" t="n">
        <v>2658.61</v>
      </c>
      <c r="R67" s="207" t="n"/>
      <c r="S67" s="321" t="n">
        <v>0</v>
      </c>
      <c r="T67" s="321" t="n">
        <v>0</v>
      </c>
      <c r="U67" s="321" t="n">
        <v>9.93</v>
      </c>
      <c r="V67" s="321" t="n">
        <v>0</v>
      </c>
      <c r="W67" s="321" t="n">
        <v>0</v>
      </c>
      <c r="X67" s="321" t="n"/>
      <c r="Y67" s="321" t="n"/>
      <c r="Z67" s="321" t="n"/>
      <c r="AA67" s="321" t="n"/>
      <c r="AB67" s="322">
        <f>1.89777+0.56273</f>
        <v/>
      </c>
      <c r="AC67" s="322">
        <f>0.1794+0.35131</f>
        <v/>
      </c>
      <c r="AD67" s="124" t="n">
        <v>0</v>
      </c>
      <c r="AE67" s="124" t="n">
        <v>14144.5</v>
      </c>
      <c r="AF67" s="124" t="n">
        <v>0</v>
      </c>
      <c r="AG67" s="124">
        <f>SUM(AD67:AF67)</f>
        <v/>
      </c>
      <c r="AH67" s="124">
        <f>(AD67*AB67)+((AE67+AF67)*AC67)</f>
        <v/>
      </c>
      <c r="AI67" s="124">
        <f>AD67-AS67</f>
        <v/>
      </c>
      <c r="AJ67" s="124">
        <f>AE67-AT67</f>
        <v/>
      </c>
      <c r="AK67" s="124">
        <f>AF67-AU67</f>
        <v/>
      </c>
      <c r="AL67" s="210">
        <f>SUM(AI67:AK67)</f>
        <v/>
      </c>
      <c r="AM67" s="337">
        <f>(AI67*AB67)+((AJ67+AK67)*AC67)</f>
        <v/>
      </c>
      <c r="AN67" s="143" t="n">
        <v>1539.51</v>
      </c>
      <c r="AO67" s="143" t="n">
        <v>7463.4</v>
      </c>
      <c r="AP67" s="143" t="n">
        <v>2301.6</v>
      </c>
      <c r="AQ67" s="124">
        <f>SUM(AN67:AP67)</f>
        <v/>
      </c>
      <c r="AR67" s="321">
        <f>(AN67*AB67)+((AO67+AP67)*AC67)</f>
        <v/>
      </c>
      <c r="AS67" s="143" t="n">
        <v>0</v>
      </c>
      <c r="AT67" s="143" t="n">
        <v>4473</v>
      </c>
      <c r="AU67" s="143" t="n">
        <v>0</v>
      </c>
      <c r="AV67" s="143">
        <f>SUM(AS67:AU67)</f>
        <v/>
      </c>
      <c r="AW67" s="143" t="n">
        <v>0</v>
      </c>
      <c r="AX67" s="143" t="n">
        <v>4473</v>
      </c>
      <c r="AY67" s="143" t="n">
        <v>0</v>
      </c>
      <c r="AZ67" s="143">
        <f>SUM(AW67:AY67)</f>
        <v/>
      </c>
      <c r="BA67" s="335">
        <f>(AW67*AB67)+((AX67+AY67)*AC67)</f>
        <v/>
      </c>
      <c r="BB67" s="141">
        <f>AN67-AW67</f>
        <v/>
      </c>
      <c r="BC67" s="141">
        <f>BB67*AB67</f>
        <v/>
      </c>
      <c r="BD67" s="141">
        <f>AO67-AX67</f>
        <v/>
      </c>
      <c r="BE67" s="141">
        <f>BD67*AC67</f>
        <v/>
      </c>
      <c r="BF67" s="141">
        <f>AP67-AY67</f>
        <v/>
      </c>
      <c r="BG67" s="141">
        <f>BF67*AC67</f>
        <v/>
      </c>
      <c r="BH67" s="141">
        <f>BB67+BD67+BF67</f>
        <v/>
      </c>
      <c r="BI67" s="141">
        <f>BC67+BE67+BG67</f>
        <v/>
      </c>
      <c r="BJ67" s="324">
        <f>BL67+BS67+BV67+BY67+CB67+CE67+CH67+CK67</f>
        <v/>
      </c>
      <c r="BK67" s="320">
        <f>((AI67+AW67)*AB67)+((AJ67+AK67+AX67+AY67)*AC67)</f>
        <v/>
      </c>
      <c r="BL67" s="132">
        <f>BM67+BN67+AL67</f>
        <v/>
      </c>
      <c r="BM67" s="133">
        <f>AW67</f>
        <v/>
      </c>
      <c r="BN67" s="133">
        <f>AX67+AY67</f>
        <v/>
      </c>
      <c r="BO67" s="328">
        <f>1.89777+0.56273</f>
        <v/>
      </c>
      <c r="BP67" s="328">
        <f>0.1794+0.35131</f>
        <v/>
      </c>
      <c r="BQ67" s="320">
        <f>BM67*BO67</f>
        <v/>
      </c>
      <c r="BR67" s="320">
        <f>BN67*BP67</f>
        <v/>
      </c>
      <c r="BS67" s="143" t="n"/>
      <c r="BT67" s="334" t="n"/>
      <c r="BU67" s="334" t="n"/>
      <c r="BV67" s="143" t="n"/>
      <c r="BW67" s="334" t="n"/>
      <c r="BX67" s="334" t="n"/>
      <c r="BY67" s="173" t="n"/>
      <c r="BZ67" s="326" t="n"/>
      <c r="CA67" s="173" t="n"/>
      <c r="CB67" s="173" t="n"/>
      <c r="CC67" s="326" t="n"/>
      <c r="CD67" s="143" t="n"/>
      <c r="CE67" s="143" t="n"/>
      <c r="CF67" s="334" t="n"/>
      <c r="CG67" s="143" t="n"/>
      <c r="CH67" s="143" t="n"/>
      <c r="CI67" s="334" t="n"/>
      <c r="CJ67" s="143" t="n"/>
      <c r="CK67" s="143" t="n"/>
      <c r="CL67" s="334" t="n"/>
      <c r="CM67" s="143" t="n"/>
      <c r="CN67" s="320">
        <f>BK67+BU67+BX67+CA67+CD67+CG67+CJ67+CM67</f>
        <v/>
      </c>
      <c r="CO67" s="154">
        <f>(AV67-(AZ67+BV67+BY67+CB67+CE67+CH67+CK67+BS67)+CO66)</f>
        <v/>
      </c>
      <c r="CP67" s="320">
        <f>CR67*G67</f>
        <v/>
      </c>
      <c r="CQ67" s="124">
        <f>AL67+AZ67+AQ67</f>
        <v/>
      </c>
      <c r="CR67" s="159">
        <f>AV67-AZ67-BS67-BV67-BY67-CB67</f>
        <v/>
      </c>
      <c r="CS67" s="155" t="n"/>
      <c r="CT67" s="155" t="n"/>
      <c r="CU67" s="177" t="n"/>
      <c r="CV67" s="177" t="n"/>
      <c r="CW67" s="325" t="n"/>
    </row>
    <row r="68" ht="19.9" customFormat="1" customHeight="1" s="67">
      <c r="A68" s="120" t="inlineStr">
        <is>
          <t>Casa do Pica-Pau</t>
        </is>
      </c>
      <c r="B68" s="65" t="n">
        <v>12084724</v>
      </c>
      <c r="C68" s="120" t="inlineStr">
        <is>
          <t>Matriz</t>
        </is>
      </c>
      <c r="D68" s="121" t="inlineStr">
        <is>
          <t xml:space="preserve">Goiânia </t>
        </is>
      </c>
      <c r="E68" s="121" t="n">
        <v>44834</v>
      </c>
      <c r="F68" s="122" t="n">
        <v>19509</v>
      </c>
      <c r="G68" s="320" t="n">
        <v>0.6879999999999999</v>
      </c>
      <c r="H68" s="124">
        <f>F68*G68</f>
        <v/>
      </c>
      <c r="I68" s="140" t="inlineStr">
        <is>
          <t>Novembro/2022</t>
        </is>
      </c>
      <c r="J68" s="144" t="inlineStr">
        <is>
          <t>3 Growatt de 50 KW</t>
        </is>
      </c>
      <c r="K68" s="66" t="inlineStr">
        <is>
          <t>272 de 550W</t>
        </is>
      </c>
      <c r="L68" s="140" t="n"/>
      <c r="M68" s="145" t="inlineStr">
        <is>
          <t>Maio/2023</t>
        </is>
      </c>
      <c r="N68" s="145" t="inlineStr">
        <is>
          <t>01/05/2023 a 01/06/2023</t>
        </is>
      </c>
      <c r="O68" s="331" t="n">
        <v>8920.48</v>
      </c>
      <c r="P68" s="331" t="n">
        <v>0</v>
      </c>
      <c r="Q68" s="331" t="n">
        <v>2537.21</v>
      </c>
      <c r="R68" s="147" t="n"/>
      <c r="S68" s="331" t="n">
        <v>4.44</v>
      </c>
      <c r="T68" s="331" t="n">
        <v>0</v>
      </c>
      <c r="U68" s="331" t="n">
        <v>9.949999999999999</v>
      </c>
      <c r="V68" s="331" t="n">
        <v>0</v>
      </c>
      <c r="W68" s="331" t="n">
        <v>0</v>
      </c>
      <c r="X68" s="331" t="n"/>
      <c r="Y68" s="331" t="n"/>
      <c r="Z68" s="331" t="n"/>
      <c r="AA68" s="331" t="n"/>
      <c r="AB68" s="332">
        <f>1.811117+0.537045</f>
        <v/>
      </c>
      <c r="AC68" s="332">
        <f>0.171223+0.335271</f>
        <v/>
      </c>
      <c r="AD68" s="143" t="n">
        <v>0</v>
      </c>
      <c r="AE68" s="173" t="n">
        <v>15141.16</v>
      </c>
      <c r="AF68" s="143" t="n">
        <v>0</v>
      </c>
      <c r="AG68" s="143">
        <f>SUM(AD68:AF68)</f>
        <v/>
      </c>
      <c r="AH68" s="143">
        <f>(AD68*AB68)+((AE68+AF68)*AC68)</f>
        <v/>
      </c>
      <c r="AI68" s="143">
        <f>AD68-AS68</f>
        <v/>
      </c>
      <c r="AJ68" s="143">
        <f>AE68-AT68</f>
        <v/>
      </c>
      <c r="AK68" s="143">
        <f>AF68-AU68</f>
        <v/>
      </c>
      <c r="AL68" s="208">
        <f>SUM(AI68:AK68)</f>
        <v/>
      </c>
      <c r="AM68" s="336">
        <f>(AI68*AB68)+((AJ68+AK68)*AC68)</f>
        <v/>
      </c>
      <c r="AN68" s="124" t="n">
        <v>1874.29</v>
      </c>
      <c r="AO68" s="124" t="n">
        <v>6249.6</v>
      </c>
      <c r="AP68" s="124" t="n">
        <v>2234.4</v>
      </c>
      <c r="AQ68" s="143">
        <f>SUM(AN68:AP68)</f>
        <v/>
      </c>
      <c r="AR68" s="331">
        <f>(AN68*AB68)+((AO68+AP68)*AC68)</f>
        <v/>
      </c>
      <c r="AS68" s="124" t="n">
        <v>0</v>
      </c>
      <c r="AT68" s="124" t="n">
        <v>4599</v>
      </c>
      <c r="AU68" s="124" t="n">
        <v>0</v>
      </c>
      <c r="AV68" s="124">
        <f>SUM(AS68:AU68)</f>
        <v/>
      </c>
      <c r="AW68" s="124" t="n">
        <v>0</v>
      </c>
      <c r="AX68" s="124" t="n">
        <v>4599</v>
      </c>
      <c r="AY68" s="124" t="n">
        <v>0</v>
      </c>
      <c r="AZ68" s="124">
        <f>SUM(AW68:AY68)</f>
        <v/>
      </c>
      <c r="BA68" s="335">
        <f>(AW68*AB68)+((AX68+AY68)*AC68)</f>
        <v/>
      </c>
      <c r="BB68" s="122">
        <f>AN68-AW68</f>
        <v/>
      </c>
      <c r="BC68" s="141">
        <f>BB68*AB68</f>
        <v/>
      </c>
      <c r="BD68" s="122">
        <f>AO68-AX68</f>
        <v/>
      </c>
      <c r="BE68" s="122">
        <f>BD68*AC68</f>
        <v/>
      </c>
      <c r="BF68" s="122">
        <f>AP68-AY68</f>
        <v/>
      </c>
      <c r="BG68" s="122">
        <f>BF68*AC68</f>
        <v/>
      </c>
      <c r="BH68" s="122">
        <f>BB68+BD68+BF68</f>
        <v/>
      </c>
      <c r="BI68" s="122">
        <f>BC68+BE68+BG68</f>
        <v/>
      </c>
      <c r="BJ68" s="324">
        <f>BL68+BS68+BV68+BY68+CB68+CE68+CH68+CK68</f>
        <v/>
      </c>
      <c r="BK68" s="320">
        <f>((AI68+AW68)*AB68)+((AJ68+AK68+AX68+AY68)*AC68)</f>
        <v/>
      </c>
      <c r="BL68" s="132">
        <f>BM68+BN68+AL68</f>
        <v/>
      </c>
      <c r="BM68" s="133">
        <f>AW68</f>
        <v/>
      </c>
      <c r="BN68" s="133">
        <f>AX68+AY68</f>
        <v/>
      </c>
      <c r="BO68" s="340">
        <f>1.811117+0.537045</f>
        <v/>
      </c>
      <c r="BP68" s="340">
        <f>0.171223+0.335271</f>
        <v/>
      </c>
      <c r="BQ68" s="320">
        <f>BM68*BO68</f>
        <v/>
      </c>
      <c r="BR68" s="320">
        <f>BN68*BP68</f>
        <v/>
      </c>
      <c r="BS68" s="124" t="n"/>
      <c r="BT68" s="320" t="n"/>
      <c r="BU68" s="320" t="n"/>
      <c r="BV68" s="124" t="n"/>
      <c r="BW68" s="320" t="n"/>
      <c r="BX68" s="320" t="n"/>
      <c r="BY68" s="124" t="n"/>
      <c r="BZ68" s="320" t="n"/>
      <c r="CA68" s="124" t="n"/>
      <c r="CB68" s="124" t="n"/>
      <c r="CC68" s="320" t="n"/>
      <c r="CD68" s="124" t="n"/>
      <c r="CE68" s="124" t="n"/>
      <c r="CF68" s="320" t="n"/>
      <c r="CG68" s="124" t="n"/>
      <c r="CH68" s="124" t="n"/>
      <c r="CI68" s="320" t="n"/>
      <c r="CJ68" s="124" t="n"/>
      <c r="CK68" s="124" t="n"/>
      <c r="CL68" s="320" t="n"/>
      <c r="CM68" s="124" t="n"/>
      <c r="CN68" s="320">
        <f>BK68+BU68+BX68+CA68+CD68+CG68+CJ68+CM68</f>
        <v/>
      </c>
      <c r="CO68" s="154">
        <f>(AV68-(AZ68+BV68+BY68+CB68+CE68+CH68+CK68+BS68)+CO67)</f>
        <v/>
      </c>
      <c r="CP68" s="320">
        <f>CR68*G68</f>
        <v/>
      </c>
      <c r="CQ68" s="124">
        <f>AL68+AZ68+AQ68</f>
        <v/>
      </c>
      <c r="CR68" s="159">
        <f>AV68-AZ68-BS68-BV68-BY68-CB68</f>
        <v/>
      </c>
      <c r="CS68" s="155" t="n"/>
      <c r="CT68" s="155" t="n"/>
      <c r="CU68" s="177" t="n"/>
      <c r="CV68" s="177" t="n"/>
      <c r="CW68" s="325" t="n"/>
    </row>
    <row r="69" ht="19.9" customFormat="1" customHeight="1" s="67">
      <c r="A69" s="233" t="inlineStr">
        <is>
          <t>Casa do Pica-Pau</t>
        </is>
      </c>
      <c r="B69" s="66" t="n">
        <v>12084724</v>
      </c>
      <c r="C69" s="233" t="inlineStr">
        <is>
          <t>Matriz</t>
        </is>
      </c>
      <c r="D69" s="140" t="inlineStr">
        <is>
          <t xml:space="preserve">Goiânia </t>
        </is>
      </c>
      <c r="E69" s="140" t="n">
        <v>44834</v>
      </c>
      <c r="F69" s="141" t="n">
        <v>19509</v>
      </c>
      <c r="G69" s="326" t="n">
        <v>0.6879999999999999</v>
      </c>
      <c r="H69" s="173">
        <f>F69*G69</f>
        <v/>
      </c>
      <c r="I69" s="121" t="inlineStr">
        <is>
          <t>Novembro/2022</t>
        </is>
      </c>
      <c r="J69" s="125" t="inlineStr">
        <is>
          <t>3 Growatt de 50 KW</t>
        </is>
      </c>
      <c r="K69" s="65" t="inlineStr">
        <is>
          <t>272 de 550W</t>
        </is>
      </c>
      <c r="L69" s="121" t="n"/>
      <c r="M69" s="126" t="inlineStr">
        <is>
          <t>Junho/2023</t>
        </is>
      </c>
      <c r="N69" s="126" t="inlineStr">
        <is>
          <t>01/06/2023 a 01/07/2023</t>
        </is>
      </c>
      <c r="O69" s="321" t="n">
        <v>10438.7</v>
      </c>
      <c r="P69" s="321" t="n">
        <v>0</v>
      </c>
      <c r="Q69" s="321" t="n">
        <v>4282.59</v>
      </c>
      <c r="R69" s="207" t="n"/>
      <c r="S69" s="321" t="n">
        <v>3</v>
      </c>
      <c r="T69" s="321" t="n">
        <v>0</v>
      </c>
      <c r="U69" s="321" t="n">
        <v>9.5</v>
      </c>
      <c r="V69" s="321" t="n">
        <v>0</v>
      </c>
      <c r="W69" s="321" t="n">
        <v>0</v>
      </c>
      <c r="X69" s="321" t="n"/>
      <c r="Y69" s="321" t="n"/>
      <c r="Z69" s="321" t="n"/>
      <c r="AA69" s="321" t="n"/>
      <c r="AB69" s="322">
        <f>1.834207+0.543892</f>
        <v/>
      </c>
      <c r="AC69" s="322">
        <f>0.173406+0.339545</f>
        <v/>
      </c>
      <c r="AD69" s="124" t="n">
        <v>0</v>
      </c>
      <c r="AE69" s="124" t="n">
        <v>11650.96</v>
      </c>
      <c r="AF69" s="124" t="n">
        <v>0</v>
      </c>
      <c r="AG69" s="124">
        <f>SUM(AD69:AF69)</f>
        <v/>
      </c>
      <c r="AH69" s="124">
        <f>(AD69*AB69)+((AE69+AF69)*AC69)</f>
        <v/>
      </c>
      <c r="AI69" s="124">
        <f>AD69-AS69</f>
        <v/>
      </c>
      <c r="AJ69" s="124">
        <f>AE69-AT69</f>
        <v/>
      </c>
      <c r="AK69" s="124">
        <f>AF69-AU69</f>
        <v/>
      </c>
      <c r="AL69" s="210">
        <f>SUM(AI69:AK69)</f>
        <v/>
      </c>
      <c r="AM69" s="337">
        <f>(AI69*AB69)+((AJ69+AK69)*AC69)</f>
        <v/>
      </c>
      <c r="AN69" s="143" t="n">
        <v>1595.95</v>
      </c>
      <c r="AO69" s="143" t="n">
        <v>5947.2</v>
      </c>
      <c r="AP69" s="143" t="n">
        <v>2074.8</v>
      </c>
      <c r="AQ69" s="124">
        <f>SUM(AN69:AP69)</f>
        <v/>
      </c>
      <c r="AR69" s="321">
        <f>(AN69*AB69)+((AO69+AP69)*AC69)</f>
        <v/>
      </c>
      <c r="AS69" s="143" t="n">
        <v>0</v>
      </c>
      <c r="AT69" s="143" t="n">
        <v>3444</v>
      </c>
      <c r="AU69" s="143" t="n">
        <v>0</v>
      </c>
      <c r="AV69" s="143">
        <f>SUM(AS69:AU69)</f>
        <v/>
      </c>
      <c r="AW69" s="143" t="n">
        <v>0</v>
      </c>
      <c r="AX69" s="143" t="n">
        <v>3444</v>
      </c>
      <c r="AY69" s="143" t="n">
        <v>0</v>
      </c>
      <c r="AZ69" s="143">
        <f>SUM(AW69:AY69)</f>
        <v/>
      </c>
      <c r="BA69" s="335">
        <f>(AW69*AB69)+((AX69+AY69)*AC69)</f>
        <v/>
      </c>
      <c r="BB69" s="141">
        <f>AN69-AW69</f>
        <v/>
      </c>
      <c r="BC69" s="141">
        <f>BB69*AB69</f>
        <v/>
      </c>
      <c r="BD69" s="141">
        <f>AO69-AX69</f>
        <v/>
      </c>
      <c r="BE69" s="141">
        <f>BD69*AC69</f>
        <v/>
      </c>
      <c r="BF69" s="141">
        <f>AP69-AY69</f>
        <v/>
      </c>
      <c r="BG69" s="141">
        <f>BF69*AC69</f>
        <v/>
      </c>
      <c r="BH69" s="141">
        <f>BB69+BD69+BF69</f>
        <v/>
      </c>
      <c r="BI69" s="141">
        <f>BC69+BE69+BG69</f>
        <v/>
      </c>
      <c r="BJ69" s="324">
        <f>BL69+BS69+BV69+BY69+CB69+CE69+CH69+CK69</f>
        <v/>
      </c>
      <c r="BK69" s="320">
        <f>((AI69+AW69)*AB69)+((AJ69+AK69+AX69+AY69)*AC69)</f>
        <v/>
      </c>
      <c r="BL69" s="132">
        <f>BM69+BN69+AL69</f>
        <v/>
      </c>
      <c r="BM69" s="133">
        <f>AW69</f>
        <v/>
      </c>
      <c r="BN69" s="133">
        <f>AX69+AY69</f>
        <v/>
      </c>
      <c r="BO69" s="328">
        <f>1.834207+0.543892</f>
        <v/>
      </c>
      <c r="BP69" s="328">
        <f>0.173406+0.339545</f>
        <v/>
      </c>
      <c r="BQ69" s="320">
        <f>BM69*BO69</f>
        <v/>
      </c>
      <c r="BR69" s="320">
        <f>BN69*BP69</f>
        <v/>
      </c>
      <c r="BS69" s="143" t="n"/>
      <c r="BT69" s="334" t="n"/>
      <c r="BU69" s="334" t="n"/>
      <c r="BV69" s="143" t="n"/>
      <c r="BW69" s="334" t="n"/>
      <c r="BX69" s="334" t="n"/>
      <c r="BY69" s="173" t="n"/>
      <c r="BZ69" s="326" t="n"/>
      <c r="CA69" s="173" t="n"/>
      <c r="CB69" s="173" t="n"/>
      <c r="CC69" s="326" t="n"/>
      <c r="CD69" s="143" t="n"/>
      <c r="CE69" s="143" t="n"/>
      <c r="CF69" s="334" t="n"/>
      <c r="CG69" s="143" t="n"/>
      <c r="CH69" s="143" t="n"/>
      <c r="CI69" s="334" t="n"/>
      <c r="CJ69" s="143" t="n"/>
      <c r="CK69" s="143" t="n"/>
      <c r="CL69" s="334" t="n"/>
      <c r="CM69" s="143" t="n"/>
      <c r="CN69" s="320">
        <f>BK69+BU69+BX69+CA69+CD69+CG69+CJ69+CM69</f>
        <v/>
      </c>
      <c r="CO69" s="154">
        <f>(AV69-(AZ69+BV69+BY69+CB69+CE69+CH69+CK69+BS69)+CO68)</f>
        <v/>
      </c>
      <c r="CP69" s="320">
        <f>CR69*G69</f>
        <v/>
      </c>
      <c r="CQ69" s="124">
        <f>AL69+AZ69+AQ69</f>
        <v/>
      </c>
      <c r="CR69" s="159">
        <f>AV69-AZ69-BS69-BV69-BY69-CB69</f>
        <v/>
      </c>
      <c r="CS69" s="155" t="n"/>
      <c r="CT69" s="155" t="n"/>
      <c r="CU69" s="177" t="n"/>
      <c r="CV69" s="177" t="n"/>
      <c r="CW69" s="325" t="n"/>
    </row>
    <row r="70" ht="19.9" customFormat="1" customHeight="1" s="67">
      <c r="A70" s="120" t="inlineStr">
        <is>
          <t>Casa do Pica-Pau</t>
        </is>
      </c>
      <c r="B70" s="65" t="n">
        <v>12084724</v>
      </c>
      <c r="C70" s="120" t="inlineStr">
        <is>
          <t>Matriz</t>
        </is>
      </c>
      <c r="D70" s="121" t="inlineStr">
        <is>
          <t xml:space="preserve">Goiânia </t>
        </is>
      </c>
      <c r="E70" s="121" t="n">
        <v>44834</v>
      </c>
      <c r="F70" s="122" t="n">
        <v>19509</v>
      </c>
      <c r="G70" s="320" t="n">
        <v>0.6879999999999999</v>
      </c>
      <c r="H70" s="124">
        <f>F70*G70</f>
        <v/>
      </c>
      <c r="I70" s="140" t="inlineStr">
        <is>
          <t>Novembro/2022</t>
        </is>
      </c>
      <c r="J70" s="144" t="inlineStr">
        <is>
          <t>3 Growatt de 50 KW</t>
        </is>
      </c>
      <c r="K70" s="66" t="inlineStr">
        <is>
          <t>272 de 550W</t>
        </is>
      </c>
      <c r="L70" s="140" t="n"/>
      <c r="M70" s="145" t="inlineStr">
        <is>
          <t>Julho/2023</t>
        </is>
      </c>
      <c r="N70" s="145" t="inlineStr">
        <is>
          <t>01/07/2023 a 01/08/2023</t>
        </is>
      </c>
      <c r="O70" s="331" t="n">
        <v>11090</v>
      </c>
      <c r="P70" s="331" t="n">
        <v>0</v>
      </c>
      <c r="Q70" s="331" t="n">
        <v>4331.9</v>
      </c>
      <c r="R70" s="147" t="n"/>
      <c r="S70" s="331" t="n">
        <v>10.6</v>
      </c>
      <c r="T70" s="331" t="n">
        <v>0</v>
      </c>
      <c r="U70" s="331" t="n">
        <v>10.18</v>
      </c>
      <c r="V70" s="331" t="n">
        <v>0</v>
      </c>
      <c r="W70" s="331" t="n">
        <v>0</v>
      </c>
      <c r="X70" s="331" t="n"/>
      <c r="Y70" s="331" t="n"/>
      <c r="Z70" s="331" t="n"/>
      <c r="AA70" s="331" t="n"/>
      <c r="AB70" s="332">
        <f>1.855328+0.550155</f>
        <v/>
      </c>
      <c r="AC70" s="332">
        <f>0.175404+0.343454</f>
        <v/>
      </c>
      <c r="AD70" s="143" t="n">
        <v>0</v>
      </c>
      <c r="AE70" s="173" t="n">
        <v>11742.04</v>
      </c>
      <c r="AF70" s="143" t="n">
        <v>0</v>
      </c>
      <c r="AG70" s="143">
        <f>SUM(AD70:AF70)</f>
        <v/>
      </c>
      <c r="AH70" s="143">
        <f>(AD70*AB70)+((AE70+AF70)*AC70)</f>
        <v/>
      </c>
      <c r="AI70" s="143">
        <f>AD70-AS70</f>
        <v/>
      </c>
      <c r="AJ70" s="143">
        <f>AE70-AT70</f>
        <v/>
      </c>
      <c r="AK70" s="143">
        <f>AF70-AU70</f>
        <v/>
      </c>
      <c r="AL70" s="208">
        <f>SUM(AI70:AK70)</f>
        <v/>
      </c>
      <c r="AM70" s="336">
        <f>(AI70*AB70)+((AJ70+AK70)*AC70)</f>
        <v/>
      </c>
      <c r="AN70" s="124" t="n">
        <v>1628.55</v>
      </c>
      <c r="AO70" s="124" t="n">
        <v>6522.6</v>
      </c>
      <c r="AP70" s="124" t="n">
        <v>2272.2</v>
      </c>
      <c r="AQ70" s="143">
        <f>SUM(AN70:AP70)</f>
        <v/>
      </c>
      <c r="AR70" s="331">
        <f>(AN70*AB70)+((AO70+AP70)*AC70)</f>
        <v/>
      </c>
      <c r="AS70" s="124" t="n">
        <v>0</v>
      </c>
      <c r="AT70" s="124" t="n">
        <v>3360</v>
      </c>
      <c r="AU70" s="124" t="n">
        <v>0</v>
      </c>
      <c r="AV70" s="124">
        <f>SUM(AS70:AU70)</f>
        <v/>
      </c>
      <c r="AW70" s="124" t="n">
        <v>0</v>
      </c>
      <c r="AX70" s="124" t="n">
        <v>3360</v>
      </c>
      <c r="AY70" s="124" t="n">
        <v>0</v>
      </c>
      <c r="AZ70" s="124">
        <f>SUM(AW70:AY70)</f>
        <v/>
      </c>
      <c r="BA70" s="335">
        <f>(AW70*AB70)+((AX70+AY70)*AC70)</f>
        <v/>
      </c>
      <c r="BB70" s="122">
        <f>AN70-AW70</f>
        <v/>
      </c>
      <c r="BC70" s="141">
        <f>BB70*AB70</f>
        <v/>
      </c>
      <c r="BD70" s="122">
        <f>AO70-AX70</f>
        <v/>
      </c>
      <c r="BE70" s="122">
        <f>BD70*AC70</f>
        <v/>
      </c>
      <c r="BF70" s="122">
        <f>AP70-AY70</f>
        <v/>
      </c>
      <c r="BG70" s="122">
        <f>BF70*AC70</f>
        <v/>
      </c>
      <c r="BH70" s="122">
        <f>BB70+BD70+BF70</f>
        <v/>
      </c>
      <c r="BI70" s="122">
        <f>BC70+BE70+BG70</f>
        <v/>
      </c>
      <c r="BJ70" s="324">
        <f>BL70+BS70+BV70+BY70+CB70+CE70+CH70+CK70</f>
        <v/>
      </c>
      <c r="BK70" s="320">
        <f>((AI70+AW70)*AB70)+((AJ70+AK70+AX70+AY70)*AC70)</f>
        <v/>
      </c>
      <c r="BL70" s="132">
        <f>BM70+BN70+AL70</f>
        <v/>
      </c>
      <c r="BM70" s="133">
        <f>AW70</f>
        <v/>
      </c>
      <c r="BN70" s="133">
        <f>AX70+AY70</f>
        <v/>
      </c>
      <c r="BO70" s="340">
        <f>1.855328+0.550155</f>
        <v/>
      </c>
      <c r="BP70" s="340">
        <f>0.175404+0.343454</f>
        <v/>
      </c>
      <c r="BQ70" s="320">
        <f>BM70*BO70</f>
        <v/>
      </c>
      <c r="BR70" s="320">
        <f>BN70*BP70</f>
        <v/>
      </c>
      <c r="BS70" s="124" t="n"/>
      <c r="BT70" s="320" t="n"/>
      <c r="BU70" s="320" t="n"/>
      <c r="BV70" s="124" t="n"/>
      <c r="BW70" s="320" t="n"/>
      <c r="BX70" s="320" t="n"/>
      <c r="BY70" s="124" t="n"/>
      <c r="BZ70" s="320" t="n"/>
      <c r="CA70" s="124" t="n"/>
      <c r="CB70" s="124" t="n"/>
      <c r="CC70" s="320" t="n"/>
      <c r="CD70" s="124" t="n"/>
      <c r="CE70" s="124" t="n"/>
      <c r="CF70" s="320" t="n"/>
      <c r="CG70" s="124" t="n"/>
      <c r="CH70" s="124" t="n"/>
      <c r="CI70" s="320" t="n"/>
      <c r="CJ70" s="124" t="n"/>
      <c r="CK70" s="124" t="n"/>
      <c r="CL70" s="320" t="n"/>
      <c r="CM70" s="124" t="n"/>
      <c r="CN70" s="320">
        <f>BK70+BU70+BX70+CA70+CD70+CG70+CJ70+CM70</f>
        <v/>
      </c>
      <c r="CO70" s="154">
        <f>(AV70-(AZ70+BV70+BY70+CB70+CE70+CH70+CK70+BS70)+CO69)</f>
        <v/>
      </c>
      <c r="CP70" s="320">
        <f>CR70*G70</f>
        <v/>
      </c>
      <c r="CQ70" s="124">
        <f>AL70+AZ70+AQ70</f>
        <v/>
      </c>
      <c r="CR70" s="159">
        <f>AV70-AZ70-BS70-BV70-BY70-CB70</f>
        <v/>
      </c>
      <c r="CS70" s="155" t="n"/>
      <c r="CT70" s="155" t="n"/>
      <c r="CU70" s="177" t="n"/>
      <c r="CV70" s="177" t="n"/>
      <c r="CW70" s="325" t="n"/>
    </row>
    <row r="71" ht="19.9" customFormat="1" customHeight="1" s="67">
      <c r="A71" s="233" t="inlineStr">
        <is>
          <t>Casa do Pica-Pau</t>
        </is>
      </c>
      <c r="B71" s="66" t="n">
        <v>12084724</v>
      </c>
      <c r="C71" s="233" t="inlineStr">
        <is>
          <t>Matriz</t>
        </is>
      </c>
      <c r="D71" s="140" t="inlineStr">
        <is>
          <t xml:space="preserve">Goiânia </t>
        </is>
      </c>
      <c r="E71" s="140" t="n">
        <v>44834</v>
      </c>
      <c r="F71" s="141" t="n">
        <v>19509</v>
      </c>
      <c r="G71" s="326" t="n">
        <v>0.6879999999999999</v>
      </c>
      <c r="H71" s="173">
        <f>F71*G71</f>
        <v/>
      </c>
      <c r="I71" s="121" t="inlineStr">
        <is>
          <t>Novembro/2022</t>
        </is>
      </c>
      <c r="J71" s="125" t="inlineStr">
        <is>
          <t>3 Growatt de 50 KW</t>
        </is>
      </c>
      <c r="K71" s="65" t="inlineStr">
        <is>
          <t>272 de 550W</t>
        </is>
      </c>
      <c r="L71" s="121" t="n"/>
      <c r="M71" s="126" t="inlineStr">
        <is>
          <t>Agosto/2023</t>
        </is>
      </c>
      <c r="N71" s="126" t="inlineStr">
        <is>
          <t>01/08/2023 a 01/09/2023</t>
        </is>
      </c>
      <c r="O71" s="321" t="n">
        <v>14571.53</v>
      </c>
      <c r="P71" s="321" t="n">
        <v>0</v>
      </c>
      <c r="Q71" s="321" t="n">
        <v>4216.12</v>
      </c>
      <c r="R71" s="207" t="n"/>
      <c r="S71" s="321" t="n">
        <v>25.06</v>
      </c>
      <c r="T71" s="321" t="n">
        <v>0</v>
      </c>
      <c r="U71" s="321" t="n">
        <v>9.66</v>
      </c>
      <c r="V71" s="321" t="n">
        <v>0</v>
      </c>
      <c r="W71" s="321" t="n">
        <v>0</v>
      </c>
      <c r="X71" s="321" t="n"/>
      <c r="Y71" s="321" t="n"/>
      <c r="Z71" s="321" t="n"/>
      <c r="AA71" s="321" t="n"/>
      <c r="AB71" s="322">
        <f>1.805739 +0.535451</f>
        <v/>
      </c>
      <c r="AC71" s="322">
        <f>0.170714+0.334275</f>
        <v/>
      </c>
      <c r="AD71" s="124" t="n">
        <v>0</v>
      </c>
      <c r="AE71" s="124" t="n">
        <v>11399.7</v>
      </c>
      <c r="AF71" s="124" t="n">
        <v>0</v>
      </c>
      <c r="AG71" s="124">
        <f>SUM(AD71:AF71)</f>
        <v/>
      </c>
      <c r="AH71" s="124">
        <f>(AD71*AB71)+((AE71+AF71)*AC71)</f>
        <v/>
      </c>
      <c r="AI71" s="124">
        <f>AD71-AS71</f>
        <v/>
      </c>
      <c r="AJ71" s="124">
        <f>AE71-AT71</f>
        <v/>
      </c>
      <c r="AK71" s="124">
        <f>AF71-AU71</f>
        <v/>
      </c>
      <c r="AL71" s="210">
        <f>SUM(AI71:AK71)</f>
        <v/>
      </c>
      <c r="AM71" s="337">
        <f>(AI71*AB71)+((AJ71+AK71)*AC71)</f>
        <v/>
      </c>
      <c r="AN71" s="143" t="n">
        <v>2292.06</v>
      </c>
      <c r="AO71" s="143" t="n">
        <v>9030</v>
      </c>
      <c r="AP71" s="143" t="n">
        <v>2436</v>
      </c>
      <c r="AQ71" s="124">
        <f>SUM(AN71:AP71)</f>
        <v/>
      </c>
      <c r="AR71" s="321">
        <f>(AN71*AB71)+((AO71+AP71)*AC71)</f>
        <v/>
      </c>
      <c r="AS71" s="143" t="n">
        <v>0</v>
      </c>
      <c r="AT71" s="143" t="n">
        <v>1654.8</v>
      </c>
      <c r="AU71" s="143" t="n">
        <v>0</v>
      </c>
      <c r="AV71" s="143">
        <f>SUM(AS71:AU71)</f>
        <v/>
      </c>
      <c r="AW71" s="143" t="n">
        <v>0</v>
      </c>
      <c r="AX71" s="143" t="n">
        <v>1654.8</v>
      </c>
      <c r="AY71" s="143" t="n">
        <v>0</v>
      </c>
      <c r="AZ71" s="143">
        <f>SUM(AW71:AY71)</f>
        <v/>
      </c>
      <c r="BA71" s="335">
        <f>(AW71*AB71)+((AX71+AY71)*AC71)</f>
        <v/>
      </c>
      <c r="BB71" s="141">
        <f>AN71-AW71</f>
        <v/>
      </c>
      <c r="BC71" s="141">
        <f>BB71*AB71</f>
        <v/>
      </c>
      <c r="BD71" s="141">
        <f>AO71-AX71</f>
        <v/>
      </c>
      <c r="BE71" s="141">
        <f>BD71*AC71</f>
        <v/>
      </c>
      <c r="BF71" s="141">
        <f>AP71-AY71</f>
        <v/>
      </c>
      <c r="BG71" s="141">
        <f>BF71*AC71</f>
        <v/>
      </c>
      <c r="BH71" s="141">
        <f>BB71+BD71+BF71</f>
        <v/>
      </c>
      <c r="BI71" s="141">
        <f>BC71+BE71+BG71</f>
        <v/>
      </c>
      <c r="BJ71" s="324">
        <f>BL71+BS71+BV71+BY71+CB71+CE71+CH71+CK71</f>
        <v/>
      </c>
      <c r="BK71" s="320">
        <f>((AI71+AW71)*AB71)+((AJ71+AK71+AX71+AY71)*AC71)</f>
        <v/>
      </c>
      <c r="BL71" s="132">
        <f>BM71+BN71+AL71</f>
        <v/>
      </c>
      <c r="BM71" s="133">
        <f>AW71</f>
        <v/>
      </c>
      <c r="BN71" s="133">
        <f>AX71+AY71</f>
        <v/>
      </c>
      <c r="BO71" s="328">
        <f>1.805739 +0.535451</f>
        <v/>
      </c>
      <c r="BP71" s="328">
        <f>0.170714+0.334275</f>
        <v/>
      </c>
      <c r="BQ71" s="320">
        <f>BM71*BO71</f>
        <v/>
      </c>
      <c r="BR71" s="320">
        <f>BN71*BP71</f>
        <v/>
      </c>
      <c r="BS71" s="143" t="n"/>
      <c r="BT71" s="334" t="n"/>
      <c r="BU71" s="334" t="n"/>
      <c r="BV71" s="143" t="n"/>
      <c r="BW71" s="334" t="n"/>
      <c r="BX71" s="334" t="n"/>
      <c r="BY71" s="173" t="n"/>
      <c r="BZ71" s="326" t="n"/>
      <c r="CA71" s="173" t="n"/>
      <c r="CB71" s="173" t="n"/>
      <c r="CC71" s="326" t="n"/>
      <c r="CD71" s="143" t="n"/>
      <c r="CE71" s="143" t="n"/>
      <c r="CF71" s="334" t="n"/>
      <c r="CG71" s="143" t="n"/>
      <c r="CH71" s="143" t="n"/>
      <c r="CI71" s="334" t="n"/>
      <c r="CJ71" s="143" t="n"/>
      <c r="CK71" s="143" t="n"/>
      <c r="CL71" s="334" t="n"/>
      <c r="CM71" s="143" t="n"/>
      <c r="CN71" s="320">
        <f>BK71+BU71+BX71+CA71+CD71+CG71+CJ71+CM71</f>
        <v/>
      </c>
      <c r="CO71" s="154">
        <f>(AV71-(AZ71+BV71+BY71+CB71+CE71+CH71+CK71+BS71)+CO70)</f>
        <v/>
      </c>
      <c r="CP71" s="320">
        <f>CR71*G71</f>
        <v/>
      </c>
      <c r="CQ71" s="124">
        <f>AL71+AZ71+AQ71</f>
        <v/>
      </c>
      <c r="CR71" s="159">
        <f>AV71-AZ71-BS71-BV71-BY71-CB71</f>
        <v/>
      </c>
      <c r="CS71" s="155" t="n"/>
      <c r="CT71" s="155" t="n"/>
      <c r="CU71" s="177" t="n"/>
      <c r="CV71" s="177" t="n"/>
      <c r="CW71" s="325" t="n"/>
    </row>
    <row r="72" ht="19.9" customFormat="1" customHeight="1" s="67">
      <c r="A72" s="120" t="inlineStr">
        <is>
          <t>Casa do Pica-Pau</t>
        </is>
      </c>
      <c r="B72" s="65" t="n">
        <v>12084724</v>
      </c>
      <c r="C72" s="120" t="inlineStr">
        <is>
          <t>Matriz</t>
        </is>
      </c>
      <c r="D72" s="121" t="inlineStr">
        <is>
          <t xml:space="preserve">Goiânia </t>
        </is>
      </c>
      <c r="E72" s="121" t="n">
        <v>44834</v>
      </c>
      <c r="F72" s="122" t="n">
        <v>19509</v>
      </c>
      <c r="G72" s="320" t="n">
        <v>0.6879999999999999</v>
      </c>
      <c r="H72" s="124">
        <f>F72*G72</f>
        <v/>
      </c>
      <c r="I72" s="140" t="inlineStr">
        <is>
          <t>Novembro/2022</t>
        </is>
      </c>
      <c r="J72" s="144" t="inlineStr">
        <is>
          <t>3 Growatt de 50 KW</t>
        </is>
      </c>
      <c r="K72" s="66" t="inlineStr">
        <is>
          <t>272 de 550W</t>
        </is>
      </c>
      <c r="L72" s="140" t="n"/>
      <c r="M72" s="145" t="inlineStr">
        <is>
          <t>Setembro/2023</t>
        </is>
      </c>
      <c r="N72" s="145" t="inlineStr">
        <is>
          <t>01/09/2023 a 01/10/2023</t>
        </is>
      </c>
      <c r="O72" s="331" t="n">
        <v>16907.37</v>
      </c>
      <c r="P72" s="331" t="n">
        <v>0</v>
      </c>
      <c r="Q72" s="331" t="n">
        <v>4304.65</v>
      </c>
      <c r="R72" s="147" t="n"/>
      <c r="S72" s="331" t="n">
        <v>18.06</v>
      </c>
      <c r="T72" s="331" t="n">
        <v>0</v>
      </c>
      <c r="U72" s="331" t="n">
        <v>12.96</v>
      </c>
      <c r="V72" s="331" t="n">
        <v>0</v>
      </c>
      <c r="W72" s="331" t="n">
        <v>0</v>
      </c>
      <c r="X72" s="331" t="n"/>
      <c r="Y72" s="331" t="n"/>
      <c r="Z72" s="331" t="n"/>
      <c r="AA72" s="331" t="n"/>
      <c r="AB72" s="332">
        <f>1.843655+0.546694</f>
        <v/>
      </c>
      <c r="AC72" s="332">
        <f>0.1743+0.341294</f>
        <v/>
      </c>
      <c r="AD72" s="143" t="n">
        <v>0</v>
      </c>
      <c r="AE72" s="173" t="n">
        <v>14483.72</v>
      </c>
      <c r="AF72" s="143" t="n">
        <v>0</v>
      </c>
      <c r="AG72" s="143">
        <f>SUM(AD72:AF72)</f>
        <v/>
      </c>
      <c r="AH72" s="143">
        <f>(AD72*AB72)+((AE72+AF72)*AC72)</f>
        <v/>
      </c>
      <c r="AI72" s="143">
        <f>AD72-AS72</f>
        <v/>
      </c>
      <c r="AJ72" s="143">
        <f>AE72-AT72</f>
        <v/>
      </c>
      <c r="AK72" s="143">
        <f>AF72-AU72</f>
        <v/>
      </c>
      <c r="AL72" s="208">
        <f>SUM(AI72:AK72)</f>
        <v/>
      </c>
      <c r="AM72" s="336">
        <f>(AI72*AB72)+((AJ72+AK72)*AC72)</f>
        <v/>
      </c>
      <c r="AN72" s="124" t="n">
        <v>2607.69</v>
      </c>
      <c r="AO72" s="124" t="n">
        <v>11466</v>
      </c>
      <c r="AP72" s="124" t="n">
        <v>2885.4</v>
      </c>
      <c r="AQ72" s="143">
        <f>SUM(AN72:AP72)</f>
        <v/>
      </c>
      <c r="AR72" s="331">
        <f>(AN72*AB72)+((AO72+AP72)*AC72)</f>
        <v/>
      </c>
      <c r="AS72" s="124" t="n">
        <v>0</v>
      </c>
      <c r="AT72" s="124" t="n">
        <v>2058</v>
      </c>
      <c r="AU72" s="124" t="n">
        <v>0</v>
      </c>
      <c r="AV72" s="124">
        <f>SUM(AS72:AU72)</f>
        <v/>
      </c>
      <c r="AW72" s="124" t="n">
        <v>0</v>
      </c>
      <c r="AX72" s="124" t="n">
        <v>2058</v>
      </c>
      <c r="AY72" s="124" t="n">
        <v>0</v>
      </c>
      <c r="AZ72" s="124">
        <f>SUM(AW72:AY72)</f>
        <v/>
      </c>
      <c r="BA72" s="335">
        <f>(AW72*AB72)+((AX72+AY72)*AC72)</f>
        <v/>
      </c>
      <c r="BB72" s="122">
        <f>AN72-AW72</f>
        <v/>
      </c>
      <c r="BC72" s="141">
        <f>BB72*AB72</f>
        <v/>
      </c>
      <c r="BD72" s="122">
        <f>AO72-AX72</f>
        <v/>
      </c>
      <c r="BE72" s="122">
        <f>BD72*AC72</f>
        <v/>
      </c>
      <c r="BF72" s="122">
        <f>AP72-AY72</f>
        <v/>
      </c>
      <c r="BG72" s="122">
        <f>BF72*AC72</f>
        <v/>
      </c>
      <c r="BH72" s="122">
        <f>BB72+BD72+BF72</f>
        <v/>
      </c>
      <c r="BI72" s="122">
        <f>BC72+BE72+BG72</f>
        <v/>
      </c>
      <c r="BJ72" s="324">
        <f>BL72+BS72+BV72+BY72+CB72+CE72+CH72+CK72</f>
        <v/>
      </c>
      <c r="BK72" s="320">
        <f>((AI72+AW72)*AB72)+((AJ72+AK72+AX72+AY72)*AC72)</f>
        <v/>
      </c>
      <c r="BL72" s="132">
        <f>BM72+BN72+AL72</f>
        <v/>
      </c>
      <c r="BM72" s="133">
        <f>AW72</f>
        <v/>
      </c>
      <c r="BN72" s="133">
        <f>AX72+AY72</f>
        <v/>
      </c>
      <c r="BO72" s="340">
        <f>1.843655+0.546694</f>
        <v/>
      </c>
      <c r="BP72" s="340">
        <f>0.1743+0.341294</f>
        <v/>
      </c>
      <c r="BQ72" s="320">
        <f>BM72*BO72</f>
        <v/>
      </c>
      <c r="BR72" s="320">
        <f>BN72*BP72</f>
        <v/>
      </c>
      <c r="BS72" s="124" t="n"/>
      <c r="BT72" s="320" t="n"/>
      <c r="BU72" s="320" t="n"/>
      <c r="BV72" s="124" t="n"/>
      <c r="BW72" s="320" t="n"/>
      <c r="BX72" s="320" t="n"/>
      <c r="BY72" s="124" t="n"/>
      <c r="BZ72" s="320" t="n"/>
      <c r="CA72" s="124" t="n"/>
      <c r="CB72" s="124" t="n"/>
      <c r="CC72" s="320" t="n"/>
      <c r="CD72" s="124" t="n"/>
      <c r="CE72" s="124" t="n"/>
      <c r="CF72" s="320" t="n"/>
      <c r="CG72" s="124" t="n"/>
      <c r="CH72" s="124" t="n"/>
      <c r="CI72" s="320" t="n"/>
      <c r="CJ72" s="124" t="n"/>
      <c r="CK72" s="124" t="n"/>
      <c r="CL72" s="320" t="n"/>
      <c r="CM72" s="124" t="n"/>
      <c r="CN72" s="320">
        <f>BK72+BU72+BX72+CA72+CD72+CG72+CJ72+CM72</f>
        <v/>
      </c>
      <c r="CO72" s="154">
        <f>(AV72-(AZ72+BV72+BY72+CB72+CE72+CH72+CK72+BS72)+CO71)</f>
        <v/>
      </c>
      <c r="CP72" s="320">
        <f>CR72*G72</f>
        <v/>
      </c>
      <c r="CQ72" s="124">
        <f>AL72+AZ72+AQ72</f>
        <v/>
      </c>
      <c r="CR72" s="159">
        <f>AV72-AZ72-BS72-BV72-BY72-CB72</f>
        <v/>
      </c>
      <c r="CS72" s="155" t="n"/>
      <c r="CT72" s="155" t="n"/>
      <c r="CU72" s="177" t="n"/>
      <c r="CV72" s="177" t="n"/>
      <c r="CW72" s="325" t="n"/>
    </row>
    <row r="73" ht="19.9" customFormat="1" customHeight="1" s="67">
      <c r="A73" s="233" t="inlineStr">
        <is>
          <t>Casa do Pica-Pau</t>
        </is>
      </c>
      <c r="B73" s="66" t="n">
        <v>12084724</v>
      </c>
      <c r="C73" s="233" t="inlineStr">
        <is>
          <t>Matriz</t>
        </is>
      </c>
      <c r="D73" s="140" t="inlineStr">
        <is>
          <t xml:space="preserve">Goiânia </t>
        </is>
      </c>
      <c r="E73" s="140" t="n">
        <v>44834</v>
      </c>
      <c r="F73" s="141" t="n">
        <v>19509</v>
      </c>
      <c r="G73" s="326" t="n">
        <v>0.6879999999999999</v>
      </c>
      <c r="H73" s="173">
        <f>F73*G73</f>
        <v/>
      </c>
      <c r="I73" s="121" t="inlineStr">
        <is>
          <t>Novembro/2022</t>
        </is>
      </c>
      <c r="J73" s="125" t="inlineStr">
        <is>
          <t>3 Growatt de 50 KW</t>
        </is>
      </c>
      <c r="K73" s="65" t="inlineStr">
        <is>
          <t>272 de 550W</t>
        </is>
      </c>
      <c r="L73" s="121" t="n"/>
      <c r="M73" s="126" t="inlineStr">
        <is>
          <t>Outubro/2023</t>
        </is>
      </c>
      <c r="N73" s="126" t="inlineStr">
        <is>
          <t>01/10/2023 a 01/11/2023</t>
        </is>
      </c>
      <c r="O73" s="321" t="n">
        <v>15463.41</v>
      </c>
      <c r="P73" s="321" t="n">
        <v>0</v>
      </c>
      <c r="Q73" s="321" t="n">
        <v>4509.63</v>
      </c>
      <c r="R73" s="207" t="n"/>
      <c r="S73" s="321" t="n">
        <v>7.58</v>
      </c>
      <c r="T73" s="321" t="n">
        <v>0</v>
      </c>
      <c r="U73" s="321" t="n">
        <v>14.46</v>
      </c>
      <c r="V73" s="321" t="n">
        <v>0</v>
      </c>
      <c r="W73" s="321" t="n">
        <v>0</v>
      </c>
      <c r="X73" s="321" t="n"/>
      <c r="Y73" s="321" t="n"/>
      <c r="Z73" s="321" t="n"/>
      <c r="AA73" s="321" t="n"/>
      <c r="AB73" s="322">
        <f>1.909664+0.546042</f>
        <v/>
      </c>
      <c r="AC73" s="322">
        <f>0.157737+0.343425</f>
        <v/>
      </c>
      <c r="AD73" s="124" t="n">
        <v>0.9</v>
      </c>
      <c r="AE73" s="124" t="n">
        <v>15627.19</v>
      </c>
      <c r="AF73" s="124" t="n">
        <v>2.65</v>
      </c>
      <c r="AG73" s="124">
        <f>SUM(AD73:AF73)</f>
        <v/>
      </c>
      <c r="AH73" s="124">
        <f>(AD73*AB73)+((AE73+AF73)*AC73)</f>
        <v/>
      </c>
      <c r="AI73" s="124">
        <f>AD73-AS73</f>
        <v/>
      </c>
      <c r="AJ73" s="124">
        <f>AE73-AT73</f>
        <v/>
      </c>
      <c r="AK73" s="124">
        <f>AF73-AU73</f>
        <v/>
      </c>
      <c r="AL73" s="210">
        <f>SUM(AI73:AK73)</f>
        <v/>
      </c>
      <c r="AM73" s="337">
        <f>(AI73*AB73)+((AJ73+AK73)*AC73)</f>
        <v/>
      </c>
      <c r="AN73" s="124" t="n">
        <v>2548.72</v>
      </c>
      <c r="AO73" s="124" t="n">
        <v>10071.6</v>
      </c>
      <c r="AP73" s="124" t="n">
        <v>2864.4</v>
      </c>
      <c r="AQ73" s="124">
        <f>SUM(AN73:AP73)</f>
        <v/>
      </c>
      <c r="AR73" s="321">
        <f>(AN73*AB73)+((AO73+AP73)*AC73)</f>
        <v/>
      </c>
      <c r="AS73" s="124" t="n">
        <v>0</v>
      </c>
      <c r="AT73" s="124" t="n">
        <v>3612</v>
      </c>
      <c r="AU73" s="124" t="n">
        <v>0</v>
      </c>
      <c r="AV73" s="124">
        <f>SUM(AS73:AU73)</f>
        <v/>
      </c>
      <c r="AW73" s="124" t="n">
        <v>0</v>
      </c>
      <c r="AX73" s="124" t="n">
        <v>3612</v>
      </c>
      <c r="AY73" s="124" t="n">
        <v>0</v>
      </c>
      <c r="AZ73" s="124">
        <f>SUM(AW73:AY73)</f>
        <v/>
      </c>
      <c r="BA73" s="335">
        <f>(AW73*AB73)+((AX73+AY73)*AC73)</f>
        <v/>
      </c>
      <c r="BB73" s="122">
        <f>AN73-AW73</f>
        <v/>
      </c>
      <c r="BC73" s="141">
        <f>BB73*AB73</f>
        <v/>
      </c>
      <c r="BD73" s="122">
        <f>AO73-AX73</f>
        <v/>
      </c>
      <c r="BE73" s="122">
        <f>BD73*AC73</f>
        <v/>
      </c>
      <c r="BF73" s="122">
        <f>AP73-AY73</f>
        <v/>
      </c>
      <c r="BG73" s="122">
        <f>BF73*AC73</f>
        <v/>
      </c>
      <c r="BH73" s="122">
        <f>BB73+BD73+BF73</f>
        <v/>
      </c>
      <c r="BI73" s="122">
        <f>BC73+BE73+BG73</f>
        <v/>
      </c>
      <c r="BJ73" s="324">
        <f>BL73+BS73+BV73+BY73+CB73+CE73+CH73+CK73</f>
        <v/>
      </c>
      <c r="BK73" s="320">
        <f>((AI73+AW73)*AB73)+((AJ73+AK73+AX73+AY73)*AC73)</f>
        <v/>
      </c>
      <c r="BL73" s="132">
        <f>BM73+BN73+AL73</f>
        <v/>
      </c>
      <c r="BM73" s="133">
        <f>AW73</f>
        <v/>
      </c>
      <c r="BN73" s="133">
        <f>AX73+AY73</f>
        <v/>
      </c>
      <c r="BO73" s="340">
        <f>1.909664+0.546042</f>
        <v/>
      </c>
      <c r="BP73" s="340">
        <f>0.157737+0.343425</f>
        <v/>
      </c>
      <c r="BQ73" s="320">
        <f>BM73*BO73</f>
        <v/>
      </c>
      <c r="BR73" s="320">
        <f>BN73*BP73</f>
        <v/>
      </c>
      <c r="BS73" s="124" t="n"/>
      <c r="BT73" s="320" t="n"/>
      <c r="BU73" s="320" t="n"/>
      <c r="BV73" s="124" t="n"/>
      <c r="BW73" s="320" t="n"/>
      <c r="BX73" s="320" t="n"/>
      <c r="BY73" s="173" t="n"/>
      <c r="BZ73" s="326" t="n"/>
      <c r="CA73" s="173" t="n"/>
      <c r="CB73" s="173" t="n"/>
      <c r="CC73" s="326" t="n"/>
      <c r="CD73" s="124" t="n"/>
      <c r="CE73" s="124" t="n"/>
      <c r="CF73" s="320" t="n"/>
      <c r="CG73" s="124" t="n"/>
      <c r="CH73" s="124" t="n"/>
      <c r="CI73" s="320" t="n"/>
      <c r="CJ73" s="124" t="n"/>
      <c r="CK73" s="124" t="n"/>
      <c r="CL73" s="320" t="n"/>
      <c r="CM73" s="124" t="n"/>
      <c r="CN73" s="320">
        <f>BK73+BU73+BX73+CA73+CD73+CG73+CJ73+CM73</f>
        <v/>
      </c>
      <c r="CO73" s="154">
        <f>(AV73-(AZ73+BV73+BY73+CB73+CE73+CH73+CK73+BS73)+CO72)</f>
        <v/>
      </c>
      <c r="CP73" s="320">
        <f>CR73*G73</f>
        <v/>
      </c>
      <c r="CQ73" s="124">
        <f>AL73+AZ73+AQ73</f>
        <v/>
      </c>
      <c r="CR73" s="159">
        <f>AV73-AZ73-BS73-BV73-BY73-CB73</f>
        <v/>
      </c>
      <c r="CS73" s="155" t="n"/>
      <c r="CT73" s="155" t="n"/>
      <c r="CU73" s="177" t="n"/>
      <c r="CV73" s="177" t="n"/>
      <c r="CW73" s="325" t="n"/>
    </row>
    <row r="74" ht="19.9" customFormat="1" customHeight="1" s="67">
      <c r="A74" s="120" t="inlineStr">
        <is>
          <t>Casa do Pica-Pau</t>
        </is>
      </c>
      <c r="B74" s="65" t="n">
        <v>12084724</v>
      </c>
      <c r="C74" s="120" t="inlineStr">
        <is>
          <t>Matriz</t>
        </is>
      </c>
      <c r="D74" s="121" t="inlineStr">
        <is>
          <t xml:space="preserve">Goiânia </t>
        </is>
      </c>
      <c r="E74" s="121" t="n">
        <v>44834</v>
      </c>
      <c r="F74" s="122" t="n">
        <v>19509</v>
      </c>
      <c r="G74" s="320" t="n">
        <v>0.6879999999999999</v>
      </c>
      <c r="H74" s="124">
        <f>F74*G74</f>
        <v/>
      </c>
      <c r="I74" s="140" t="inlineStr">
        <is>
          <t>Novembro/2022</t>
        </is>
      </c>
      <c r="J74" s="144" t="inlineStr">
        <is>
          <t>3 Growatt de 50 KW</t>
        </is>
      </c>
      <c r="K74" s="66" t="inlineStr">
        <is>
          <t>272 de 550W</t>
        </is>
      </c>
      <c r="L74" s="140" t="n"/>
      <c r="M74" s="145" t="inlineStr">
        <is>
          <t>Novembro/2023</t>
        </is>
      </c>
      <c r="N74" s="145" t="inlineStr">
        <is>
          <t>01/11/2023 a 01/12/2023</t>
        </is>
      </c>
      <c r="O74" s="331" t="n">
        <v>13959.74</v>
      </c>
      <c r="P74" s="331" t="n">
        <v>0</v>
      </c>
      <c r="Q74" s="331" t="n">
        <v>4819.13</v>
      </c>
      <c r="R74" s="147" t="n"/>
      <c r="S74" s="331" t="n">
        <v>10.57</v>
      </c>
      <c r="T74" s="331" t="n">
        <v>0</v>
      </c>
      <c r="U74" s="331" t="n">
        <v>15.36</v>
      </c>
      <c r="V74" s="331" t="n">
        <v>0</v>
      </c>
      <c r="W74" s="331" t="n">
        <v>0</v>
      </c>
      <c r="X74" s="331" t="n"/>
      <c r="Y74" s="331" t="n"/>
      <c r="Z74" s="331" t="n"/>
      <c r="AA74" s="331" t="n"/>
      <c r="AB74" s="332" t="n">
        <v>2.538583</v>
      </c>
      <c r="AC74" s="332" t="n">
        <v>0.466663</v>
      </c>
      <c r="AD74" s="143" t="n">
        <v>5.17</v>
      </c>
      <c r="AE74" s="173" t="n">
        <v>16039.99</v>
      </c>
      <c r="AF74" s="143" t="n">
        <v>11.01</v>
      </c>
      <c r="AG74" s="143">
        <f>SUM(AD74:AF74)</f>
        <v/>
      </c>
      <c r="AH74" s="143">
        <f>(AD74*AB74)+((AE74+AF74)*AC74)</f>
        <v/>
      </c>
      <c r="AI74" s="143">
        <f>AD74-AS74</f>
        <v/>
      </c>
      <c r="AJ74" s="143">
        <f>AE74-AT74</f>
        <v/>
      </c>
      <c r="AK74" s="143">
        <f>AF74-AU74</f>
        <v/>
      </c>
      <c r="AL74" s="208">
        <f>SUM(AI74:AK74)</f>
        <v/>
      </c>
      <c r="AM74" s="336">
        <f>(AI74*AB74)+((AJ74+AK74)*AC74)</f>
        <v/>
      </c>
      <c r="AN74" s="124" t="n">
        <v>2313.44</v>
      </c>
      <c r="AO74" s="124" t="n">
        <v>7971.6</v>
      </c>
      <c r="AP74" s="124" t="n">
        <v>3162.6</v>
      </c>
      <c r="AQ74" s="143">
        <f>SUM(AN74:AP74)</f>
        <v/>
      </c>
      <c r="AR74" s="331">
        <f>(AN74*AB74)+((AO74+AP74)*AC74)</f>
        <v/>
      </c>
      <c r="AS74" s="124" t="n">
        <v>0</v>
      </c>
      <c r="AT74" s="124" t="n">
        <v>4187.4</v>
      </c>
      <c r="AU74" s="124" t="n">
        <v>0</v>
      </c>
      <c r="AV74" s="124">
        <f>SUM(AS74:AU74)</f>
        <v/>
      </c>
      <c r="AW74" s="124" t="n">
        <v>0</v>
      </c>
      <c r="AX74" s="124" t="n">
        <v>4187.4</v>
      </c>
      <c r="AY74" s="124" t="n">
        <v>0</v>
      </c>
      <c r="AZ74" s="124">
        <f>SUM(AW74:AY74)</f>
        <v/>
      </c>
      <c r="BA74" s="335">
        <f>(AW74*AB74)+((AX74+AY74)*AC74)</f>
        <v/>
      </c>
      <c r="BB74" s="122">
        <f>AN74-AW74</f>
        <v/>
      </c>
      <c r="BC74" s="141">
        <f>BB74*AB74</f>
        <v/>
      </c>
      <c r="BD74" s="122">
        <f>AO74-AX74</f>
        <v/>
      </c>
      <c r="BE74" s="122">
        <f>BD74*AC74</f>
        <v/>
      </c>
      <c r="BF74" s="122">
        <f>AP74-AY74</f>
        <v/>
      </c>
      <c r="BG74" s="122">
        <f>BF74*AC74</f>
        <v/>
      </c>
      <c r="BH74" s="122">
        <f>BB74+BD74+BF74</f>
        <v/>
      </c>
      <c r="BI74" s="122">
        <f>BC74+BE74+BG74</f>
        <v/>
      </c>
      <c r="BJ74" s="324">
        <f>BL74+BS74+BV74+BY74+CB74+CE74+CH74+CK74</f>
        <v/>
      </c>
      <c r="BK74" s="320">
        <f>((AI74+AW74)*AB74)+((AJ74+AK74+AX74+AY74)*AC74)</f>
        <v/>
      </c>
      <c r="BL74" s="132">
        <f>BM74+BN74+AL74</f>
        <v/>
      </c>
      <c r="BM74" s="133">
        <f>AW74</f>
        <v/>
      </c>
      <c r="BN74" s="133">
        <f>AX74+AY74</f>
        <v/>
      </c>
      <c r="BO74" s="340">
        <f>2.002225+0.536358</f>
        <v/>
      </c>
      <c r="BP74" s="340">
        <f>0.124624+0.342039</f>
        <v/>
      </c>
      <c r="BQ74" s="320">
        <f>BM74*BO74</f>
        <v/>
      </c>
      <c r="BR74" s="320">
        <f>BN74*BP74</f>
        <v/>
      </c>
      <c r="BS74" s="124" t="n"/>
      <c r="BT74" s="320" t="n"/>
      <c r="BU74" s="320" t="n"/>
      <c r="BV74" s="124" t="n"/>
      <c r="BW74" s="320" t="n"/>
      <c r="BX74" s="320" t="n"/>
      <c r="BY74" s="124" t="n"/>
      <c r="BZ74" s="320" t="n"/>
      <c r="CA74" s="124" t="n"/>
      <c r="CB74" s="124" t="n"/>
      <c r="CC74" s="320" t="n"/>
      <c r="CD74" s="124" t="n"/>
      <c r="CE74" s="124" t="n"/>
      <c r="CF74" s="320" t="n"/>
      <c r="CG74" s="124" t="n"/>
      <c r="CH74" s="124" t="n"/>
      <c r="CI74" s="320" t="n"/>
      <c r="CJ74" s="124" t="n"/>
      <c r="CK74" s="124" t="n"/>
      <c r="CL74" s="320" t="n"/>
      <c r="CM74" s="124" t="n"/>
      <c r="CN74" s="320">
        <f>BK74+BU74+BX74+CA74+CD74+CG74+CJ74+CM74</f>
        <v/>
      </c>
      <c r="CO74" s="154">
        <f>(AV74-(AZ74+BV74+BY74+CB74+CE74+CH74+CK74+BS74)+CO73)</f>
        <v/>
      </c>
      <c r="CP74" s="320">
        <f>CR74*G74</f>
        <v/>
      </c>
      <c r="CQ74" s="124">
        <f>AL74+AZ74+AQ74</f>
        <v/>
      </c>
      <c r="CR74" s="159">
        <f>AV74-AZ74-BS74-BV74-BY74-CB74</f>
        <v/>
      </c>
      <c r="CS74" s="155" t="n"/>
      <c r="CT74" s="155" t="n"/>
      <c r="CU74" s="177" t="n"/>
      <c r="CV74" s="177" t="n"/>
      <c r="CW74" s="325" t="n"/>
    </row>
    <row r="75" ht="19.9" customFormat="1" customHeight="1" s="67">
      <c r="A75" s="233" t="inlineStr">
        <is>
          <t>Casa do Pica-Pau</t>
        </is>
      </c>
      <c r="B75" s="66" t="n">
        <v>12084724</v>
      </c>
      <c r="C75" s="233" t="inlineStr">
        <is>
          <t>Matriz</t>
        </is>
      </c>
      <c r="D75" s="140" t="inlineStr">
        <is>
          <t xml:space="preserve">Goiânia </t>
        </is>
      </c>
      <c r="E75" s="140" t="n">
        <v>44834</v>
      </c>
      <c r="F75" s="141" t="n">
        <v>19509</v>
      </c>
      <c r="G75" s="326" t="n">
        <v>0.6879999999999999</v>
      </c>
      <c r="H75" s="173">
        <f>F75*G75</f>
        <v/>
      </c>
      <c r="I75" s="121" t="inlineStr">
        <is>
          <t>Novembro/2022</t>
        </is>
      </c>
      <c r="J75" s="125" t="inlineStr">
        <is>
          <t>3 Growatt de 50 KW</t>
        </is>
      </c>
      <c r="K75" s="65" t="inlineStr">
        <is>
          <t>272 de 550W</t>
        </is>
      </c>
      <c r="L75" s="121" t="n"/>
      <c r="M75" s="126" t="inlineStr">
        <is>
          <t>Dezembro/2023</t>
        </is>
      </c>
      <c r="N75" s="126" t="inlineStr">
        <is>
          <t>01/12/2023 a 01/01/2024</t>
        </is>
      </c>
      <c r="O75" s="321" t="n">
        <v>11719.18</v>
      </c>
      <c r="P75" s="321" t="n">
        <v>0</v>
      </c>
      <c r="Q75" s="321" t="n">
        <v>4751.71</v>
      </c>
      <c r="R75" s="207" t="n"/>
      <c r="S75" s="321" t="n">
        <v>2.98</v>
      </c>
      <c r="T75" s="321" t="n">
        <v>0</v>
      </c>
      <c r="U75" s="321" t="n">
        <v>12.16</v>
      </c>
      <c r="V75" s="321" t="n">
        <v>0</v>
      </c>
      <c r="W75" s="321" t="n">
        <v>0</v>
      </c>
      <c r="X75" s="321" t="n"/>
      <c r="Y75" s="321" t="n"/>
      <c r="Z75" s="321" t="n"/>
      <c r="AA75" s="321" t="n"/>
      <c r="AB75" s="322" t="n">
        <v>2.503069</v>
      </c>
      <c r="AC75" s="322" t="n">
        <v>0.460135</v>
      </c>
      <c r="AD75" s="124" t="n">
        <v>19.21</v>
      </c>
      <c r="AE75" s="124" t="n">
        <v>15820.87</v>
      </c>
      <c r="AF75" s="124" t="n">
        <v>7.47</v>
      </c>
      <c r="AG75" s="124">
        <f>SUM(AD75:AF75)</f>
        <v/>
      </c>
      <c r="AH75" s="124">
        <f>(AD75*AB75)+((AE75+AF75)*AC75)</f>
        <v/>
      </c>
      <c r="AI75" s="124">
        <f>AD75-AS75</f>
        <v/>
      </c>
      <c r="AJ75" s="124">
        <f>AE75-AT75</f>
        <v/>
      </c>
      <c r="AK75" s="124">
        <f>AF75-AU75</f>
        <v/>
      </c>
      <c r="AL75" s="210">
        <f>SUM(AI75:AK75)</f>
        <v/>
      </c>
      <c r="AM75" s="337">
        <f>(AI75*AB75)+((AJ75+AK75)*AC75)</f>
        <v/>
      </c>
      <c r="AN75" s="124" t="n">
        <v>1806.25</v>
      </c>
      <c r="AO75" s="124" t="n">
        <v>7341.6</v>
      </c>
      <c r="AP75" s="124" t="n">
        <v>2536.8</v>
      </c>
      <c r="AQ75" s="124">
        <f>SUM(AN75:AP75)</f>
        <v/>
      </c>
      <c r="AR75" s="321">
        <f>(AN75*AB75)+((AO75+AP75)*AC75)</f>
        <v/>
      </c>
      <c r="AS75" s="124" t="n">
        <v>0</v>
      </c>
      <c r="AT75" s="124" t="n">
        <v>4594.8</v>
      </c>
      <c r="AU75" s="124" t="n">
        <v>0</v>
      </c>
      <c r="AV75" s="124">
        <f>SUM(AS75:AU75)</f>
        <v/>
      </c>
      <c r="AW75" s="124" t="n">
        <v>0</v>
      </c>
      <c r="AX75" s="124" t="n">
        <v>4594.8</v>
      </c>
      <c r="AY75" s="124" t="n">
        <v>0</v>
      </c>
      <c r="AZ75" s="124">
        <f>SUM(AW75:AY75)</f>
        <v/>
      </c>
      <c r="BA75" s="335">
        <f>(AW75*AB75)+((AX75+AY75)*AC75)</f>
        <v/>
      </c>
      <c r="BB75" s="122">
        <f>AN75-AW75</f>
        <v/>
      </c>
      <c r="BC75" s="141">
        <f>BB75*AB75</f>
        <v/>
      </c>
      <c r="BD75" s="122">
        <f>AO75-AX75</f>
        <v/>
      </c>
      <c r="BE75" s="122">
        <f>BD75*AC75</f>
        <v/>
      </c>
      <c r="BF75" s="122">
        <f>AP75-AY75</f>
        <v/>
      </c>
      <c r="BG75" s="122">
        <f>BF75*AC75</f>
        <v/>
      </c>
      <c r="BH75" s="122">
        <f>BB75+BD75+BF75</f>
        <v/>
      </c>
      <c r="BI75" s="122">
        <f>BC75+BE75+BG75</f>
        <v/>
      </c>
      <c r="BJ75" s="324">
        <f>BL75+BS75+BV75+BY75+CB75+CE75+CH75+CK75</f>
        <v/>
      </c>
      <c r="BK75" s="320">
        <f>((AI75+AW75)*AB75)+((AJ75+AK75+AX75+AY75)*AC75)</f>
        <v/>
      </c>
      <c r="BL75" s="132">
        <f>BM75+BN75+AL75</f>
        <v/>
      </c>
      <c r="BM75" s="133">
        <f>AW75</f>
        <v/>
      </c>
      <c r="BN75" s="133">
        <f>AX75+AY75</f>
        <v/>
      </c>
      <c r="BO75" s="340" t="n">
        <v>2.503069</v>
      </c>
      <c r="BP75" s="340" t="n">
        <v>0.460135</v>
      </c>
      <c r="BQ75" s="320">
        <f>BM75*BO75</f>
        <v/>
      </c>
      <c r="BR75" s="320">
        <f>BN75*BP75</f>
        <v/>
      </c>
      <c r="BS75" s="124" t="n"/>
      <c r="BT75" s="320" t="n"/>
      <c r="BU75" s="320" t="n"/>
      <c r="BV75" s="124" t="n"/>
      <c r="BW75" s="320" t="n"/>
      <c r="BX75" s="320" t="n"/>
      <c r="BY75" s="173" t="n"/>
      <c r="BZ75" s="326" t="n"/>
      <c r="CA75" s="173" t="n"/>
      <c r="CB75" s="173" t="n"/>
      <c r="CC75" s="326" t="n"/>
      <c r="CD75" s="124" t="n"/>
      <c r="CE75" s="124" t="n"/>
      <c r="CF75" s="320" t="n"/>
      <c r="CG75" s="124" t="n"/>
      <c r="CH75" s="124" t="n"/>
      <c r="CI75" s="320" t="n"/>
      <c r="CJ75" s="124" t="n"/>
      <c r="CK75" s="124" t="n"/>
      <c r="CL75" s="320" t="n"/>
      <c r="CM75" s="124" t="n"/>
      <c r="CN75" s="320">
        <f>BK75+BU75+BX75+CA75+CD75+CG75+CJ75+CM75</f>
        <v/>
      </c>
      <c r="CO75" s="154">
        <f>(AV75-(AZ75+BV75+BY75+CB75+CE75+CH75+CK75+BS75)+CO74)</f>
        <v/>
      </c>
      <c r="CP75" s="320">
        <f>CR75*G75</f>
        <v/>
      </c>
      <c r="CQ75" s="124">
        <f>AL75+AZ75+AQ75</f>
        <v/>
      </c>
      <c r="CR75" s="159">
        <f>AV75-AZ75-BS75-BV75-BY75-CB75</f>
        <v/>
      </c>
      <c r="CS75" s="155" t="n"/>
      <c r="CT75" s="155" t="n"/>
      <c r="CU75" s="177" t="n"/>
      <c r="CV75" s="177" t="n"/>
      <c r="CW75" s="325" t="n"/>
    </row>
    <row r="76" ht="19.9" customFormat="1" customHeight="1" s="67">
      <c r="A76" s="120" t="inlineStr">
        <is>
          <t>Casa do Pica-Pau</t>
        </is>
      </c>
      <c r="B76" s="65" t="n">
        <v>12084724</v>
      </c>
      <c r="C76" s="120" t="inlineStr">
        <is>
          <t>Matriz</t>
        </is>
      </c>
      <c r="D76" s="121" t="inlineStr">
        <is>
          <t xml:space="preserve">Goiânia </t>
        </is>
      </c>
      <c r="E76" s="121" t="n">
        <v>44834</v>
      </c>
      <c r="F76" s="122" t="n">
        <v>19509</v>
      </c>
      <c r="G76" s="320" t="n">
        <v>0.6879999999999999</v>
      </c>
      <c r="H76" s="124">
        <f>F76*G76</f>
        <v/>
      </c>
      <c r="I76" s="140" t="inlineStr">
        <is>
          <t>Novembro/2022</t>
        </is>
      </c>
      <c r="J76" s="144" t="inlineStr">
        <is>
          <t>3 Growatt de 50 KW</t>
        </is>
      </c>
      <c r="K76" s="66" t="inlineStr">
        <is>
          <t>272 de 550W</t>
        </is>
      </c>
      <c r="L76" s="140" t="n"/>
      <c r="M76" s="145" t="inlineStr">
        <is>
          <t>Janeiro/2024</t>
        </is>
      </c>
      <c r="N76" s="145" t="inlineStr">
        <is>
          <t>01/01/2024 a 01/02/2024</t>
        </is>
      </c>
      <c r="O76" s="331" t="n">
        <v>12416.22</v>
      </c>
      <c r="P76" s="331" t="n">
        <v>0</v>
      </c>
      <c r="Q76" s="331" t="n">
        <v>4738.93</v>
      </c>
      <c r="R76" s="147" t="n"/>
      <c r="S76" s="331" t="n">
        <v>1.49</v>
      </c>
      <c r="T76" s="331" t="n">
        <v>0</v>
      </c>
      <c r="U76" s="331" t="n">
        <v>17.02</v>
      </c>
      <c r="V76" s="331" t="n">
        <v>0</v>
      </c>
      <c r="W76" s="331" t="n">
        <v>0</v>
      </c>
      <c r="X76" s="331" t="n"/>
      <c r="Y76" s="331" t="n"/>
      <c r="Z76" s="331" t="n">
        <v>7.75</v>
      </c>
      <c r="AA76" s="331" t="n"/>
      <c r="AB76" s="332" t="n">
        <v>2.496337</v>
      </c>
      <c r="AC76" s="332" t="n">
        <v>0.458898</v>
      </c>
      <c r="AD76" s="143" t="n">
        <v>46.14</v>
      </c>
      <c r="AE76" s="173" t="n">
        <v>14485.74</v>
      </c>
      <c r="AF76" s="143" t="n">
        <v>0.36</v>
      </c>
      <c r="AG76" s="143">
        <f>SUM(AD76:AF76)</f>
        <v/>
      </c>
      <c r="AH76" s="143">
        <f>(AD76*AB76)+((AE76+AF76)*AC76)</f>
        <v/>
      </c>
      <c r="AI76" s="143">
        <f>AD76-AS76</f>
        <v/>
      </c>
      <c r="AJ76" s="143">
        <f>AE76-AT76</f>
        <v/>
      </c>
      <c r="AK76" s="143">
        <f>AF76-AU76</f>
        <v/>
      </c>
      <c r="AL76" s="208">
        <f>SUM(AI76:AK76)</f>
        <v/>
      </c>
      <c r="AM76" s="336">
        <f>(AI76*AB76)+((AJ76+AK76)*AC76)</f>
        <v/>
      </c>
      <c r="AN76" s="124" t="n">
        <v>1861.23</v>
      </c>
      <c r="AO76" s="124" t="n">
        <v>7946.4</v>
      </c>
      <c r="AP76" s="124" t="n">
        <v>2427.6</v>
      </c>
      <c r="AQ76" s="124">
        <f>SUM(AN76:AP76)</f>
        <v/>
      </c>
      <c r="AR76" s="321">
        <f>(AN76*AB76)+((AO76+AP76)*AC76)</f>
        <v/>
      </c>
      <c r="AS76" s="124" t="n">
        <v>0</v>
      </c>
      <c r="AT76" s="124" t="n">
        <v>3826.2</v>
      </c>
      <c r="AU76" s="124" t="n">
        <v>0</v>
      </c>
      <c r="AV76" s="124">
        <f>SUM(AS76:AU76)</f>
        <v/>
      </c>
      <c r="AW76" s="124" t="n">
        <v>0</v>
      </c>
      <c r="AX76" s="124" t="n">
        <v>3826.2</v>
      </c>
      <c r="AY76" s="124" t="n">
        <v>0</v>
      </c>
      <c r="AZ76" s="124">
        <f>SUM(AW76:AY76)</f>
        <v/>
      </c>
      <c r="BA76" s="335">
        <f>(AW76*AB76)+((AX76+AY76)*AC76)</f>
        <v/>
      </c>
      <c r="BB76" s="122">
        <f>AN76-AW76</f>
        <v/>
      </c>
      <c r="BC76" s="141">
        <f>BB76*AB76</f>
        <v/>
      </c>
      <c r="BD76" s="122">
        <f>AO76-AX76</f>
        <v/>
      </c>
      <c r="BE76" s="122">
        <f>BD76*AC76</f>
        <v/>
      </c>
      <c r="BF76" s="122">
        <f>AP76-AY76</f>
        <v/>
      </c>
      <c r="BG76" s="122">
        <f>BF76*AC76</f>
        <v/>
      </c>
      <c r="BH76" s="122">
        <f>BB76+BD76+BF76</f>
        <v/>
      </c>
      <c r="BI76" s="122">
        <f>BC76+BE76+BG76</f>
        <v/>
      </c>
      <c r="BJ76" s="324">
        <f>BL76+BS76+BV76+BY76+CB76+CE76+CH76+CK76</f>
        <v/>
      </c>
      <c r="BK76" s="320">
        <f>((AI76+AW76)*AB76)+((AJ76+AK76+AX76+AY76)*AC76)</f>
        <v/>
      </c>
      <c r="BL76" s="132">
        <f>BM76+BN76+AL76</f>
        <v/>
      </c>
      <c r="BM76" s="133">
        <f>AW76</f>
        <v/>
      </c>
      <c r="BN76" s="133">
        <f>AX76+AY76</f>
        <v/>
      </c>
      <c r="BO76" s="322" t="n">
        <v>2.496337</v>
      </c>
      <c r="BP76" s="322" t="n">
        <v>0.458898</v>
      </c>
      <c r="BQ76" s="320">
        <f>BM76*BO76</f>
        <v/>
      </c>
      <c r="BR76" s="320">
        <f>BN76*BP76</f>
        <v/>
      </c>
      <c r="BS76" s="124" t="n"/>
      <c r="BT76" s="320" t="n"/>
      <c r="BU76" s="320" t="n"/>
      <c r="BV76" s="124" t="n"/>
      <c r="BW76" s="320" t="n"/>
      <c r="BX76" s="320" t="n"/>
      <c r="BY76" s="124" t="n"/>
      <c r="BZ76" s="320" t="n"/>
      <c r="CA76" s="124" t="n"/>
      <c r="CB76" s="124" t="n"/>
      <c r="CC76" s="320" t="n"/>
      <c r="CD76" s="124" t="n"/>
      <c r="CE76" s="124" t="n"/>
      <c r="CF76" s="320" t="n"/>
      <c r="CG76" s="124" t="n"/>
      <c r="CH76" s="124" t="n"/>
      <c r="CI76" s="320" t="n"/>
      <c r="CJ76" s="124" t="n"/>
      <c r="CK76" s="124" t="n"/>
      <c r="CL76" s="320" t="n"/>
      <c r="CM76" s="124" t="n"/>
      <c r="CN76" s="320">
        <f>BK76+BU76+BX76+CA76+CD76+CG76+CJ76+CM76</f>
        <v/>
      </c>
      <c r="CO76" s="154">
        <f>(AV76-(AZ76+BV76+BY76+CB76+CE76+CH76+CK76+BS76)+CO75)</f>
        <v/>
      </c>
      <c r="CP76" s="320">
        <f>CR76*G76</f>
        <v/>
      </c>
      <c r="CQ76" s="124">
        <f>AL76+AZ76+AQ76</f>
        <v/>
      </c>
      <c r="CR76" s="159">
        <f>AV76-AZ76-BS76-BV76-BY76-CB76</f>
        <v/>
      </c>
      <c r="CS76" s="155" t="n"/>
      <c r="CT76" s="155" t="n"/>
      <c r="CU76" s="177" t="n"/>
      <c r="CV76" s="177" t="n"/>
      <c r="CW76" s="325" t="n"/>
    </row>
    <row r="77" ht="19.9" customFormat="1" customHeight="1" s="67">
      <c r="A77" s="233" t="inlineStr">
        <is>
          <t>Casa do Pica-Pau</t>
        </is>
      </c>
      <c r="B77" s="66" t="n">
        <v>12084724</v>
      </c>
      <c r="C77" s="233" t="inlineStr">
        <is>
          <t>Matriz</t>
        </is>
      </c>
      <c r="D77" s="140" t="inlineStr">
        <is>
          <t xml:space="preserve">Goiânia </t>
        </is>
      </c>
      <c r="E77" s="140" t="n">
        <v>44834</v>
      </c>
      <c r="F77" s="141" t="n">
        <v>19509</v>
      </c>
      <c r="G77" s="326" t="n">
        <v>0.6879999999999999</v>
      </c>
      <c r="H77" s="173">
        <f>F77*G77</f>
        <v/>
      </c>
      <c r="I77" s="121" t="inlineStr">
        <is>
          <t>Novembro/2022</t>
        </is>
      </c>
      <c r="J77" s="125" t="inlineStr">
        <is>
          <t>3 Growatt de 50 KW</t>
        </is>
      </c>
      <c r="K77" s="65" t="inlineStr">
        <is>
          <t>272 de 550W</t>
        </is>
      </c>
      <c r="L77" s="140" t="n"/>
      <c r="M77" s="145" t="inlineStr">
        <is>
          <t>Fevereiro/2024</t>
        </is>
      </c>
      <c r="N77" s="145" t="inlineStr">
        <is>
          <t>01/02/2024 a 01/03/2024</t>
        </is>
      </c>
      <c r="O77" s="331" t="n">
        <v>10926.16</v>
      </c>
      <c r="P77" s="331" t="n">
        <v>0</v>
      </c>
      <c r="Q77" s="331" t="n">
        <v>4835.27</v>
      </c>
      <c r="R77" s="147" t="n"/>
      <c r="S77" s="331" t="n">
        <v>1.52</v>
      </c>
      <c r="T77" s="331" t="n">
        <v>0</v>
      </c>
      <c r="U77" s="331" t="n">
        <v>20.8</v>
      </c>
      <c r="V77" s="331" t="n">
        <v>0</v>
      </c>
      <c r="W77" s="331" t="n">
        <v>0</v>
      </c>
      <c r="X77" s="331" t="n"/>
      <c r="Y77" s="331" t="n"/>
      <c r="Z77" s="331" t="n"/>
      <c r="AA77" s="331" t="n"/>
      <c r="AB77" s="332" t="n">
        <v>2.547084</v>
      </c>
      <c r="AC77" s="332" t="n">
        <v>0.468225</v>
      </c>
      <c r="AD77" s="143" t="n">
        <v>24.06</v>
      </c>
      <c r="AE77" s="173" t="n">
        <v>14311.04</v>
      </c>
      <c r="AF77" s="143" t="n">
        <v>0</v>
      </c>
      <c r="AG77" s="143">
        <f>SUM(AD77:AF77)</f>
        <v/>
      </c>
      <c r="AH77" s="143">
        <f>(AD77*AB77)+((AE77+AF77)*AC77)</f>
        <v/>
      </c>
      <c r="AI77" s="143">
        <f>AD77-AS77</f>
        <v/>
      </c>
      <c r="AJ77" s="143">
        <f>AE77-AT77</f>
        <v/>
      </c>
      <c r="AK77" s="143">
        <f>AF77-AU77</f>
        <v/>
      </c>
      <c r="AL77" s="208">
        <f>SUM(AI77:AK77)</f>
        <v/>
      </c>
      <c r="AM77" s="336">
        <f>(AI77*AB77)+((AJ77+AK77)*AC77)</f>
        <v/>
      </c>
      <c r="AN77" s="124" t="n">
        <v>1580.37</v>
      </c>
      <c r="AO77" s="124" t="n">
        <v>6438.6</v>
      </c>
      <c r="AP77" s="124" t="n">
        <v>2188.2</v>
      </c>
      <c r="AQ77" s="124">
        <f>SUM(AN77:AP77)</f>
        <v/>
      </c>
      <c r="AR77" s="321">
        <f>(AN77*AB77)+((AO77+AP77)*AC77)</f>
        <v/>
      </c>
      <c r="AS77" s="124" t="n">
        <v>0</v>
      </c>
      <c r="AT77" s="124" t="n">
        <v>4263</v>
      </c>
      <c r="AU77" s="124" t="n">
        <v>0</v>
      </c>
      <c r="AV77" s="124">
        <f>SUM(AS77:AU77)</f>
        <v/>
      </c>
      <c r="AW77" s="124" t="n">
        <v>0</v>
      </c>
      <c r="AX77" s="124" t="n">
        <v>4263</v>
      </c>
      <c r="AY77" s="124" t="n">
        <v>0</v>
      </c>
      <c r="AZ77" s="124">
        <f>SUM(AW77:AY77)</f>
        <v/>
      </c>
      <c r="BA77" s="335">
        <f>(AW77*AB77)+((AX77+AY77)*AC77)</f>
        <v/>
      </c>
      <c r="BB77" s="122">
        <f>AN77-AW77</f>
        <v/>
      </c>
      <c r="BC77" s="141">
        <f>BB77*AB77</f>
        <v/>
      </c>
      <c r="BD77" s="122">
        <f>AO77-AX77</f>
        <v/>
      </c>
      <c r="BE77" s="122">
        <f>BD77*AC77</f>
        <v/>
      </c>
      <c r="BF77" s="122">
        <f>AP77-AY77</f>
        <v/>
      </c>
      <c r="BG77" s="122">
        <f>BF77*AC77</f>
        <v/>
      </c>
      <c r="BH77" s="122">
        <f>BB77+BD77+BF77</f>
        <v/>
      </c>
      <c r="BI77" s="122">
        <f>BC77+BE77+BG77</f>
        <v/>
      </c>
      <c r="BJ77" s="324">
        <f>BL77+BS77+BV77+BY77+CB77+CE77+CH77+CK77</f>
        <v/>
      </c>
      <c r="BK77" s="320">
        <f>((AI77+AW77)*AB77)+((AJ77+AK77+AX77+AY77)*AC77)</f>
        <v/>
      </c>
      <c r="BL77" s="132">
        <f>BM77+BN77+AL77</f>
        <v/>
      </c>
      <c r="BM77" s="133">
        <f>AW77</f>
        <v/>
      </c>
      <c r="BN77" s="133">
        <f>AX77+AY77</f>
        <v/>
      </c>
      <c r="BO77" s="332" t="n">
        <v>2.547084</v>
      </c>
      <c r="BP77" s="332" t="n">
        <v>0.468225</v>
      </c>
      <c r="BQ77" s="320">
        <f>BM77*BO77</f>
        <v/>
      </c>
      <c r="BR77" s="320">
        <f>BN77*BP77</f>
        <v/>
      </c>
      <c r="BS77" s="124" t="n"/>
      <c r="BT77" s="320" t="n"/>
      <c r="BU77" s="320" t="n"/>
      <c r="BV77" s="124" t="n"/>
      <c r="BW77" s="320" t="n"/>
      <c r="BX77" s="320" t="n"/>
      <c r="BY77" s="173" t="n"/>
      <c r="BZ77" s="326" t="n"/>
      <c r="CA77" s="173" t="n"/>
      <c r="CB77" s="173" t="n"/>
      <c r="CC77" s="326" t="n"/>
      <c r="CD77" s="124" t="n"/>
      <c r="CE77" s="124" t="n"/>
      <c r="CF77" s="320" t="n"/>
      <c r="CG77" s="124" t="n"/>
      <c r="CH77" s="124" t="n"/>
      <c r="CI77" s="320" t="n"/>
      <c r="CJ77" s="124" t="n"/>
      <c r="CK77" s="124" t="n"/>
      <c r="CL77" s="320" t="n"/>
      <c r="CM77" s="124" t="n"/>
      <c r="CN77" s="320">
        <f>BK77+BU77+BX77+CA77+CD77+CG77+CJ77+CM77</f>
        <v/>
      </c>
      <c r="CO77" s="154">
        <f>(AV77-(AZ77+BV77+BY77+CB77+CE77+CH77+CK77+BS77)+CO76)</f>
        <v/>
      </c>
      <c r="CP77" s="320">
        <f>CR77*G77</f>
        <v/>
      </c>
      <c r="CQ77" s="124">
        <f>AL77+AZ77+AQ77</f>
        <v/>
      </c>
      <c r="CR77" s="159">
        <f>AV77-AZ77-BS77-BV77-BY77-CB77</f>
        <v/>
      </c>
      <c r="CS77" s="155" t="n"/>
      <c r="CT77" s="155" t="n"/>
      <c r="CU77" s="177" t="n"/>
      <c r="CV77" s="177" t="n"/>
      <c r="CW77" s="325" t="n"/>
    </row>
    <row r="78" ht="19.9" customFormat="1" customHeight="1" s="67">
      <c r="A78" s="120" t="inlineStr">
        <is>
          <t>Casa do Pica-Pau</t>
        </is>
      </c>
      <c r="B78" s="65" t="n">
        <v>10011741021</v>
      </c>
      <c r="C78" s="120" t="inlineStr">
        <is>
          <t>Buriti</t>
        </is>
      </c>
      <c r="D78" s="121" t="inlineStr">
        <is>
          <t xml:space="preserve">Goiânia </t>
        </is>
      </c>
      <c r="E78" s="121" t="inlineStr">
        <is>
          <t>Setembro/2022</t>
        </is>
      </c>
      <c r="F78" s="122" t="n">
        <v>3801.5</v>
      </c>
      <c r="G78" s="320" t="n">
        <v>0.96</v>
      </c>
      <c r="H78" s="124">
        <f>F78*G78</f>
        <v/>
      </c>
      <c r="I78" s="121" t="n"/>
      <c r="J78" s="125" t="inlineStr">
        <is>
          <t>1 Growatt de 30 KW</t>
        </is>
      </c>
      <c r="K78" s="65" t="inlineStr">
        <is>
          <t>53 de 550W</t>
        </is>
      </c>
      <c r="L78" s="121" t="n"/>
      <c r="M78" s="126" t="inlineStr">
        <is>
          <t>Novembro/2022</t>
        </is>
      </c>
      <c r="N78" s="126" t="inlineStr">
        <is>
          <t>18/11/2022 a 21/12/2022</t>
        </is>
      </c>
      <c r="O78" s="321" t="n">
        <v>2451.23</v>
      </c>
      <c r="P78" s="321" t="n">
        <v>0</v>
      </c>
      <c r="Q78" s="321" t="n">
        <v>0</v>
      </c>
      <c r="R78" s="207" t="n"/>
      <c r="S78" s="321" t="n">
        <v>0</v>
      </c>
      <c r="T78" s="321" t="n">
        <v>0</v>
      </c>
      <c r="U78" s="321" t="n">
        <v>13.62</v>
      </c>
      <c r="V78" s="321" t="n">
        <v>0</v>
      </c>
      <c r="W78" s="321" t="n">
        <v>0</v>
      </c>
      <c r="X78" s="321" t="n"/>
      <c r="Y78" s="321" t="n"/>
      <c r="Z78" s="321" t="n"/>
      <c r="AA78" s="321" t="n"/>
      <c r="AB78" s="322" t="n">
        <v>0.86013</v>
      </c>
      <c r="AC78" s="322" t="n">
        <v>0.86013</v>
      </c>
      <c r="AD78" s="124" t="n">
        <v>0</v>
      </c>
      <c r="AE78" s="124" t="n">
        <v>1508.3</v>
      </c>
      <c r="AF78" s="124" t="n">
        <v>0</v>
      </c>
      <c r="AG78" s="124">
        <f>SUM(AD78:AF78)</f>
        <v/>
      </c>
      <c r="AH78" s="124">
        <f>(AD78*AB78)+((AE78+AF78)*AC78)</f>
        <v/>
      </c>
      <c r="AI78" s="124">
        <f>AD78-AS78</f>
        <v/>
      </c>
      <c r="AJ78" s="124">
        <f>AE78-AT78</f>
        <v/>
      </c>
      <c r="AK78" s="124">
        <f>AF78-AU78</f>
        <v/>
      </c>
      <c r="AL78" s="210">
        <f>SUM(AI78:AK78)</f>
        <v/>
      </c>
      <c r="AM78" s="337">
        <f>(AI78*AB78)+((AJ78+AK78)*AC78)</f>
        <v/>
      </c>
      <c r="AN78" s="143" t="n">
        <v>0</v>
      </c>
      <c r="AO78" s="143" t="n">
        <v>3569</v>
      </c>
      <c r="AP78" s="143" t="n">
        <v>0</v>
      </c>
      <c r="AQ78" s="143">
        <f>SUM(AN78:AP78)</f>
        <v/>
      </c>
      <c r="AR78" s="331">
        <f>(AN78*AB78)+((AO78+AP78)*AC78)</f>
        <v/>
      </c>
      <c r="AS78" s="143" t="n">
        <v>0</v>
      </c>
      <c r="AT78" s="143" t="n">
        <v>735</v>
      </c>
      <c r="AU78" s="143" t="n">
        <v>0</v>
      </c>
      <c r="AV78" s="143">
        <f>SUM(AS78:AU78)</f>
        <v/>
      </c>
      <c r="AW78" s="143" t="n">
        <v>0</v>
      </c>
      <c r="AX78" s="143" t="n">
        <v>735</v>
      </c>
      <c r="AY78" s="143" t="n">
        <v>0</v>
      </c>
      <c r="AZ78" s="143">
        <f>SUM(AW78:AY78)</f>
        <v/>
      </c>
      <c r="BA78" s="335">
        <f>(AW78*AB78)+((AX78+AY78)*AC78)</f>
        <v/>
      </c>
      <c r="BB78" s="141">
        <f>AN78-AW78</f>
        <v/>
      </c>
      <c r="BC78" s="141">
        <f>BB78*AB78</f>
        <v/>
      </c>
      <c r="BD78" s="141">
        <f>AO78-AX78</f>
        <v/>
      </c>
      <c r="BE78" s="141">
        <f>BD78*AC78</f>
        <v/>
      </c>
      <c r="BF78" s="141">
        <f>AP78-AY78</f>
        <v/>
      </c>
      <c r="BG78" s="141">
        <f>BF78*AC78</f>
        <v/>
      </c>
      <c r="BH78" s="141">
        <f>BB78+BD78+BF78</f>
        <v/>
      </c>
      <c r="BI78" s="141">
        <f>BC78+BE78+BG78</f>
        <v/>
      </c>
      <c r="BJ78" s="324">
        <f>BL78+BS78+BV78+BY78+CB78+CE78+CH78+CK78</f>
        <v/>
      </c>
      <c r="BK78" s="320">
        <f>((AI78+AW78)*AB78)+((AJ78+AK78+AX78+AY78)*AC78)</f>
        <v/>
      </c>
      <c r="BL78" s="132">
        <f>BM78+BN78+AL78</f>
        <v/>
      </c>
      <c r="BM78" s="133">
        <f>AW78</f>
        <v/>
      </c>
      <c r="BN78" s="133">
        <f>AX78+AY78</f>
        <v/>
      </c>
      <c r="BO78" s="334" t="n"/>
      <c r="BP78" s="341" t="n">
        <v>0.86013</v>
      </c>
      <c r="BQ78" s="179" t="n"/>
      <c r="BR78" s="334">
        <f>BN78*BP78</f>
        <v/>
      </c>
      <c r="BS78" s="124" t="n">
        <v>0</v>
      </c>
      <c r="BT78" s="191" t="n">
        <v>0.67099</v>
      </c>
      <c r="BU78" s="334">
        <f>BS78*BT78</f>
        <v/>
      </c>
      <c r="BV78" s="143" t="n"/>
      <c r="BW78" s="334" t="n"/>
      <c r="BX78" s="334" t="n"/>
      <c r="BY78" s="124" t="n"/>
      <c r="BZ78" s="320" t="n"/>
      <c r="CA78" s="124" t="n"/>
      <c r="CB78" s="124" t="n"/>
      <c r="CC78" s="320" t="n"/>
      <c r="CD78" s="143" t="n"/>
      <c r="CE78" s="143" t="n"/>
      <c r="CF78" s="334" t="n"/>
      <c r="CG78" s="143" t="n"/>
      <c r="CH78" s="143" t="n"/>
      <c r="CI78" s="334" t="n"/>
      <c r="CJ78" s="143" t="n"/>
      <c r="CK78" s="143" t="n"/>
      <c r="CL78" s="334" t="n"/>
      <c r="CM78" s="143" t="n"/>
      <c r="CN78" s="320">
        <f>BK78+BU78+BX78+CA78+CD78+CG78+CJ78+CM78</f>
        <v/>
      </c>
      <c r="CO78" s="154" t="n">
        <v>0</v>
      </c>
      <c r="CP78" s="320">
        <f>CR78*G78</f>
        <v/>
      </c>
      <c r="CQ78" s="124">
        <f>AL78+AZ78+AQ78</f>
        <v/>
      </c>
      <c r="CR78" s="159">
        <f>AV78-AZ78-BS78-BV78-BY78-CB78</f>
        <v/>
      </c>
      <c r="CS78" s="155" t="n"/>
      <c r="CT78" s="155" t="n"/>
      <c r="CU78" s="177" t="n"/>
      <c r="CV78" s="177" t="n"/>
      <c r="CW78" s="325" t="n"/>
    </row>
    <row r="79" ht="19.9" customFormat="1" customHeight="1" s="67">
      <c r="A79" s="233" t="inlineStr">
        <is>
          <t>Casa do Pica-Pau</t>
        </is>
      </c>
      <c r="B79" s="66" t="n">
        <v>10011741021</v>
      </c>
      <c r="C79" s="233" t="inlineStr">
        <is>
          <t>Buriti</t>
        </is>
      </c>
      <c r="D79" s="140" t="inlineStr">
        <is>
          <t xml:space="preserve">Goiânia </t>
        </is>
      </c>
      <c r="E79" s="140" t="inlineStr">
        <is>
          <t>Setembro/2022</t>
        </is>
      </c>
      <c r="F79" s="141" t="n">
        <v>3801.5</v>
      </c>
      <c r="G79" s="326" t="n">
        <v>0.96</v>
      </c>
      <c r="H79" s="173">
        <f>F79*G79</f>
        <v/>
      </c>
      <c r="I79" s="140" t="n"/>
      <c r="J79" s="144" t="inlineStr">
        <is>
          <t>1 Growatt de 30 KW</t>
        </is>
      </c>
      <c r="K79" s="66" t="inlineStr">
        <is>
          <t>53 de 550W</t>
        </is>
      </c>
      <c r="L79" s="140" t="n"/>
      <c r="M79" s="145" t="inlineStr">
        <is>
          <t>Dezembro/2022</t>
        </is>
      </c>
      <c r="N79" s="145" t="inlineStr">
        <is>
          <t>21/12/2022 a 17/01/2023</t>
        </is>
      </c>
      <c r="O79" s="331" t="n">
        <v>97.3</v>
      </c>
      <c r="P79" s="331" t="n">
        <v>0</v>
      </c>
      <c r="Q79" s="331" t="n">
        <v>0</v>
      </c>
      <c r="R79" s="147" t="n"/>
      <c r="S79" s="331" t="n">
        <v>0</v>
      </c>
      <c r="T79" s="331" t="n">
        <v>0</v>
      </c>
      <c r="U79" s="331" t="n">
        <v>14.02</v>
      </c>
      <c r="V79" s="331" t="n">
        <v>0</v>
      </c>
      <c r="W79" s="331" t="n">
        <v>0</v>
      </c>
      <c r="X79" s="331" t="n"/>
      <c r="Y79" s="331" t="n"/>
      <c r="Z79" s="331" t="n"/>
      <c r="AA79" s="331" t="n"/>
      <c r="AB79" s="332" t="n">
        <v>0.83287</v>
      </c>
      <c r="AC79" s="332" t="n">
        <v>0.83287</v>
      </c>
      <c r="AD79" s="143" t="n">
        <v>0</v>
      </c>
      <c r="AE79" s="173" t="n">
        <v>3125.8</v>
      </c>
      <c r="AF79" s="143" t="n">
        <v>0</v>
      </c>
      <c r="AG79" s="143">
        <f>SUM(AD79:AF79)</f>
        <v/>
      </c>
      <c r="AH79" s="143">
        <f>(AD79*AB79)+((AE79+AF79)*AC79)</f>
        <v/>
      </c>
      <c r="AI79" s="143">
        <f>AD79-AS79</f>
        <v/>
      </c>
      <c r="AJ79" s="143">
        <f>AE79-AT79</f>
        <v/>
      </c>
      <c r="AK79" s="143">
        <f>AF79-AU79</f>
        <v/>
      </c>
      <c r="AL79" s="208">
        <f>SUM(AI79:AK79)</f>
        <v/>
      </c>
      <c r="AM79" s="336">
        <f>(AI79*AB79)+((AJ79+AK79)*AC79)</f>
        <v/>
      </c>
      <c r="AN79" s="124" t="n">
        <v>0</v>
      </c>
      <c r="AO79" s="124" t="n">
        <v>1508</v>
      </c>
      <c r="AP79" s="124" t="n">
        <v>0</v>
      </c>
      <c r="AQ79" s="124">
        <f>SUM(AN79:AP79)</f>
        <v/>
      </c>
      <c r="AR79" s="321">
        <f>(AN79*AB79)+((AO79+AP79)*AC79)</f>
        <v/>
      </c>
      <c r="AS79" s="124" t="n">
        <v>0</v>
      </c>
      <c r="AT79" s="124" t="n">
        <v>1697</v>
      </c>
      <c r="AU79" s="124" t="n">
        <v>0</v>
      </c>
      <c r="AV79" s="124">
        <f>SUM(AS79:AU79)</f>
        <v/>
      </c>
      <c r="AW79" s="124" t="n">
        <v>0</v>
      </c>
      <c r="AX79" s="124" t="n">
        <v>1408</v>
      </c>
      <c r="AY79" s="124" t="n">
        <v>0</v>
      </c>
      <c r="AZ79" s="124">
        <f>SUM(AW79:AY79)</f>
        <v/>
      </c>
      <c r="BA79" s="335">
        <f>(AW79*AB79)+((AX79+AY79)*AC79)</f>
        <v/>
      </c>
      <c r="BB79" s="122">
        <f>AN79-AW79</f>
        <v/>
      </c>
      <c r="BC79" s="141">
        <f>BB79*AB79</f>
        <v/>
      </c>
      <c r="BD79" s="122">
        <f>AO79-AX79</f>
        <v/>
      </c>
      <c r="BE79" s="122">
        <f>BD79*AC79</f>
        <v/>
      </c>
      <c r="BF79" s="122">
        <f>AP79-AY79</f>
        <v/>
      </c>
      <c r="BG79" s="122">
        <f>BF79*AC79</f>
        <v/>
      </c>
      <c r="BH79" s="122">
        <f>BB79+BD79+BF79</f>
        <v/>
      </c>
      <c r="BI79" s="122">
        <f>BC79+BE79+BG79</f>
        <v/>
      </c>
      <c r="BJ79" s="324">
        <f>BL79+BS79+BV79+BY79+CB79+CE79+CH79+CK79</f>
        <v/>
      </c>
      <c r="BK79" s="320">
        <f>((AI79+AW79)*AB79)+((AJ79+AK79+AX79+AY79)*AC79)</f>
        <v/>
      </c>
      <c r="BL79" s="132">
        <f>BM79+BN79+AL79</f>
        <v/>
      </c>
      <c r="BM79" s="133">
        <f>AW79</f>
        <v/>
      </c>
      <c r="BN79" s="133">
        <f>AX79+AY79</f>
        <v/>
      </c>
      <c r="BO79" s="320" t="n"/>
      <c r="BP79" s="342" t="n">
        <v>0.83287</v>
      </c>
      <c r="BQ79" s="179" t="n"/>
      <c r="BR79" s="334">
        <f>BN79*BP79</f>
        <v/>
      </c>
      <c r="BS79" s="143" t="n">
        <v>0</v>
      </c>
      <c r="BT79" s="193" t="n">
        <v>0.67099</v>
      </c>
      <c r="BU79" s="334">
        <f>BS79*BT79</f>
        <v/>
      </c>
      <c r="BV79" s="124" t="n"/>
      <c r="BW79" s="320" t="n"/>
      <c r="BX79" s="320" t="n"/>
      <c r="BY79" s="173" t="n"/>
      <c r="BZ79" s="326" t="n"/>
      <c r="CA79" s="173" t="n"/>
      <c r="CB79" s="173" t="n"/>
      <c r="CC79" s="326" t="n"/>
      <c r="CD79" s="124" t="n"/>
      <c r="CE79" s="124" t="n"/>
      <c r="CF79" s="320" t="n"/>
      <c r="CG79" s="124" t="n"/>
      <c r="CH79" s="124" t="n"/>
      <c r="CI79" s="320" t="n"/>
      <c r="CJ79" s="124" t="n"/>
      <c r="CK79" s="124" t="n"/>
      <c r="CL79" s="320" t="n"/>
      <c r="CM79" s="124" t="n"/>
      <c r="CN79" s="320">
        <f>BK79+BU79+BX79+CA79+CD79+CG79+CJ79+CM79</f>
        <v/>
      </c>
      <c r="CO79" s="154">
        <f>AV79-AZ79</f>
        <v/>
      </c>
      <c r="CP79" s="320">
        <f>CR79*G79</f>
        <v/>
      </c>
      <c r="CQ79" s="124">
        <f>AL79+AZ79+AQ79</f>
        <v/>
      </c>
      <c r="CR79" s="159">
        <f>AV79-AZ79-BS79-BV79-BY79-CB79</f>
        <v/>
      </c>
      <c r="CS79" s="155" t="n"/>
      <c r="CT79" s="155" t="n"/>
      <c r="CU79" s="177" t="n"/>
      <c r="CV79" s="177" t="n"/>
      <c r="CW79" s="325" t="n"/>
    </row>
    <row r="80" ht="19.9" customFormat="1" customHeight="1" s="67">
      <c r="A80" s="120" t="inlineStr">
        <is>
          <t>Casa do Pica-Pau</t>
        </is>
      </c>
      <c r="B80" s="65" t="n">
        <v>10011741021</v>
      </c>
      <c r="C80" s="120" t="inlineStr">
        <is>
          <t>Buriti</t>
        </is>
      </c>
      <c r="D80" s="121" t="inlineStr">
        <is>
          <t xml:space="preserve">Goiânia </t>
        </is>
      </c>
      <c r="E80" s="121" t="inlineStr">
        <is>
          <t>Setembro/2022</t>
        </is>
      </c>
      <c r="F80" s="122" t="n">
        <v>3801.5</v>
      </c>
      <c r="G80" s="320" t="n">
        <v>0.96</v>
      </c>
      <c r="H80" s="124">
        <f>F80*G80</f>
        <v/>
      </c>
      <c r="I80" s="121" t="n"/>
      <c r="J80" s="125" t="inlineStr">
        <is>
          <t>1 Growatt de 30 KW</t>
        </is>
      </c>
      <c r="K80" s="65" t="inlineStr">
        <is>
          <t>53 de 550W</t>
        </is>
      </c>
      <c r="L80" s="121" t="n"/>
      <c r="M80" s="126" t="inlineStr">
        <is>
          <t>Janeiro/2023</t>
        </is>
      </c>
      <c r="N80" s="126" t="inlineStr">
        <is>
          <t>17/01/2023 a 14/02/2023</t>
        </is>
      </c>
      <c r="O80" s="321" t="n">
        <v>94.95</v>
      </c>
      <c r="P80" s="321" t="n">
        <v>0</v>
      </c>
      <c r="Q80" s="321" t="n">
        <v>0</v>
      </c>
      <c r="R80" s="207" t="n"/>
      <c r="S80" s="321" t="n">
        <v>0</v>
      </c>
      <c r="T80" s="321" t="n">
        <v>0</v>
      </c>
      <c r="U80" s="321" t="n">
        <v>11.73</v>
      </c>
      <c r="V80" s="321" t="n">
        <v>0</v>
      </c>
      <c r="W80" s="321" t="n">
        <v>0</v>
      </c>
      <c r="X80" s="321" t="n"/>
      <c r="Y80" s="321" t="n"/>
      <c r="Z80" s="321" t="n"/>
      <c r="AA80" s="321" t="n"/>
      <c r="AB80" s="322" t="n">
        <v>0.83219</v>
      </c>
      <c r="AC80" s="322" t="n">
        <v>0.83219</v>
      </c>
      <c r="AD80" s="124" t="n">
        <v>0</v>
      </c>
      <c r="AE80" s="124" t="n">
        <v>3348.6</v>
      </c>
      <c r="AF80" s="124" t="n">
        <v>0</v>
      </c>
      <c r="AG80" s="124">
        <f>SUM(AD80:AF80)</f>
        <v/>
      </c>
      <c r="AH80" s="124">
        <f>(AD80*AB80)+((AE80+AF80)*AC80)</f>
        <v/>
      </c>
      <c r="AI80" s="124">
        <f>AD80-AS80</f>
        <v/>
      </c>
      <c r="AJ80" s="124">
        <f>AE80-AT80</f>
        <v/>
      </c>
      <c r="AK80" s="124">
        <f>AF80-AU80</f>
        <v/>
      </c>
      <c r="AL80" s="210">
        <f>SUM(AI80:AK80)</f>
        <v/>
      </c>
      <c r="AM80" s="337">
        <f>(AI80*AB80)+((AJ80+AK80)*AC80)</f>
        <v/>
      </c>
      <c r="AN80" s="143" t="n">
        <v>0</v>
      </c>
      <c r="AO80" s="143" t="n">
        <v>1424</v>
      </c>
      <c r="AP80" s="143" t="n">
        <v>0</v>
      </c>
      <c r="AQ80" s="143">
        <f>SUM(AN80:AP80)</f>
        <v/>
      </c>
      <c r="AR80" s="331">
        <f>(AN80*AB80)+((AO80+AP80)*AC80)</f>
        <v/>
      </c>
      <c r="AS80" s="143" t="n">
        <v>0</v>
      </c>
      <c r="AT80" s="143" t="n">
        <v>1927</v>
      </c>
      <c r="AU80" s="143" t="n">
        <v>0</v>
      </c>
      <c r="AV80" s="143">
        <f>SUM(AS80:AU80)</f>
        <v/>
      </c>
      <c r="AW80" s="143" t="n">
        <v>0</v>
      </c>
      <c r="AX80" s="143" t="n">
        <v>1324</v>
      </c>
      <c r="AY80" s="143" t="n">
        <v>0</v>
      </c>
      <c r="AZ80" s="143">
        <f>SUM(AW80:AY80)</f>
        <v/>
      </c>
      <c r="BA80" s="335">
        <f>(AW80*AB80)+((AX80+AY80)*AC80)</f>
        <v/>
      </c>
      <c r="BB80" s="141">
        <f>AN80-AW80</f>
        <v/>
      </c>
      <c r="BC80" s="141">
        <f>BB80*AB80</f>
        <v/>
      </c>
      <c r="BD80" s="141">
        <f>AO80-AX80</f>
        <v/>
      </c>
      <c r="BE80" s="141">
        <f>BD80*AC80</f>
        <v/>
      </c>
      <c r="BF80" s="141">
        <f>AP80-AY80</f>
        <v/>
      </c>
      <c r="BG80" s="141">
        <f>BF80*AC80</f>
        <v/>
      </c>
      <c r="BH80" s="141">
        <f>BB80+BD80+BF80</f>
        <v/>
      </c>
      <c r="BI80" s="141">
        <f>BC80+BE80+BG80</f>
        <v/>
      </c>
      <c r="BJ80" s="324">
        <f>BL80+BS80+BV80+BY80+CB80+CE80+CH80+CK80</f>
        <v/>
      </c>
      <c r="BK80" s="320">
        <f>((AI80+AW80)*AB80)+((AJ80+AK80+AX80+AY80)*AC80)</f>
        <v/>
      </c>
      <c r="BL80" s="132">
        <f>BM80+BN80+AL80</f>
        <v/>
      </c>
      <c r="BM80" s="133">
        <f>AW80</f>
        <v/>
      </c>
      <c r="BN80" s="133">
        <f>AX80+AY80</f>
        <v/>
      </c>
      <c r="BO80" s="334" t="n"/>
      <c r="BP80" s="341" t="n">
        <v>0.83219</v>
      </c>
      <c r="BQ80" s="179" t="n"/>
      <c r="BR80" s="334">
        <f>BN80*BP80</f>
        <v/>
      </c>
      <c r="BS80" s="124" t="n">
        <v>0</v>
      </c>
      <c r="BT80" s="191" t="n">
        <v>0.67099</v>
      </c>
      <c r="BU80" s="334">
        <f>BS80*BT80</f>
        <v/>
      </c>
      <c r="BV80" s="143" t="n"/>
      <c r="BW80" s="334" t="n"/>
      <c r="BX80" s="334" t="n"/>
      <c r="BY80" s="124" t="n"/>
      <c r="BZ80" s="320" t="n"/>
      <c r="CA80" s="124" t="n"/>
      <c r="CB80" s="124" t="n"/>
      <c r="CC80" s="320" t="n"/>
      <c r="CD80" s="143" t="n"/>
      <c r="CE80" s="143" t="n"/>
      <c r="CF80" s="334" t="n"/>
      <c r="CG80" s="143" t="n"/>
      <c r="CH80" s="143" t="n"/>
      <c r="CI80" s="334" t="n"/>
      <c r="CJ80" s="143" t="n"/>
      <c r="CK80" s="143" t="n"/>
      <c r="CL80" s="334" t="n"/>
      <c r="CM80" s="143" t="n"/>
      <c r="CN80" s="320">
        <f>BK80+BU80+BX80+CA80+CD80+CG80+CJ80+CM80</f>
        <v/>
      </c>
      <c r="CO80" s="154">
        <f>(AV80-(AZ80+BV80+BY80+CB80+CE80+CH80+CK80+BS80)+CO79)</f>
        <v/>
      </c>
      <c r="CP80" s="320">
        <f>CR80*G80</f>
        <v/>
      </c>
      <c r="CQ80" s="124">
        <f>AL80+AZ80+AQ80</f>
        <v/>
      </c>
      <c r="CR80" s="159">
        <f>AV80-AZ80-BS80-BV80-BY80-CB80</f>
        <v/>
      </c>
      <c r="CS80" s="155" t="n"/>
      <c r="CT80" s="155" t="n"/>
      <c r="CU80" s="177" t="n"/>
      <c r="CV80" s="177" t="n"/>
      <c r="CW80" s="325" t="n"/>
    </row>
    <row r="81" ht="19.9" customFormat="1" customHeight="1" s="67">
      <c r="A81" s="233" t="inlineStr">
        <is>
          <t>Casa do Pica-Pau</t>
        </is>
      </c>
      <c r="B81" s="66" t="n">
        <v>10011741021</v>
      </c>
      <c r="C81" s="233" t="inlineStr">
        <is>
          <t>Buriti</t>
        </is>
      </c>
      <c r="D81" s="140" t="inlineStr">
        <is>
          <t xml:space="preserve">Goiânia </t>
        </is>
      </c>
      <c r="E81" s="140" t="inlineStr">
        <is>
          <t>Setembro/2022</t>
        </is>
      </c>
      <c r="F81" s="141" t="n">
        <v>3801.5</v>
      </c>
      <c r="G81" s="326" t="n">
        <v>0.96</v>
      </c>
      <c r="H81" s="173">
        <f>F81*G81</f>
        <v/>
      </c>
      <c r="I81" s="140" t="n"/>
      <c r="J81" s="144" t="inlineStr">
        <is>
          <t>1 Growatt de 30 KW</t>
        </is>
      </c>
      <c r="K81" s="66" t="inlineStr">
        <is>
          <t>53 de 550W</t>
        </is>
      </c>
      <c r="L81" s="140" t="n"/>
      <c r="M81" s="145" t="inlineStr">
        <is>
          <t>Fevereiro/2023</t>
        </is>
      </c>
      <c r="N81" s="145" t="inlineStr">
        <is>
          <t>14/02/2023 a 15/03/2023</t>
        </is>
      </c>
      <c r="O81" s="331" t="n">
        <v>97.62</v>
      </c>
      <c r="P81" s="331" t="n">
        <v>0</v>
      </c>
      <c r="Q81" s="331" t="n">
        <v>0</v>
      </c>
      <c r="R81" s="147" t="n"/>
      <c r="S81" s="331" t="n">
        <v>0</v>
      </c>
      <c r="T81" s="331" t="n">
        <v>1.66</v>
      </c>
      <c r="U81" s="331" t="n">
        <v>9.369999999999999</v>
      </c>
      <c r="V81" s="331" t="n">
        <v>0</v>
      </c>
      <c r="W81" s="331" t="n">
        <v>0</v>
      </c>
      <c r="X81" s="331" t="n"/>
      <c r="Y81" s="331" t="n"/>
      <c r="Z81" s="331" t="n"/>
      <c r="AA81" s="331" t="n"/>
      <c r="AB81" s="332" t="n">
        <v>0.86587</v>
      </c>
      <c r="AC81" s="332" t="n">
        <v>0.86587</v>
      </c>
      <c r="AD81" s="143" t="n">
        <v>0</v>
      </c>
      <c r="AE81" s="173" t="n">
        <v>3362.5</v>
      </c>
      <c r="AF81" s="143" t="n">
        <v>0</v>
      </c>
      <c r="AG81" s="143">
        <f>SUM(AD81:AF81)</f>
        <v/>
      </c>
      <c r="AH81" s="143">
        <f>(AD81*AB81)+((AE81+AF81)*AC81)</f>
        <v/>
      </c>
      <c r="AI81" s="143">
        <f>AD81-AS81</f>
        <v/>
      </c>
      <c r="AJ81" s="143">
        <f>AE81-AT81</f>
        <v/>
      </c>
      <c r="AK81" s="143">
        <f>AF81-AU81</f>
        <v/>
      </c>
      <c r="AL81" s="208">
        <f>SUM(AI81:AK81)</f>
        <v/>
      </c>
      <c r="AM81" s="336">
        <f>(AI81*AB81)+((AJ81+AK81)*AC81)</f>
        <v/>
      </c>
      <c r="AN81" s="124" t="n">
        <v>0</v>
      </c>
      <c r="AO81" s="124" t="n">
        <v>1527</v>
      </c>
      <c r="AP81" s="124" t="n">
        <v>0</v>
      </c>
      <c r="AQ81" s="124">
        <f>SUM(AN81:AP81)</f>
        <v/>
      </c>
      <c r="AR81" s="321">
        <f>(AN81*AB81)+((AO81+AP81)*AC81)</f>
        <v/>
      </c>
      <c r="AS81" s="124" t="n">
        <v>0</v>
      </c>
      <c r="AT81" s="124" t="n">
        <v>1904</v>
      </c>
      <c r="AU81" s="124" t="n">
        <v>0</v>
      </c>
      <c r="AV81" s="124">
        <f>SUM(AS81:AU81)</f>
        <v/>
      </c>
      <c r="AW81" s="124" t="n">
        <v>0</v>
      </c>
      <c r="AX81" s="124" t="n">
        <v>1427</v>
      </c>
      <c r="AY81" s="124" t="n">
        <v>0</v>
      </c>
      <c r="AZ81" s="124">
        <f>SUM(AW81:AY81)</f>
        <v/>
      </c>
      <c r="BA81" s="335">
        <f>(AW81*AB81)+((AX81+AY81)*AC81)</f>
        <v/>
      </c>
      <c r="BB81" s="122">
        <f>AN81-AW81</f>
        <v/>
      </c>
      <c r="BC81" s="141">
        <f>BB81*AB81</f>
        <v/>
      </c>
      <c r="BD81" s="122">
        <f>AO81-AX81</f>
        <v/>
      </c>
      <c r="BE81" s="122">
        <f>BD81*AC81</f>
        <v/>
      </c>
      <c r="BF81" s="122">
        <f>AP81-AY81</f>
        <v/>
      </c>
      <c r="BG81" s="122">
        <f>BF81*AC81</f>
        <v/>
      </c>
      <c r="BH81" s="122">
        <f>BB81+BD81+BF81</f>
        <v/>
      </c>
      <c r="BI81" s="122">
        <f>BC81+BE81+BG81</f>
        <v/>
      </c>
      <c r="BJ81" s="324">
        <f>BL81+BS81+BV81+BY81+CB81+CE81+CH81+CK81</f>
        <v/>
      </c>
      <c r="BK81" s="320">
        <f>((AI81+AW81)*AB81)+((AJ81+AK81+AX81+AY81)*AC81)</f>
        <v/>
      </c>
      <c r="BL81" s="132">
        <f>BM81+BN81+AL81</f>
        <v/>
      </c>
      <c r="BM81" s="133">
        <f>AW81</f>
        <v/>
      </c>
      <c r="BN81" s="133">
        <f>AX81+AY81</f>
        <v/>
      </c>
      <c r="BO81" s="320" t="n"/>
      <c r="BP81" s="342" t="n">
        <v>0.86587</v>
      </c>
      <c r="BQ81" s="179" t="n"/>
      <c r="BR81" s="334">
        <f>BN81*BP81</f>
        <v/>
      </c>
      <c r="BS81" s="143" t="n">
        <v>82</v>
      </c>
      <c r="BT81" s="193" t="n">
        <v>0.67099</v>
      </c>
      <c r="BU81" s="334">
        <f>BS81*BT81</f>
        <v/>
      </c>
      <c r="BV81" s="124" t="n"/>
      <c r="BW81" s="320" t="n"/>
      <c r="BX81" s="320" t="n"/>
      <c r="BY81" s="173" t="n"/>
      <c r="BZ81" s="326" t="n"/>
      <c r="CA81" s="173" t="n"/>
      <c r="CB81" s="173" t="n"/>
      <c r="CC81" s="326" t="n"/>
      <c r="CD81" s="124" t="n"/>
      <c r="CE81" s="124" t="n"/>
      <c r="CF81" s="320" t="n"/>
      <c r="CG81" s="124" t="n"/>
      <c r="CH81" s="124" t="n"/>
      <c r="CI81" s="320" t="n"/>
      <c r="CJ81" s="124" t="n"/>
      <c r="CK81" s="124" t="n"/>
      <c r="CL81" s="320" t="n"/>
      <c r="CM81" s="124" t="n"/>
      <c r="CN81" s="320">
        <f>BK81+BU81+BX81+CA81+CD81+CG81+CJ81+CM81</f>
        <v/>
      </c>
      <c r="CO81" s="154">
        <f>(AV81-(AZ81+BV81+BY81+CB81+CE81+CH81+CK81+BS81)+CO80)</f>
        <v/>
      </c>
      <c r="CP81" s="320">
        <f>CR81*G81</f>
        <v/>
      </c>
      <c r="CQ81" s="124">
        <f>AL81+AZ81+AQ81</f>
        <v/>
      </c>
      <c r="CR81" s="159">
        <f>AV81-AZ81-BS81-BV81-BY81-CB81</f>
        <v/>
      </c>
      <c r="CS81" s="155" t="n"/>
      <c r="CT81" s="155" t="n"/>
      <c r="CU81" s="177" t="n"/>
      <c r="CV81" s="177" t="n"/>
      <c r="CW81" s="325" t="n"/>
    </row>
    <row r="82" ht="19.9" customFormat="1" customHeight="1" s="67">
      <c r="A82" s="120" t="inlineStr">
        <is>
          <t>Casa do Pica-Pau</t>
        </is>
      </c>
      <c r="B82" s="65" t="n">
        <v>10011741021</v>
      </c>
      <c r="C82" s="120" t="inlineStr">
        <is>
          <t>Buriti</t>
        </is>
      </c>
      <c r="D82" s="121" t="inlineStr">
        <is>
          <t xml:space="preserve">Goiânia </t>
        </is>
      </c>
      <c r="E82" s="121" t="inlineStr">
        <is>
          <t>Setembro/2022</t>
        </is>
      </c>
      <c r="F82" s="122" t="n">
        <v>3801.5</v>
      </c>
      <c r="G82" s="320" t="n">
        <v>0.96</v>
      </c>
      <c r="H82" s="124">
        <f>F82*G82</f>
        <v/>
      </c>
      <c r="I82" s="121" t="n"/>
      <c r="J82" s="125" t="inlineStr">
        <is>
          <t>1 Growatt de 30 KW</t>
        </is>
      </c>
      <c r="K82" s="65" t="inlineStr">
        <is>
          <t>53 de 550W</t>
        </is>
      </c>
      <c r="L82" s="121" t="n"/>
      <c r="M82" s="126" t="inlineStr">
        <is>
          <t>Março/2023</t>
        </is>
      </c>
      <c r="N82" s="126" t="inlineStr">
        <is>
          <t>15/03/2023 a 15/04/2023</t>
        </is>
      </c>
      <c r="O82" s="321" t="n">
        <v>95.83</v>
      </c>
      <c r="P82" s="321" t="n">
        <v>0</v>
      </c>
      <c r="Q82" s="321" t="n">
        <v>0</v>
      </c>
      <c r="R82" s="207" t="n"/>
      <c r="S82" s="321" t="n">
        <v>0</v>
      </c>
      <c r="T82" s="321" t="n">
        <v>0.49</v>
      </c>
      <c r="U82" s="321" t="n">
        <v>9.279999999999999</v>
      </c>
      <c r="V82" s="321" t="n">
        <v>0</v>
      </c>
      <c r="W82" s="321" t="n">
        <v>0</v>
      </c>
      <c r="X82" s="321" t="n"/>
      <c r="Y82" s="321" t="n"/>
      <c r="Z82" s="321" t="n"/>
      <c r="AA82" s="321" t="n"/>
      <c r="AB82" s="322" t="n">
        <v>0.86064</v>
      </c>
      <c r="AC82" s="322" t="n">
        <v>0.86064</v>
      </c>
      <c r="AD82" s="124" t="n">
        <v>0</v>
      </c>
      <c r="AE82" s="124" t="n">
        <v>3207.6</v>
      </c>
      <c r="AF82" s="124" t="n">
        <v>0</v>
      </c>
      <c r="AG82" s="124">
        <f>SUM(AD82:AF82)</f>
        <v/>
      </c>
      <c r="AH82" s="124">
        <f>(AD82*AB82)+((AE82+AF82)*AC82)</f>
        <v/>
      </c>
      <c r="AI82" s="124">
        <f>AD82-AS82</f>
        <v/>
      </c>
      <c r="AJ82" s="124">
        <f>AE82-AT82</f>
        <v/>
      </c>
      <c r="AK82" s="124">
        <f>AF82-AU82</f>
        <v/>
      </c>
      <c r="AL82" s="210">
        <f>SUM(AI82:AK82)</f>
        <v/>
      </c>
      <c r="AM82" s="337">
        <f>(AI82*AB82)+((AJ82+AK82)*AC82)</f>
        <v/>
      </c>
      <c r="AN82" s="143" t="n">
        <v>0</v>
      </c>
      <c r="AO82" s="143" t="n">
        <v>1616</v>
      </c>
      <c r="AP82" s="143" t="n">
        <v>0</v>
      </c>
      <c r="AQ82" s="143">
        <f>SUM(AN82:AP82)</f>
        <v/>
      </c>
      <c r="AR82" s="331">
        <f>(AN82*AB82)+((AO82+AP82)*AC82)</f>
        <v/>
      </c>
      <c r="AS82" s="143" t="n">
        <v>0</v>
      </c>
      <c r="AT82" s="143" t="n">
        <v>1721</v>
      </c>
      <c r="AU82" s="143" t="n">
        <v>0</v>
      </c>
      <c r="AV82" s="143">
        <f>SUM(AS82:AU82)</f>
        <v/>
      </c>
      <c r="AW82" s="143" t="n">
        <v>0</v>
      </c>
      <c r="AX82" s="143" t="n">
        <v>1516</v>
      </c>
      <c r="AY82" s="143" t="n">
        <v>0</v>
      </c>
      <c r="AZ82" s="143">
        <f>SUM(AW82:AY82)</f>
        <v/>
      </c>
      <c r="BA82" s="335">
        <f>(AW82*AB82)+((AX82+AY82)*AC82)</f>
        <v/>
      </c>
      <c r="BB82" s="141">
        <f>AN82-AW82</f>
        <v/>
      </c>
      <c r="BC82" s="141">
        <f>BB82*AB82</f>
        <v/>
      </c>
      <c r="BD82" s="141">
        <f>AO82-AX82</f>
        <v/>
      </c>
      <c r="BE82" s="141">
        <f>BD82*AC82</f>
        <v/>
      </c>
      <c r="BF82" s="141">
        <f>AP82-AY82</f>
        <v/>
      </c>
      <c r="BG82" s="141">
        <f>BF82*AC82</f>
        <v/>
      </c>
      <c r="BH82" s="141">
        <f>BB82+BD82+BF82</f>
        <v/>
      </c>
      <c r="BI82" s="141">
        <f>BC82+BE82+BG82</f>
        <v/>
      </c>
      <c r="BJ82" s="324">
        <f>BL82+BS82+BV82+BY82+CB82+CE82+CH82+CK82</f>
        <v/>
      </c>
      <c r="BK82" s="320">
        <f>((AI82+AW82)*AB82)+((AJ82+AK82+AX82+AY82)*AC82)</f>
        <v/>
      </c>
      <c r="BL82" s="132">
        <f>BM82+BN82+AL82</f>
        <v/>
      </c>
      <c r="BM82" s="133">
        <f>AW82</f>
        <v/>
      </c>
      <c r="BN82" s="133">
        <f>AX82+AY82</f>
        <v/>
      </c>
      <c r="BO82" s="334" t="n"/>
      <c r="BP82" s="341" t="n">
        <v>0.86064</v>
      </c>
      <c r="BQ82" s="179" t="n"/>
      <c r="BR82" s="334">
        <f>BN82*BP82</f>
        <v/>
      </c>
      <c r="BS82" s="124" t="n">
        <v>626.75</v>
      </c>
      <c r="BT82" s="191" t="n">
        <v>0.67099</v>
      </c>
      <c r="BU82" s="334">
        <f>BS82*BT82</f>
        <v/>
      </c>
      <c r="BV82" s="143" t="n"/>
      <c r="BW82" s="334" t="n"/>
      <c r="BX82" s="334" t="n"/>
      <c r="BY82" s="124" t="n"/>
      <c r="BZ82" s="320" t="n"/>
      <c r="CA82" s="124" t="n"/>
      <c r="CB82" s="124" t="n"/>
      <c r="CC82" s="320" t="n"/>
      <c r="CD82" s="143" t="n"/>
      <c r="CE82" s="143" t="n"/>
      <c r="CF82" s="334" t="n"/>
      <c r="CG82" s="143" t="n"/>
      <c r="CH82" s="143" t="n"/>
      <c r="CI82" s="334" t="n"/>
      <c r="CJ82" s="143" t="n"/>
      <c r="CK82" s="143" t="n"/>
      <c r="CL82" s="334" t="n"/>
      <c r="CM82" s="143" t="n"/>
      <c r="CN82" s="320">
        <f>BK82+BU82+BX82+CA82+CD82+CG82+CJ82+CM82</f>
        <v/>
      </c>
      <c r="CO82" s="154">
        <f>(AV82-(AZ82+BV82+BY82+CB82+CE82+CH82+CK82+BS82)+CO81)</f>
        <v/>
      </c>
      <c r="CP82" s="320">
        <f>CR82*G82</f>
        <v/>
      </c>
      <c r="CQ82" s="124">
        <f>AL82+AZ82+AQ82</f>
        <v/>
      </c>
      <c r="CR82" s="159">
        <f>AV82-AZ82-BS82-BV82-BY82-CB82</f>
        <v/>
      </c>
      <c r="CS82" s="155" t="n"/>
      <c r="CT82" s="155" t="n"/>
      <c r="CU82" s="177" t="n"/>
      <c r="CV82" s="177" t="n"/>
      <c r="CW82" s="325" t="n"/>
    </row>
    <row r="83" ht="19.9" customFormat="1" customHeight="1" s="67">
      <c r="A83" s="233" t="inlineStr">
        <is>
          <t>Casa do Pica-Pau</t>
        </is>
      </c>
      <c r="B83" s="66" t="n">
        <v>10011741021</v>
      </c>
      <c r="C83" s="233" t="inlineStr">
        <is>
          <t>Buriti</t>
        </is>
      </c>
      <c r="D83" s="140" t="inlineStr">
        <is>
          <t xml:space="preserve">Goiânia </t>
        </is>
      </c>
      <c r="E83" s="140" t="inlineStr">
        <is>
          <t>Setembro/2022</t>
        </is>
      </c>
      <c r="F83" s="141" t="n">
        <v>3801.5</v>
      </c>
      <c r="G83" s="326" t="n">
        <v>0.96</v>
      </c>
      <c r="H83" s="173">
        <f>F83*G83</f>
        <v/>
      </c>
      <c r="I83" s="140" t="n"/>
      <c r="J83" s="144" t="inlineStr">
        <is>
          <t>1 Growatt de 30 KW</t>
        </is>
      </c>
      <c r="K83" s="66" t="inlineStr">
        <is>
          <t>53 de 550W</t>
        </is>
      </c>
      <c r="L83" s="140" t="n"/>
      <c r="M83" s="145" t="inlineStr">
        <is>
          <t>Abril/2023</t>
        </is>
      </c>
      <c r="N83" s="145" t="inlineStr">
        <is>
          <t>15/04/2023 a 16/05/2023</t>
        </is>
      </c>
      <c r="O83" s="331" t="n">
        <v>96.33</v>
      </c>
      <c r="P83" s="331" t="n">
        <v>0</v>
      </c>
      <c r="Q83" s="331" t="n">
        <v>0</v>
      </c>
      <c r="R83" s="147" t="n"/>
      <c r="S83" s="331" t="n">
        <v>0</v>
      </c>
      <c r="T83" s="331" t="n">
        <v>0</v>
      </c>
      <c r="U83" s="331" t="n">
        <v>9.93</v>
      </c>
      <c r="V83" s="331" t="n">
        <v>0</v>
      </c>
      <c r="W83" s="331" t="n">
        <v>0</v>
      </c>
      <c r="X83" s="331" t="n"/>
      <c r="Y83" s="331" t="n"/>
      <c r="Z83" s="331" t="n"/>
      <c r="AA83" s="331" t="n"/>
      <c r="AB83" s="332" t="n">
        <v>0.864042</v>
      </c>
      <c r="AC83" s="332" t="n">
        <v>0.864042</v>
      </c>
      <c r="AD83" s="143" t="n">
        <v>0</v>
      </c>
      <c r="AE83" s="173" t="n">
        <v>3530.5</v>
      </c>
      <c r="AF83" s="143" t="n">
        <v>0</v>
      </c>
      <c r="AG83" s="143">
        <f>SUM(AD83:AF83)</f>
        <v/>
      </c>
      <c r="AH83" s="143">
        <f>(AD83*AB83)+((AE83+AF83)*AC83)</f>
        <v/>
      </c>
      <c r="AI83" s="143">
        <f>AD83-AS83</f>
        <v/>
      </c>
      <c r="AJ83" s="143">
        <f>AE83-AT83</f>
        <v/>
      </c>
      <c r="AK83" s="143">
        <f>AF83-AU83</f>
        <v/>
      </c>
      <c r="AL83" s="208">
        <f>SUM(AI83:AK83)</f>
        <v/>
      </c>
      <c r="AM83" s="336">
        <f>(AI83*AB83)+((AJ83+AK83)*AC83)</f>
        <v/>
      </c>
      <c r="AN83" s="124" t="n">
        <v>0</v>
      </c>
      <c r="AO83" s="124" t="n">
        <v>1594</v>
      </c>
      <c r="AP83" s="124" t="n">
        <v>0</v>
      </c>
      <c r="AQ83" s="124">
        <f>SUM(AN83:AP83)</f>
        <v/>
      </c>
      <c r="AR83" s="321">
        <f>(AN83*AB83)+((AO83+AP83)*AC83)</f>
        <v/>
      </c>
      <c r="AS83" s="124" t="n">
        <v>0</v>
      </c>
      <c r="AT83" s="124" t="n">
        <v>1987</v>
      </c>
      <c r="AU83" s="124" t="n">
        <v>0</v>
      </c>
      <c r="AV83" s="124">
        <f>SUM(AS83:AU83)</f>
        <v/>
      </c>
      <c r="AW83" s="124" t="n">
        <v>0</v>
      </c>
      <c r="AX83" s="124" t="n">
        <v>1494</v>
      </c>
      <c r="AY83" s="124" t="n">
        <v>0</v>
      </c>
      <c r="AZ83" s="124">
        <f>SUM(AW83:AY83)</f>
        <v/>
      </c>
      <c r="BA83" s="335">
        <f>(AW83*AB83)+((AX83+AY83)*AC83)</f>
        <v/>
      </c>
      <c r="BB83" s="122">
        <f>AN83-AW83</f>
        <v/>
      </c>
      <c r="BC83" s="141">
        <f>BB83*AB83</f>
        <v/>
      </c>
      <c r="BD83" s="122">
        <f>AO83-AX83</f>
        <v/>
      </c>
      <c r="BE83" s="122">
        <f>BD83*AC83</f>
        <v/>
      </c>
      <c r="BF83" s="122">
        <f>AP83-AY83</f>
        <v/>
      </c>
      <c r="BG83" s="122">
        <f>BF83*AC83</f>
        <v/>
      </c>
      <c r="BH83" s="122">
        <f>BB83+BD83+BF83</f>
        <v/>
      </c>
      <c r="BI83" s="122">
        <f>BC83+BE83+BG83</f>
        <v/>
      </c>
      <c r="BJ83" s="324">
        <f>BL83+BS83+BV83+BY83+CB83+CE83+CH83+CK83</f>
        <v/>
      </c>
      <c r="BK83" s="320">
        <f>((AI83+AW83)*AB83)+((AJ83+AK83+AX83+AY83)*AC83)</f>
        <v/>
      </c>
      <c r="BL83" s="132">
        <f>BM83+BN83+AL83</f>
        <v/>
      </c>
      <c r="BM83" s="133">
        <f>AW83</f>
        <v/>
      </c>
      <c r="BN83" s="133">
        <f>AX83+AY83</f>
        <v/>
      </c>
      <c r="BO83" s="320" t="n"/>
      <c r="BP83" s="342" t="n">
        <v>0.864042</v>
      </c>
      <c r="BQ83" s="179" t="n"/>
      <c r="BR83" s="334">
        <f>BN83*BP83</f>
        <v/>
      </c>
      <c r="BS83" s="143" t="n">
        <v>401.65</v>
      </c>
      <c r="BT83" s="193" t="n">
        <v>0.67099</v>
      </c>
      <c r="BU83" s="334">
        <f>BS83*BT83</f>
        <v/>
      </c>
      <c r="BV83" s="124" t="n"/>
      <c r="BW83" s="320" t="n"/>
      <c r="BX83" s="320" t="n"/>
      <c r="BY83" s="173" t="n"/>
      <c r="BZ83" s="326" t="n"/>
      <c r="CA83" s="173" t="n"/>
      <c r="CB83" s="173" t="n"/>
      <c r="CC83" s="326" t="n"/>
      <c r="CD83" s="124" t="n"/>
      <c r="CE83" s="124" t="n"/>
      <c r="CF83" s="320" t="n"/>
      <c r="CG83" s="124" t="n"/>
      <c r="CH83" s="124" t="n"/>
      <c r="CI83" s="320" t="n"/>
      <c r="CJ83" s="124" t="n"/>
      <c r="CK83" s="124" t="n"/>
      <c r="CL83" s="320" t="n"/>
      <c r="CM83" s="124" t="n"/>
      <c r="CN83" s="320">
        <f>BK83+BU83+BX83+CA83+CD83+CG83+CJ83+CM83</f>
        <v/>
      </c>
      <c r="CO83" s="154">
        <f>(AV83-(AZ83+BV83+BY83+CB83+CE83+CH83+CK83+BS83)+CO82)</f>
        <v/>
      </c>
      <c r="CP83" s="320">
        <f>CR83*G83</f>
        <v/>
      </c>
      <c r="CQ83" s="124">
        <f>AL83+AZ83+AQ83</f>
        <v/>
      </c>
      <c r="CR83" s="159">
        <f>AV83-AZ83-BS83-BV83-BY83-CB83</f>
        <v/>
      </c>
      <c r="CS83" s="155" t="n"/>
      <c r="CT83" s="155" t="n"/>
      <c r="CU83" s="177" t="n"/>
      <c r="CV83" s="177" t="n"/>
      <c r="CW83" s="325" t="n"/>
    </row>
    <row r="84" ht="19.9" customFormat="1" customHeight="1" s="67">
      <c r="A84" s="120" t="inlineStr">
        <is>
          <t>Casa do Pica-Pau</t>
        </is>
      </c>
      <c r="B84" s="65" t="n">
        <v>10011741021</v>
      </c>
      <c r="C84" s="120" t="inlineStr">
        <is>
          <t>Buriti</t>
        </is>
      </c>
      <c r="D84" s="121" t="inlineStr">
        <is>
          <t xml:space="preserve">Goiânia </t>
        </is>
      </c>
      <c r="E84" s="121" t="inlineStr">
        <is>
          <t>Setembro/2022</t>
        </is>
      </c>
      <c r="F84" s="122" t="n">
        <v>3801.5</v>
      </c>
      <c r="G84" s="320" t="n">
        <v>0.96</v>
      </c>
      <c r="H84" s="124">
        <f>F84*G84</f>
        <v/>
      </c>
      <c r="I84" s="121" t="n"/>
      <c r="J84" s="125" t="inlineStr">
        <is>
          <t>1 Growatt de 30 KW</t>
        </is>
      </c>
      <c r="K84" s="65" t="inlineStr">
        <is>
          <t>53 de 550W</t>
        </is>
      </c>
      <c r="L84" s="121" t="n"/>
      <c r="M84" s="126" t="inlineStr">
        <is>
          <t>Maio/2023</t>
        </is>
      </c>
      <c r="N84" s="126" t="inlineStr">
        <is>
          <t>16/05/2023 a 15/06/2023</t>
        </is>
      </c>
      <c r="O84" s="321" t="n">
        <v>92.41</v>
      </c>
      <c r="P84" s="321" t="n">
        <v>0</v>
      </c>
      <c r="Q84" s="321" t="n">
        <v>0</v>
      </c>
      <c r="R84" s="207" t="n"/>
      <c r="S84" s="321" t="n">
        <v>0</v>
      </c>
      <c r="T84" s="321" t="n">
        <v>0</v>
      </c>
      <c r="U84" s="321" t="n">
        <v>9.949999999999999</v>
      </c>
      <c r="V84" s="321" t="n">
        <v>0</v>
      </c>
      <c r="W84" s="321" t="n">
        <v>0</v>
      </c>
      <c r="X84" s="321" t="n"/>
      <c r="Y84" s="321" t="n"/>
      <c r="Z84" s="321" t="n"/>
      <c r="AA84" s="321" t="n"/>
      <c r="AB84" s="322" t="n">
        <v>0.824586</v>
      </c>
      <c r="AC84" s="322" t="n">
        <v>0.824586</v>
      </c>
      <c r="AD84" s="124" t="n">
        <v>0</v>
      </c>
      <c r="AE84" s="124" t="n">
        <v>2711.3</v>
      </c>
      <c r="AF84" s="124" t="n">
        <v>0</v>
      </c>
      <c r="AG84" s="124">
        <f>SUM(AD84:AF84)</f>
        <v/>
      </c>
      <c r="AH84" s="124">
        <f>(AD84*AB84)+((AE84+AF84)*AC84)</f>
        <v/>
      </c>
      <c r="AI84" s="124">
        <f>AD84-AS84</f>
        <v/>
      </c>
      <c r="AJ84" s="124">
        <f>AE84-AT84</f>
        <v/>
      </c>
      <c r="AK84" s="124">
        <f>AF84-AU84</f>
        <v/>
      </c>
      <c r="AL84" s="210">
        <f>SUM(AI84:AK84)</f>
        <v/>
      </c>
      <c r="AM84" s="337">
        <f>(AI84*AB84)+((AJ84+AK84)*AC84)</f>
        <v/>
      </c>
      <c r="AN84" s="143" t="n">
        <v>0</v>
      </c>
      <c r="AO84" s="143" t="n">
        <v>1555</v>
      </c>
      <c r="AP84" s="143" t="n">
        <v>0</v>
      </c>
      <c r="AQ84" s="143">
        <f>SUM(AN84:AP84)</f>
        <v/>
      </c>
      <c r="AR84" s="331">
        <f>(AN84*AB84)+((AO84+AP84)*AC84)</f>
        <v/>
      </c>
      <c r="AS84" s="143" t="n">
        <v>0</v>
      </c>
      <c r="AT84" s="143" t="n">
        <v>1388</v>
      </c>
      <c r="AU84" s="143" t="n">
        <v>0</v>
      </c>
      <c r="AV84" s="143">
        <f>SUM(AS84:AU84)</f>
        <v/>
      </c>
      <c r="AW84" s="143" t="n">
        <v>0</v>
      </c>
      <c r="AX84" s="143" t="n">
        <v>1455</v>
      </c>
      <c r="AY84" s="143" t="n">
        <v>0</v>
      </c>
      <c r="AZ84" s="143">
        <f>SUM(AW84:AY84)</f>
        <v/>
      </c>
      <c r="BA84" s="335">
        <f>(AW84*AB84)+((AX84+AY84)*AC84)</f>
        <v/>
      </c>
      <c r="BB84" s="141">
        <f>AN84-AW84</f>
        <v/>
      </c>
      <c r="BC84" s="141">
        <f>BB84*AB84</f>
        <v/>
      </c>
      <c r="BD84" s="141">
        <f>AO84-AX84</f>
        <v/>
      </c>
      <c r="BE84" s="141">
        <f>BD84*AC84</f>
        <v/>
      </c>
      <c r="BF84" s="141">
        <f>AP84-AY84</f>
        <v/>
      </c>
      <c r="BG84" s="141">
        <f>BF84*AC84</f>
        <v/>
      </c>
      <c r="BH84" s="141">
        <f>BB84+BD84+BF84</f>
        <v/>
      </c>
      <c r="BI84" s="141">
        <f>BC84+BE84+BG84</f>
        <v/>
      </c>
      <c r="BJ84" s="324">
        <f>BL84+BS84+BV84+BY84+CB84+CE84+CH84+CK84</f>
        <v/>
      </c>
      <c r="BK84" s="320">
        <f>((AI84+AW84)*AB84)+((AJ84+AK84+AX84+AY84)*AC84)</f>
        <v/>
      </c>
      <c r="BL84" s="132">
        <f>BM84+BN84+AL84</f>
        <v/>
      </c>
      <c r="BM84" s="133">
        <f>AW84</f>
        <v/>
      </c>
      <c r="BN84" s="133">
        <f>AX84+AY84</f>
        <v/>
      </c>
      <c r="BO84" s="334" t="n"/>
      <c r="BP84" s="341" t="n">
        <v>0.824586</v>
      </c>
      <c r="BQ84" s="179" t="n"/>
      <c r="BR84" s="334">
        <f>BN84*BP84</f>
        <v/>
      </c>
      <c r="BS84" s="124" t="n">
        <v>397.4</v>
      </c>
      <c r="BT84" s="191" t="n">
        <v>0.67099</v>
      </c>
      <c r="BU84" s="334">
        <f>BS84*BT84</f>
        <v/>
      </c>
      <c r="BV84" s="143" t="n"/>
      <c r="BW84" s="334" t="n"/>
      <c r="BX84" s="334" t="n"/>
      <c r="BY84" s="124" t="n"/>
      <c r="BZ84" s="320" t="n"/>
      <c r="CA84" s="124" t="n"/>
      <c r="CB84" s="124" t="n"/>
      <c r="CC84" s="320" t="n"/>
      <c r="CD84" s="143" t="n"/>
      <c r="CE84" s="143" t="n"/>
      <c r="CF84" s="334" t="n"/>
      <c r="CG84" s="143" t="n"/>
      <c r="CH84" s="143" t="n"/>
      <c r="CI84" s="334" t="n"/>
      <c r="CJ84" s="143" t="n"/>
      <c r="CK84" s="143" t="n"/>
      <c r="CL84" s="334" t="n"/>
      <c r="CM84" s="143" t="n"/>
      <c r="CN84" s="320">
        <f>BK84+BU84+BX84+CA84+CD84+CG84+CJ84+CM84</f>
        <v/>
      </c>
      <c r="CO84" s="154">
        <f>(AV84-(AZ84+BV84+BY84+CB84+CE84+CH84+CK84+BS84)+CO83)</f>
        <v/>
      </c>
      <c r="CP84" s="320">
        <f>CR84*G84</f>
        <v/>
      </c>
      <c r="CQ84" s="124">
        <f>AL84+AZ84+AQ84</f>
        <v/>
      </c>
      <c r="CR84" s="159">
        <f>AV84-AZ84-BS84-BV84-BY84-CB84</f>
        <v/>
      </c>
      <c r="CS84" s="155" t="n"/>
      <c r="CT84" s="155" t="n"/>
      <c r="CU84" s="177" t="n"/>
      <c r="CV84" s="177" t="n"/>
      <c r="CW84" s="325" t="n"/>
    </row>
    <row r="85" ht="19.9" customFormat="1" customHeight="1" s="67">
      <c r="A85" s="233" t="inlineStr">
        <is>
          <t>Casa do Pica-Pau</t>
        </is>
      </c>
      <c r="B85" s="66" t="n">
        <v>10011741021</v>
      </c>
      <c r="C85" s="233" t="inlineStr">
        <is>
          <t>Buriti</t>
        </is>
      </c>
      <c r="D85" s="140" t="inlineStr">
        <is>
          <t xml:space="preserve">Goiânia </t>
        </is>
      </c>
      <c r="E85" s="140" t="inlineStr">
        <is>
          <t>Setembro/2022</t>
        </is>
      </c>
      <c r="F85" s="141" t="n">
        <v>3801.5</v>
      </c>
      <c r="G85" s="326" t="n">
        <v>0.96</v>
      </c>
      <c r="H85" s="173">
        <f>F85*G85</f>
        <v/>
      </c>
      <c r="I85" s="140" t="n"/>
      <c r="J85" s="144" t="inlineStr">
        <is>
          <t>1 Growatt de 30 KW</t>
        </is>
      </c>
      <c r="K85" s="66" t="inlineStr">
        <is>
          <t>53 de 550W</t>
        </is>
      </c>
      <c r="L85" s="140" t="n"/>
      <c r="M85" s="145" t="inlineStr">
        <is>
          <t>Junho/2023</t>
        </is>
      </c>
      <c r="N85" s="145" t="inlineStr">
        <is>
          <t>15/06/2023 a 15/07/2023</t>
        </is>
      </c>
      <c r="O85" s="331" t="n">
        <v>317.17</v>
      </c>
      <c r="P85" s="331" t="n">
        <v>0</v>
      </c>
      <c r="Q85" s="331" t="n">
        <v>0</v>
      </c>
      <c r="R85" s="147" t="n"/>
      <c r="S85" s="331" t="n">
        <v>0</v>
      </c>
      <c r="T85" s="331" t="n">
        <v>2.19</v>
      </c>
      <c r="U85" s="331" t="n">
        <v>9.5</v>
      </c>
      <c r="V85" s="331" t="n">
        <v>0</v>
      </c>
      <c r="W85" s="331" t="n">
        <v>0</v>
      </c>
      <c r="X85" s="331" t="n"/>
      <c r="Y85" s="331" t="n"/>
      <c r="Z85" s="331" t="n"/>
      <c r="AA85" s="331" t="n"/>
      <c r="AB85" s="332" t="n">
        <v>0.835099</v>
      </c>
      <c r="AC85" s="332" t="n">
        <v>0.835099</v>
      </c>
      <c r="AD85" s="143" t="n">
        <v>0</v>
      </c>
      <c r="AE85" s="173" t="n">
        <v>2347.8</v>
      </c>
      <c r="AF85" s="143" t="n">
        <v>0</v>
      </c>
      <c r="AG85" s="143">
        <f>SUM(AD85:AF85)</f>
        <v/>
      </c>
      <c r="AH85" s="143">
        <f>(AD85*AB85)+((AE85+AF85)*AC85)</f>
        <v/>
      </c>
      <c r="AI85" s="143">
        <f>AD85-AS85</f>
        <v/>
      </c>
      <c r="AJ85" s="143">
        <f>AE85-AT85</f>
        <v/>
      </c>
      <c r="AK85" s="143">
        <f>AF85-AU85</f>
        <v/>
      </c>
      <c r="AL85" s="208">
        <f>SUM(AI85:AK85)</f>
        <v/>
      </c>
      <c r="AM85" s="336">
        <f>(AI85*AB85)+((AJ85+AK85)*AC85)</f>
        <v/>
      </c>
      <c r="AN85" s="124" t="n">
        <v>0</v>
      </c>
      <c r="AO85" s="124" t="n">
        <v>1498</v>
      </c>
      <c r="AP85" s="124" t="n">
        <v>0</v>
      </c>
      <c r="AQ85" s="124">
        <f>SUM(AN85:AP85)</f>
        <v/>
      </c>
      <c r="AR85" s="321">
        <f>(AN85*AB85)+((AO85+AP85)*AC85)</f>
        <v/>
      </c>
      <c r="AS85" s="124" t="n">
        <v>0</v>
      </c>
      <c r="AT85" s="124" t="n">
        <v>1147</v>
      </c>
      <c r="AU85" s="124" t="n">
        <v>0</v>
      </c>
      <c r="AV85" s="124">
        <f>SUM(AS85:AU85)</f>
        <v/>
      </c>
      <c r="AW85" s="124" t="n">
        <v>0</v>
      </c>
      <c r="AX85" s="124" t="n">
        <v>1132.2</v>
      </c>
      <c r="AY85" s="124" t="n">
        <v>0</v>
      </c>
      <c r="AZ85" s="124">
        <f>SUM(AW85:AY85)</f>
        <v/>
      </c>
      <c r="BA85" s="335">
        <f>(AW85*AB85)+((AX85+AY85)*AC85)</f>
        <v/>
      </c>
      <c r="BB85" s="122">
        <f>AN85-AW85</f>
        <v/>
      </c>
      <c r="BC85" s="141">
        <f>BB85*AB85</f>
        <v/>
      </c>
      <c r="BD85" s="122">
        <f>AO85-AX85</f>
        <v/>
      </c>
      <c r="BE85" s="122">
        <f>BD85*AC85</f>
        <v/>
      </c>
      <c r="BF85" s="122">
        <f>AP85-AY85</f>
        <v/>
      </c>
      <c r="BG85" s="122">
        <f>BF85*AC85</f>
        <v/>
      </c>
      <c r="BH85" s="122">
        <f>BB85+BD85+BF85</f>
        <v/>
      </c>
      <c r="BI85" s="122">
        <f>BC85+BE85+BG85</f>
        <v/>
      </c>
      <c r="BJ85" s="324">
        <f>BL85+BS85+BV85+BY85+CB85+CE85+CH85+CK85</f>
        <v/>
      </c>
      <c r="BK85" s="320">
        <f>((AI85+AW85)*AB85)+((AJ85+AK85+AX85+AY85)*AC85)</f>
        <v/>
      </c>
      <c r="BL85" s="132">
        <f>BM85+BN85+AL85</f>
        <v/>
      </c>
      <c r="BM85" s="133">
        <f>AW85</f>
        <v/>
      </c>
      <c r="BN85" s="133">
        <f>AX85+AY85</f>
        <v/>
      </c>
      <c r="BO85" s="320" t="n"/>
      <c r="BP85" s="342" t="n">
        <v>0.835099</v>
      </c>
      <c r="BQ85" s="179" t="n"/>
      <c r="BR85" s="334">
        <f>BN85*BP85</f>
        <v/>
      </c>
      <c r="BS85" s="143" t="n">
        <v>0</v>
      </c>
      <c r="BT85" s="193" t="n">
        <v>0.67099</v>
      </c>
      <c r="BU85" s="334">
        <f>BS85*BT85</f>
        <v/>
      </c>
      <c r="BV85" s="124" t="n"/>
      <c r="BW85" s="320" t="n"/>
      <c r="BX85" s="320" t="n"/>
      <c r="BY85" s="173" t="n"/>
      <c r="BZ85" s="326" t="n"/>
      <c r="CA85" s="173" t="n"/>
      <c r="CB85" s="173" t="n"/>
      <c r="CC85" s="326" t="n"/>
      <c r="CD85" s="124" t="n"/>
      <c r="CE85" s="124" t="n"/>
      <c r="CF85" s="320" t="n"/>
      <c r="CG85" s="124" t="n"/>
      <c r="CH85" s="124" t="n"/>
      <c r="CI85" s="320" t="n"/>
      <c r="CJ85" s="124" t="n"/>
      <c r="CK85" s="124" t="n"/>
      <c r="CL85" s="320" t="n"/>
      <c r="CM85" s="124" t="n"/>
      <c r="CN85" s="320">
        <f>BK85+BU85+BX85+CA85+CD85+CG85+CJ85+CM85</f>
        <v/>
      </c>
      <c r="CO85" s="154">
        <f>(AV85-(AZ85+BV85+BY85+CB85+CE85+CH85+CK85+BS85)+CO84)</f>
        <v/>
      </c>
      <c r="CP85" s="320">
        <f>CR85*G85</f>
        <v/>
      </c>
      <c r="CQ85" s="124">
        <f>AL85+AZ85+AQ85</f>
        <v/>
      </c>
      <c r="CR85" s="159">
        <f>AV85-AZ85-BS85-BV85-BY85-CB85</f>
        <v/>
      </c>
      <c r="CS85" s="155" t="n"/>
      <c r="CT85" s="155" t="n"/>
      <c r="CU85" s="177" t="n"/>
      <c r="CV85" s="177" t="n"/>
      <c r="CW85" s="325" t="n"/>
    </row>
    <row r="86" ht="19.9" customFormat="1" customHeight="1" s="67">
      <c r="A86" s="120" t="inlineStr">
        <is>
          <t>Casa do Pica-Pau</t>
        </is>
      </c>
      <c r="B86" s="65" t="n">
        <v>10011741021</v>
      </c>
      <c r="C86" s="120" t="inlineStr">
        <is>
          <t>Buriti</t>
        </is>
      </c>
      <c r="D86" s="121" t="inlineStr">
        <is>
          <t xml:space="preserve">Goiânia </t>
        </is>
      </c>
      <c r="E86" s="121" t="inlineStr">
        <is>
          <t>Setembro/2022</t>
        </is>
      </c>
      <c r="F86" s="122" t="n">
        <v>3801.5</v>
      </c>
      <c r="G86" s="320" t="n">
        <v>0.96</v>
      </c>
      <c r="H86" s="124">
        <f>F86*G86</f>
        <v/>
      </c>
      <c r="I86" s="121" t="n"/>
      <c r="J86" s="125" t="inlineStr">
        <is>
          <t>1 Growatt de 30 KW</t>
        </is>
      </c>
      <c r="K86" s="65" t="inlineStr">
        <is>
          <t>53 de 550W</t>
        </is>
      </c>
      <c r="L86" s="121" t="n"/>
      <c r="M86" s="126" t="inlineStr">
        <is>
          <t>Julho/2023</t>
        </is>
      </c>
      <c r="N86" s="126" t="inlineStr">
        <is>
          <t>15/07/2023 a 15/08/2023</t>
        </is>
      </c>
      <c r="O86" s="321" t="n">
        <v>834.96</v>
      </c>
      <c r="P86" s="321" t="n">
        <v>0</v>
      </c>
      <c r="Q86" s="321" t="n">
        <v>0</v>
      </c>
      <c r="R86" s="207" t="n"/>
      <c r="S86" s="321" t="n">
        <v>0</v>
      </c>
      <c r="T86" s="321" t="n">
        <v>2.2</v>
      </c>
      <c r="U86" s="321" t="n">
        <v>10.18</v>
      </c>
      <c r="V86" s="321" t="n">
        <v>0</v>
      </c>
      <c r="W86" s="321" t="n">
        <v>0</v>
      </c>
      <c r="X86" s="321" t="n"/>
      <c r="Y86" s="321" t="n"/>
      <c r="Z86" s="321" t="n"/>
      <c r="AA86" s="321" t="n"/>
      <c r="AB86" s="322" t="n">
        <v>0.844714</v>
      </c>
      <c r="AC86" s="322" t="n">
        <v>0.844714</v>
      </c>
      <c r="AD86" s="124" t="n">
        <v>0</v>
      </c>
      <c r="AE86" s="124" t="n">
        <v>2499.1</v>
      </c>
      <c r="AF86" s="124" t="n">
        <v>0</v>
      </c>
      <c r="AG86" s="124">
        <f>SUM(AD86:AF86)</f>
        <v/>
      </c>
      <c r="AH86" s="124">
        <f>(AD86*AB86)+((AE86+AF86)*AC86)</f>
        <v/>
      </c>
      <c r="AI86" s="124">
        <f>AD86-AS86</f>
        <v/>
      </c>
      <c r="AJ86" s="124">
        <f>AE86-AT86</f>
        <v/>
      </c>
      <c r="AK86" s="124">
        <f>AF86-AU86</f>
        <v/>
      </c>
      <c r="AL86" s="210">
        <f>SUM(AI86:AK86)</f>
        <v/>
      </c>
      <c r="AM86" s="337">
        <f>(AI86*AB86)+((AJ86+AK86)*AC86)</f>
        <v/>
      </c>
      <c r="AN86" s="143" t="n">
        <v>0</v>
      </c>
      <c r="AO86" s="143" t="n">
        <v>1821</v>
      </c>
      <c r="AP86" s="143" t="n">
        <v>0</v>
      </c>
      <c r="AQ86" s="143">
        <f>SUM(AN86:AP86)</f>
        <v/>
      </c>
      <c r="AR86" s="331">
        <f>(AN86*AB86)+((AO86+AP86)*AC86)</f>
        <v/>
      </c>
      <c r="AS86" s="143" t="n">
        <v>0</v>
      </c>
      <c r="AT86" s="143" t="n">
        <v>1059</v>
      </c>
      <c r="AU86" s="143" t="n">
        <v>0</v>
      </c>
      <c r="AV86" s="143">
        <f>SUM(AS86:AU86)</f>
        <v/>
      </c>
      <c r="AW86" s="143" t="n">
        <v>0</v>
      </c>
      <c r="AX86" s="143" t="n">
        <v>847.2</v>
      </c>
      <c r="AY86" s="143" t="n">
        <v>0</v>
      </c>
      <c r="AZ86" s="143">
        <f>SUM(AW86:AY86)</f>
        <v/>
      </c>
      <c r="BA86" s="335">
        <f>(AW86*AB86)+((AX86+AY86)*AC86)</f>
        <v/>
      </c>
      <c r="BB86" s="141">
        <f>AN86-AW86</f>
        <v/>
      </c>
      <c r="BC86" s="141">
        <f>BB86*AB86</f>
        <v/>
      </c>
      <c r="BD86" s="141">
        <f>AO86-AX86</f>
        <v/>
      </c>
      <c r="BE86" s="141">
        <f>BD86*AC86</f>
        <v/>
      </c>
      <c r="BF86" s="141">
        <f>AP86-AY86</f>
        <v/>
      </c>
      <c r="BG86" s="141">
        <f>BF86*AC86</f>
        <v/>
      </c>
      <c r="BH86" s="141">
        <f>BB86+BD86+BF86</f>
        <v/>
      </c>
      <c r="BI86" s="141">
        <f>BC86+BE86+BG86</f>
        <v/>
      </c>
      <c r="BJ86" s="324">
        <f>BL86+BS86+BV86+BY86+CB86+CE86+CH86+CK86</f>
        <v/>
      </c>
      <c r="BK86" s="320">
        <f>((AI86+AW86)*AB86)+((AJ86+AK86+AX86+AY86)*AC86)</f>
        <v/>
      </c>
      <c r="BL86" s="132">
        <f>BM86+BN86+AL86</f>
        <v/>
      </c>
      <c r="BM86" s="133">
        <f>AW86</f>
        <v/>
      </c>
      <c r="BN86" s="133">
        <f>AX86+AY86</f>
        <v/>
      </c>
      <c r="BO86" s="334" t="n"/>
      <c r="BP86" s="341" t="n">
        <v>0.844714</v>
      </c>
      <c r="BQ86" s="179" t="n"/>
      <c r="BR86" s="334">
        <f>BN86*BP86</f>
        <v/>
      </c>
      <c r="BS86" s="124" t="n">
        <v>0</v>
      </c>
      <c r="BT86" s="191" t="n">
        <v>0.67099</v>
      </c>
      <c r="BU86" s="334">
        <f>BS86*BT86</f>
        <v/>
      </c>
      <c r="BV86" s="143" t="n"/>
      <c r="BW86" s="334" t="n"/>
      <c r="BX86" s="334" t="n"/>
      <c r="BY86" s="124" t="n"/>
      <c r="BZ86" s="320" t="n"/>
      <c r="CA86" s="124" t="n"/>
      <c r="CB86" s="124" t="n"/>
      <c r="CC86" s="320" t="n"/>
      <c r="CD86" s="143" t="n"/>
      <c r="CE86" s="143" t="n"/>
      <c r="CF86" s="334" t="n"/>
      <c r="CG86" s="143" t="n"/>
      <c r="CH86" s="143" t="n"/>
      <c r="CI86" s="334" t="n"/>
      <c r="CJ86" s="143" t="n"/>
      <c r="CK86" s="143" t="n"/>
      <c r="CL86" s="334" t="n"/>
      <c r="CM86" s="143" t="n"/>
      <c r="CN86" s="320">
        <f>BK86+BU86+BX86+CA86+CD86+CG86+CJ86+CM86</f>
        <v/>
      </c>
      <c r="CO86" s="154">
        <f>(AV86-(AZ86+BV86+BY86+CB86+CE86+CH86+CK86+BS86)+CO85)</f>
        <v/>
      </c>
      <c r="CP86" s="320">
        <f>CR86*G86</f>
        <v/>
      </c>
      <c r="CQ86" s="124">
        <f>AL86+AZ86+AQ86</f>
        <v/>
      </c>
      <c r="CR86" s="159">
        <f>AV86-AZ86-BS86-BV86-BY86-CB86</f>
        <v/>
      </c>
      <c r="CS86" s="155" t="n"/>
      <c r="CT86" s="155" t="n"/>
      <c r="CU86" s="177" t="n"/>
      <c r="CV86" s="177" t="n"/>
      <c r="CW86" s="325" t="n"/>
    </row>
    <row r="87" ht="19.9" customFormat="1" customHeight="1" s="67">
      <c r="A87" s="233" t="inlineStr">
        <is>
          <t>Casa do Pica-Pau</t>
        </is>
      </c>
      <c r="B87" s="66" t="n">
        <v>10011741021</v>
      </c>
      <c r="C87" s="233" t="inlineStr">
        <is>
          <t>Buriti</t>
        </is>
      </c>
      <c r="D87" s="140" t="inlineStr">
        <is>
          <t xml:space="preserve">Goiânia </t>
        </is>
      </c>
      <c r="E87" s="140" t="inlineStr">
        <is>
          <t>Setembro/2022</t>
        </is>
      </c>
      <c r="F87" s="141" t="n">
        <v>3801.5</v>
      </c>
      <c r="G87" s="326" t="n">
        <v>0.96</v>
      </c>
      <c r="H87" s="173">
        <f>F87*G87</f>
        <v/>
      </c>
      <c r="I87" s="140" t="n"/>
      <c r="J87" s="144" t="inlineStr">
        <is>
          <t>1 Growatt de 30 KW</t>
        </is>
      </c>
      <c r="K87" s="66" t="inlineStr">
        <is>
          <t>53 de 550W</t>
        </is>
      </c>
      <c r="L87" s="140" t="n"/>
      <c r="M87" s="145" t="inlineStr">
        <is>
          <t>Agosto/2023</t>
        </is>
      </c>
      <c r="N87" s="145" t="inlineStr">
        <is>
          <t>15/08/2023 a 14/09/2023</t>
        </is>
      </c>
      <c r="O87" s="331" t="n">
        <v>689.5700000000001</v>
      </c>
      <c r="P87" s="331" t="n">
        <v>0</v>
      </c>
      <c r="Q87" s="331" t="n">
        <v>0</v>
      </c>
      <c r="R87" s="147" t="n"/>
      <c r="S87" s="331" t="n">
        <v>0</v>
      </c>
      <c r="T87" s="331" t="n">
        <v>0</v>
      </c>
      <c r="U87" s="331" t="n">
        <v>9.66</v>
      </c>
      <c r="V87" s="331" t="n">
        <v>0</v>
      </c>
      <c r="W87" s="331" t="n">
        <v>0</v>
      </c>
      <c r="X87" s="331" t="n"/>
      <c r="Y87" s="331" t="n"/>
      <c r="Z87" s="331" t="n"/>
      <c r="AA87" s="331" t="n"/>
      <c r="AB87" s="332" t="n">
        <v>0.822137</v>
      </c>
      <c r="AC87" s="332" t="n">
        <v>0.822137</v>
      </c>
      <c r="AD87" s="143" t="n">
        <v>0</v>
      </c>
      <c r="AE87" s="173" t="n">
        <v>2995.8</v>
      </c>
      <c r="AF87" s="143" t="n">
        <v>0</v>
      </c>
      <c r="AG87" s="143">
        <f>SUM(AD87:AF87)</f>
        <v/>
      </c>
      <c r="AH87" s="143">
        <f>(AD87*AB87)+((AE87+AF87)*AC87)</f>
        <v/>
      </c>
      <c r="AI87" s="143">
        <f>AD87-AS87</f>
        <v/>
      </c>
      <c r="AJ87" s="143">
        <f>AE87-AT87</f>
        <v/>
      </c>
      <c r="AK87" s="143">
        <f>AF87-AU87</f>
        <v/>
      </c>
      <c r="AL87" s="208">
        <f>SUM(AI87:AK87)</f>
        <v/>
      </c>
      <c r="AM87" s="336">
        <f>(AI87*AB87)+((AJ87+AK87)*AC87)</f>
        <v/>
      </c>
      <c r="AN87" s="124" t="n">
        <v>0</v>
      </c>
      <c r="AO87" s="124" t="n">
        <v>1919</v>
      </c>
      <c r="AP87" s="124" t="n">
        <v>0</v>
      </c>
      <c r="AQ87" s="124">
        <f>SUM(AN87:AP87)</f>
        <v/>
      </c>
      <c r="AR87" s="321">
        <f>(AN87*AB87)+((AO87+AP87)*AC87)</f>
        <v/>
      </c>
      <c r="AS87" s="124" t="n">
        <v>0</v>
      </c>
      <c r="AT87" s="124" t="n">
        <v>1365</v>
      </c>
      <c r="AU87" s="124" t="n">
        <v>0</v>
      </c>
      <c r="AV87" s="124">
        <f>SUM(AS87:AU87)</f>
        <v/>
      </c>
      <c r="AW87" s="124" t="n">
        <v>0</v>
      </c>
      <c r="AX87" s="124" t="n">
        <v>1092</v>
      </c>
      <c r="AY87" s="124" t="n">
        <v>0</v>
      </c>
      <c r="AZ87" s="124">
        <f>SUM(AW87:AY87)</f>
        <v/>
      </c>
      <c r="BA87" s="335">
        <f>(AW87*AB87)+((AX87+AY87)*AC87)</f>
        <v/>
      </c>
      <c r="BB87" s="122">
        <f>AN87-AW87</f>
        <v/>
      </c>
      <c r="BC87" s="141">
        <f>BB87*AB87</f>
        <v/>
      </c>
      <c r="BD87" s="122">
        <f>AO87-AX87</f>
        <v/>
      </c>
      <c r="BE87" s="122">
        <f>BD87*AC87</f>
        <v/>
      </c>
      <c r="BF87" s="122">
        <f>AP87-AY87</f>
        <v/>
      </c>
      <c r="BG87" s="122">
        <f>BF87*AC87</f>
        <v/>
      </c>
      <c r="BH87" s="122">
        <f>BB87+BD87+BF87</f>
        <v/>
      </c>
      <c r="BI87" s="122">
        <f>BC87+BE87+BG87</f>
        <v/>
      </c>
      <c r="BJ87" s="324">
        <f>BL87+BS87+BV87+BY87+CB87+CE87+CH87+CK87</f>
        <v/>
      </c>
      <c r="BK87" s="320">
        <f>((AI87+AW87)*AB87)+((AJ87+AK87+AX87+AY87)*AC87)</f>
        <v/>
      </c>
      <c r="BL87" s="132">
        <f>BM87+BN87+AL87</f>
        <v/>
      </c>
      <c r="BM87" s="133">
        <f>AW87</f>
        <v/>
      </c>
      <c r="BN87" s="133">
        <f>AX87+AY87</f>
        <v/>
      </c>
      <c r="BO87" s="320" t="n"/>
      <c r="BP87" s="342" t="n">
        <v>0.822137</v>
      </c>
      <c r="BQ87" s="179" t="n"/>
      <c r="BR87" s="334">
        <f>BN87*BP87</f>
        <v/>
      </c>
      <c r="BS87" s="143" t="n">
        <v>0</v>
      </c>
      <c r="BT87" s="193" t="n">
        <v>0.67099</v>
      </c>
      <c r="BU87" s="334">
        <f>BS87*BT87</f>
        <v/>
      </c>
      <c r="BV87" s="124" t="n"/>
      <c r="BW87" s="320" t="n"/>
      <c r="BX87" s="320" t="n"/>
      <c r="BY87" s="173" t="n"/>
      <c r="BZ87" s="326" t="n"/>
      <c r="CA87" s="173" t="n"/>
      <c r="CB87" s="173" t="n"/>
      <c r="CC87" s="326" t="n"/>
      <c r="CD87" s="124" t="n"/>
      <c r="CE87" s="124" t="n"/>
      <c r="CF87" s="320" t="n"/>
      <c r="CG87" s="124" t="n"/>
      <c r="CH87" s="124" t="n"/>
      <c r="CI87" s="320" t="n"/>
      <c r="CJ87" s="124" t="n"/>
      <c r="CK87" s="124" t="n"/>
      <c r="CL87" s="320" t="n"/>
      <c r="CM87" s="124" t="n"/>
      <c r="CN87" s="320">
        <f>BK87+BU87+BX87+CA87+CD87+CG87+CJ87+CM87</f>
        <v/>
      </c>
      <c r="CO87" s="154">
        <f>(AV87-(AZ87+BV87+BY87+CB87+CE87+CH87+CK87+BS87)+CO86)</f>
        <v/>
      </c>
      <c r="CP87" s="320">
        <f>CR87*G87</f>
        <v/>
      </c>
      <c r="CQ87" s="124">
        <f>AL87+AZ87+AQ87</f>
        <v/>
      </c>
      <c r="CR87" s="159">
        <f>AV87-AZ87-BS87-BV87-BY87-CB87</f>
        <v/>
      </c>
      <c r="CS87" s="155" t="n"/>
      <c r="CT87" s="155" t="n"/>
      <c r="CU87" s="177" t="n"/>
      <c r="CV87" s="177" t="n"/>
      <c r="CW87" s="325" t="n"/>
    </row>
    <row r="88" ht="19.9" customFormat="1" customHeight="1" s="67">
      <c r="A88" s="120" t="inlineStr">
        <is>
          <t>Casa do Pica-Pau</t>
        </is>
      </c>
      <c r="B88" s="65" t="n">
        <v>10011741021</v>
      </c>
      <c r="C88" s="120" t="inlineStr">
        <is>
          <t>Buriti</t>
        </is>
      </c>
      <c r="D88" s="121" t="inlineStr">
        <is>
          <t xml:space="preserve">Goiânia </t>
        </is>
      </c>
      <c r="E88" s="121" t="inlineStr">
        <is>
          <t>Setembro/2022</t>
        </is>
      </c>
      <c r="F88" s="122" t="n">
        <v>3801.5</v>
      </c>
      <c r="G88" s="320" t="n">
        <v>0.96</v>
      </c>
      <c r="H88" s="124">
        <f>F88*G88</f>
        <v/>
      </c>
      <c r="I88" s="121" t="n"/>
      <c r="J88" s="125" t="inlineStr">
        <is>
          <t>1 Growatt de 30 KW</t>
        </is>
      </c>
      <c r="K88" s="65" t="inlineStr">
        <is>
          <t>53 de 550W</t>
        </is>
      </c>
      <c r="L88" s="121" t="n"/>
      <c r="M88" s="126" t="inlineStr">
        <is>
          <t>Setembro/2023</t>
        </is>
      </c>
      <c r="N88" s="126" t="inlineStr">
        <is>
          <t>14/09/2023 a 16/10/2023</t>
        </is>
      </c>
      <c r="O88" s="321" t="n">
        <v>956.63</v>
      </c>
      <c r="P88" s="321" t="n">
        <v>0</v>
      </c>
      <c r="Q88" s="321" t="n">
        <v>0</v>
      </c>
      <c r="R88" s="207" t="n"/>
      <c r="S88" s="321" t="n">
        <v>0</v>
      </c>
      <c r="T88" s="321" t="n">
        <v>43.16</v>
      </c>
      <c r="U88" s="321" t="n">
        <v>12.96</v>
      </c>
      <c r="V88" s="321" t="n">
        <v>0</v>
      </c>
      <c r="W88" s="321" t="n">
        <v>0</v>
      </c>
      <c r="X88" s="321" t="n"/>
      <c r="Y88" s="321" t="n"/>
      <c r="Z88" s="321" t="n"/>
      <c r="AA88" s="321" t="n"/>
      <c r="AB88" s="322" t="n">
        <v>0.8394</v>
      </c>
      <c r="AC88" s="322" t="n">
        <v>0.8394</v>
      </c>
      <c r="AD88" s="124" t="n">
        <v>0</v>
      </c>
      <c r="AE88" s="124" t="n">
        <v>3550.4</v>
      </c>
      <c r="AF88" s="124" t="n">
        <v>0</v>
      </c>
      <c r="AG88" s="124">
        <f>SUM(AD88:AF88)</f>
        <v/>
      </c>
      <c r="AH88" s="124">
        <f>(AD88*AB88)+((AE88+AF88)*AC88)</f>
        <v/>
      </c>
      <c r="AI88" s="124">
        <f>AD88-AS88</f>
        <v/>
      </c>
      <c r="AJ88" s="124">
        <f>AE88-AT88</f>
        <v/>
      </c>
      <c r="AK88" s="124">
        <f>AF88-AU88</f>
        <v/>
      </c>
      <c r="AL88" s="210">
        <f>SUM(AI88:AK88)</f>
        <v/>
      </c>
      <c r="AM88" s="337">
        <f>(AI88*AB88)+((AJ88+AK88)*AC88)</f>
        <v/>
      </c>
      <c r="AN88" s="143" t="n">
        <v>0</v>
      </c>
      <c r="AO88" s="143" t="n">
        <v>2212</v>
      </c>
      <c r="AP88" s="143" t="n">
        <v>0</v>
      </c>
      <c r="AQ88" s="143">
        <f>SUM(AN88:AP88)</f>
        <v/>
      </c>
      <c r="AR88" s="331">
        <f>(AN88*AB88)+((AO88+AP88)*AC88)</f>
        <v/>
      </c>
      <c r="AS88" s="143" t="n">
        <v>0</v>
      </c>
      <c r="AT88" s="143" t="n">
        <v>1424</v>
      </c>
      <c r="AU88" s="143" t="n">
        <v>0</v>
      </c>
      <c r="AV88" s="143">
        <f>SUM(AS88:AU88)</f>
        <v/>
      </c>
      <c r="AW88" s="143" t="n">
        <v>0</v>
      </c>
      <c r="AX88" s="143" t="n">
        <v>1139.2</v>
      </c>
      <c r="AY88" s="143" t="n">
        <v>0</v>
      </c>
      <c r="AZ88" s="143">
        <f>SUM(AW88:AY88)</f>
        <v/>
      </c>
      <c r="BA88" s="335">
        <f>(AW88*AB88)+((AX88+AY88)*AC88)</f>
        <v/>
      </c>
      <c r="BB88" s="141">
        <f>AN88-AW88</f>
        <v/>
      </c>
      <c r="BC88" s="141">
        <f>BB88*AB88</f>
        <v/>
      </c>
      <c r="BD88" s="141">
        <f>AO88-AX88</f>
        <v/>
      </c>
      <c r="BE88" s="141">
        <f>BD88*AC88</f>
        <v/>
      </c>
      <c r="BF88" s="141">
        <f>AP88-AY88</f>
        <v/>
      </c>
      <c r="BG88" s="141">
        <f>BF88*AC88</f>
        <v/>
      </c>
      <c r="BH88" s="141">
        <f>BB88+BD88+BF88</f>
        <v/>
      </c>
      <c r="BI88" s="141">
        <f>BC88+BE88+BG88</f>
        <v/>
      </c>
      <c r="BJ88" s="324">
        <f>BL88+BS88+BV88+BY88+CB88+CE88+CH88+CK88</f>
        <v/>
      </c>
      <c r="BK88" s="320">
        <f>((AI88+AW88)*AB88)+((AJ88+AK88+AX88+AY88)*AC88)</f>
        <v/>
      </c>
      <c r="BL88" s="132">
        <f>BM88+BN88+AL88</f>
        <v/>
      </c>
      <c r="BM88" s="133">
        <f>AW88</f>
        <v/>
      </c>
      <c r="BN88" s="133">
        <f>AX88+AY88</f>
        <v/>
      </c>
      <c r="BO88" s="334" t="n"/>
      <c r="BP88" s="341" t="n">
        <v>0.8394</v>
      </c>
      <c r="BQ88" s="179" t="n"/>
      <c r="BR88" s="334">
        <f>BN88*BP88</f>
        <v/>
      </c>
      <c r="BS88" s="124" t="n">
        <v>0</v>
      </c>
      <c r="BT88" s="191" t="n">
        <v>0.67099</v>
      </c>
      <c r="BU88" s="334">
        <f>BS88*BT88</f>
        <v/>
      </c>
      <c r="BV88" s="143" t="n"/>
      <c r="BW88" s="334" t="n"/>
      <c r="BX88" s="334" t="n"/>
      <c r="BY88" s="124" t="n"/>
      <c r="BZ88" s="320" t="n"/>
      <c r="CA88" s="124" t="n"/>
      <c r="CB88" s="124" t="n"/>
      <c r="CC88" s="320" t="n"/>
      <c r="CD88" s="143" t="n"/>
      <c r="CE88" s="143" t="n"/>
      <c r="CF88" s="334" t="n"/>
      <c r="CG88" s="143" t="n"/>
      <c r="CH88" s="143" t="n"/>
      <c r="CI88" s="334" t="n"/>
      <c r="CJ88" s="143" t="n"/>
      <c r="CK88" s="143" t="n"/>
      <c r="CL88" s="334" t="n"/>
      <c r="CM88" s="143" t="n"/>
      <c r="CN88" s="320">
        <f>BK88+BU88+BX88+CA88+CD88+CG88+CJ88+CM88</f>
        <v/>
      </c>
      <c r="CO88" s="154">
        <f>(AV88-(AZ88+BV88+BY88+CB88+CE88+CH88+CK88+BS88)+CO87)</f>
        <v/>
      </c>
      <c r="CP88" s="320">
        <f>CR88*G88</f>
        <v/>
      </c>
      <c r="CQ88" s="124">
        <f>AL88+AZ88+AQ88</f>
        <v/>
      </c>
      <c r="CR88" s="159">
        <f>AV88-AZ88-BS88-BV88-BY88-CB88</f>
        <v/>
      </c>
      <c r="CS88" s="155" t="n"/>
      <c r="CT88" s="155" t="n"/>
      <c r="CU88" s="177" t="n"/>
      <c r="CV88" s="177" t="n"/>
      <c r="CW88" s="325" t="n"/>
    </row>
    <row r="89" ht="19.9" customFormat="1" customHeight="1" s="67">
      <c r="A89" s="233" t="inlineStr">
        <is>
          <t>Casa do Pica-Pau</t>
        </is>
      </c>
      <c r="B89" s="66" t="n">
        <v>10011741021</v>
      </c>
      <c r="C89" s="233" t="inlineStr">
        <is>
          <t>Buriti</t>
        </is>
      </c>
      <c r="D89" s="140" t="inlineStr">
        <is>
          <t xml:space="preserve">Goiânia </t>
        </is>
      </c>
      <c r="E89" s="140" t="inlineStr">
        <is>
          <t>Setembro/2022</t>
        </is>
      </c>
      <c r="F89" s="141" t="n">
        <v>3801.5</v>
      </c>
      <c r="G89" s="326" t="n">
        <v>0.96</v>
      </c>
      <c r="H89" s="173">
        <f>F89*G89</f>
        <v/>
      </c>
      <c r="I89" s="140" t="n"/>
      <c r="J89" s="144" t="inlineStr">
        <is>
          <t>1 Growatt de 30 KW</t>
        </is>
      </c>
      <c r="K89" s="66" t="inlineStr">
        <is>
          <t>53 de 550W</t>
        </is>
      </c>
      <c r="L89" s="140" t="n"/>
      <c r="M89" s="145" t="inlineStr">
        <is>
          <t>Outubro/2023</t>
        </is>
      </c>
      <c r="N89" s="145" t="inlineStr">
        <is>
          <t>16/10/2023 a 16/11/2023</t>
        </is>
      </c>
      <c r="O89" s="331" t="n">
        <v>561.48</v>
      </c>
      <c r="P89" s="331" t="n">
        <v>0</v>
      </c>
      <c r="Q89" s="331" t="n">
        <v>0</v>
      </c>
      <c r="R89" s="147" t="n"/>
      <c r="S89" s="331" t="n">
        <v>0</v>
      </c>
      <c r="T89" s="331" t="n">
        <v>0</v>
      </c>
      <c r="U89" s="331" t="n">
        <v>14.46</v>
      </c>
      <c r="V89" s="331" t="n">
        <v>0</v>
      </c>
      <c r="W89" s="331" t="n">
        <v>0</v>
      </c>
      <c r="X89" s="331" t="n"/>
      <c r="Y89" s="331" t="n"/>
      <c r="Z89" s="331" t="n"/>
      <c r="AA89" s="331" t="n"/>
      <c r="AB89" s="332" t="n">
        <v>0.891501</v>
      </c>
      <c r="AC89" s="332" t="n">
        <v>0.891501</v>
      </c>
      <c r="AD89" s="143" t="n">
        <v>0</v>
      </c>
      <c r="AE89" s="173" t="n">
        <v>4223.699999999999</v>
      </c>
      <c r="AF89" s="143" t="n">
        <v>0</v>
      </c>
      <c r="AG89" s="143">
        <f>SUM(AD89:AF89)</f>
        <v/>
      </c>
      <c r="AH89" s="143">
        <f>(AD89*AB89)+((AE89+AF89)*AC89)</f>
        <v/>
      </c>
      <c r="AI89" s="143">
        <f>AD89-AS89</f>
        <v/>
      </c>
      <c r="AJ89" s="143">
        <f>AE89-AT89</f>
        <v/>
      </c>
      <c r="AK89" s="143">
        <f>AF89-AU89</f>
        <v/>
      </c>
      <c r="AL89" s="208">
        <f>SUM(AI89:AK89)</f>
        <v/>
      </c>
      <c r="AM89" s="336">
        <f>(AI89*AB89)+((AJ89+AK89)*AC89)</f>
        <v/>
      </c>
      <c r="AN89" s="143" t="n">
        <v>0</v>
      </c>
      <c r="AO89" s="143" t="n">
        <v>2100</v>
      </c>
      <c r="AP89" s="143" t="n">
        <v>0</v>
      </c>
      <c r="AQ89" s="124">
        <f>SUM(AN89:AP89)</f>
        <v/>
      </c>
      <c r="AR89" s="321">
        <f>(AN89*AB89)+((AO89+AP89)*AC89)</f>
        <v/>
      </c>
      <c r="AS89" s="143" t="n">
        <v>0</v>
      </c>
      <c r="AT89" s="143" t="n">
        <v>1858</v>
      </c>
      <c r="AU89" s="143" t="n">
        <v>0</v>
      </c>
      <c r="AV89" s="143">
        <f>SUM(AS89:AU89)</f>
        <v/>
      </c>
      <c r="AW89" s="143" t="n">
        <v>0</v>
      </c>
      <c r="AX89" s="143" t="n">
        <v>1486.4</v>
      </c>
      <c r="AY89" s="143" t="n">
        <v>0</v>
      </c>
      <c r="AZ89" s="143">
        <f>SUM(AW89:AY89)</f>
        <v/>
      </c>
      <c r="BA89" s="335">
        <f>(AW89*AB89)+((AX89+AY89)*AC89)</f>
        <v/>
      </c>
      <c r="BB89" s="141">
        <f>AN89-AW89</f>
        <v/>
      </c>
      <c r="BC89" s="141">
        <f>BB89*AB89</f>
        <v/>
      </c>
      <c r="BD89" s="141">
        <f>AO89-AX89</f>
        <v/>
      </c>
      <c r="BE89" s="141">
        <f>BD89*AC89</f>
        <v/>
      </c>
      <c r="BF89" s="141">
        <f>AP89-AY89</f>
        <v/>
      </c>
      <c r="BG89" s="141">
        <f>BF89*AC89</f>
        <v/>
      </c>
      <c r="BH89" s="141">
        <f>BB89+BD89+BF89</f>
        <v/>
      </c>
      <c r="BI89" s="141">
        <f>BC89+BE89+BG89</f>
        <v/>
      </c>
      <c r="BJ89" s="324">
        <f>BL89+BS89+BV89+BY89+CB89+CE89+CH89+CK89</f>
        <v/>
      </c>
      <c r="BK89" s="320">
        <f>((AI89+AW89)*AB89)+((AJ89+AK89+AX89+AY89)*AC89)</f>
        <v/>
      </c>
      <c r="BL89" s="132">
        <f>BM89+BN89+AL89</f>
        <v/>
      </c>
      <c r="BM89" s="133">
        <f>AW89</f>
        <v/>
      </c>
      <c r="BN89" s="133">
        <f>AX89+AY89</f>
        <v/>
      </c>
      <c r="BO89" s="334" t="n"/>
      <c r="BP89" s="341" t="n">
        <v>0.891501</v>
      </c>
      <c r="BQ89" s="179" t="n"/>
      <c r="BR89" s="334">
        <f>BN89*BP89</f>
        <v/>
      </c>
      <c r="BS89" s="124" t="n">
        <v>0</v>
      </c>
      <c r="BT89" s="193" t="n">
        <v>0.694774</v>
      </c>
      <c r="BU89" s="334">
        <f>BS89*BT89</f>
        <v/>
      </c>
      <c r="BV89" s="143" t="n"/>
      <c r="BW89" s="334" t="n"/>
      <c r="BX89" s="334" t="n"/>
      <c r="BY89" s="173" t="n"/>
      <c r="BZ89" s="326" t="n"/>
      <c r="CA89" s="173" t="n"/>
      <c r="CB89" s="173" t="n"/>
      <c r="CC89" s="326" t="n"/>
      <c r="CD89" s="143" t="n"/>
      <c r="CE89" s="143" t="n"/>
      <c r="CF89" s="334" t="n"/>
      <c r="CG89" s="143" t="n"/>
      <c r="CH89" s="143" t="n"/>
      <c r="CI89" s="334" t="n"/>
      <c r="CJ89" s="143" t="n"/>
      <c r="CK89" s="143" t="n"/>
      <c r="CL89" s="334" t="n"/>
      <c r="CM89" s="143" t="n"/>
      <c r="CN89" s="320">
        <f>BK89+BU89+BX89+CA89+CD89+CG89+CJ89+CM89</f>
        <v/>
      </c>
      <c r="CO89" s="154">
        <f>(AV89-(AZ89+BV89+BY89+CB89+CE89+CH89+CK89+BS89)+CO88)</f>
        <v/>
      </c>
      <c r="CP89" s="320">
        <f>CR89*G89</f>
        <v/>
      </c>
      <c r="CQ89" s="124">
        <f>AL89+AZ89+AQ89</f>
        <v/>
      </c>
      <c r="CR89" s="159">
        <f>AV89-AZ89-BS89-BV89-BY89-CB89</f>
        <v/>
      </c>
      <c r="CS89" s="155" t="n"/>
      <c r="CT89" s="155" t="n"/>
      <c r="CU89" s="177" t="n"/>
      <c r="CV89" s="177" t="n"/>
      <c r="CW89" s="325" t="n"/>
    </row>
    <row r="90" ht="19.9" customFormat="1" customHeight="1" s="67">
      <c r="A90" s="120" t="inlineStr">
        <is>
          <t>Casa do Pica-Pau</t>
        </is>
      </c>
      <c r="B90" s="65" t="n">
        <v>10011741021</v>
      </c>
      <c r="C90" s="120" t="inlineStr">
        <is>
          <t>Buriti</t>
        </is>
      </c>
      <c r="D90" s="121" t="inlineStr">
        <is>
          <t xml:space="preserve">Goiânia </t>
        </is>
      </c>
      <c r="E90" s="121" t="inlineStr">
        <is>
          <t>Setembro/2022</t>
        </is>
      </c>
      <c r="F90" s="122" t="n">
        <v>3801.5</v>
      </c>
      <c r="G90" s="320" t="n">
        <v>0.96</v>
      </c>
      <c r="H90" s="124">
        <f>F90*G90</f>
        <v/>
      </c>
      <c r="I90" s="121" t="n"/>
      <c r="J90" s="125" t="inlineStr">
        <is>
          <t>1 Growatt de 30 KW</t>
        </is>
      </c>
      <c r="K90" s="65" t="inlineStr">
        <is>
          <t>53 de 550W</t>
        </is>
      </c>
      <c r="L90" s="121" t="n"/>
      <c r="M90" s="126" t="inlineStr">
        <is>
          <t>Novembro/2023</t>
        </is>
      </c>
      <c r="N90" s="126" t="inlineStr">
        <is>
          <t>16/11/2023 a 18/12/2023</t>
        </is>
      </c>
      <c r="O90" s="321" t="n">
        <v>1482.38</v>
      </c>
      <c r="P90" s="321" t="n">
        <v>0</v>
      </c>
      <c r="Q90" s="321" t="n">
        <v>0</v>
      </c>
      <c r="R90" s="207" t="n"/>
      <c r="S90" s="321" t="n">
        <v>0</v>
      </c>
      <c r="T90" s="321" t="n">
        <v>54.25</v>
      </c>
      <c r="U90" s="321" t="n">
        <v>15.36</v>
      </c>
      <c r="V90" s="321" t="n">
        <v>0</v>
      </c>
      <c r="W90" s="321" t="n">
        <v>0</v>
      </c>
      <c r="X90" s="321" t="n"/>
      <c r="Y90" s="321" t="n"/>
      <c r="Z90" s="321" t="n">
        <v>192.47</v>
      </c>
      <c r="AA90" s="321" t="n"/>
      <c r="AB90" s="322" t="n">
        <v>0.905264</v>
      </c>
      <c r="AC90" s="322" t="n">
        <v>0.905264</v>
      </c>
      <c r="AD90" s="124" t="n">
        <v>0</v>
      </c>
      <c r="AE90" s="124" t="n">
        <v>3881.1</v>
      </c>
      <c r="AF90" s="124" t="n">
        <v>0</v>
      </c>
      <c r="AG90" s="124">
        <f>SUM(AD90:AF90)</f>
        <v/>
      </c>
      <c r="AH90" s="124">
        <f>(AD90*AB90)+((AE90+AF90)*AC90)</f>
        <v/>
      </c>
      <c r="AI90" s="124">
        <f>AD90-AS90</f>
        <v/>
      </c>
      <c r="AJ90" s="124">
        <f>AE90-AT90</f>
        <v/>
      </c>
      <c r="AK90" s="124">
        <f>AF90-AU90</f>
        <v/>
      </c>
      <c r="AL90" s="210">
        <f>SUM(AI90:AK90)</f>
        <v/>
      </c>
      <c r="AM90" s="337">
        <f>(AI90*AB90)+((AJ90+AK90)*AC90)</f>
        <v/>
      </c>
      <c r="AN90" s="143" t="n">
        <v>0</v>
      </c>
      <c r="AO90" s="143" t="n">
        <v>2596</v>
      </c>
      <c r="AP90" s="143" t="n">
        <v>0</v>
      </c>
      <c r="AQ90" s="143">
        <f>SUM(AN90:AP90)</f>
        <v/>
      </c>
      <c r="AR90" s="331">
        <f>(AN90*AB90)+((AO90+AP90)*AC90)</f>
        <v/>
      </c>
      <c r="AS90" s="143" t="n">
        <v>0</v>
      </c>
      <c r="AT90" s="143" t="n">
        <v>1560</v>
      </c>
      <c r="AU90" s="143" t="n">
        <v>0</v>
      </c>
      <c r="AV90" s="143">
        <f>SUM(AS90:AU90)</f>
        <v/>
      </c>
      <c r="AW90" s="143" t="n">
        <v>0</v>
      </c>
      <c r="AX90" s="143" t="n">
        <v>1248</v>
      </c>
      <c r="AY90" s="143" t="n">
        <v>0</v>
      </c>
      <c r="AZ90" s="143">
        <f>SUM(AW90:AY90)</f>
        <v/>
      </c>
      <c r="BA90" s="335">
        <f>(AW90*AB90)+((AX90+AY90)*AC90)</f>
        <v/>
      </c>
      <c r="BB90" s="141">
        <f>AN90-AW90</f>
        <v/>
      </c>
      <c r="BC90" s="141">
        <f>BB90*AB90</f>
        <v/>
      </c>
      <c r="BD90" s="141">
        <f>AO90-AX90</f>
        <v/>
      </c>
      <c r="BE90" s="141">
        <f>BD90*AC90</f>
        <v/>
      </c>
      <c r="BF90" s="141">
        <f>AP90-AY90</f>
        <v/>
      </c>
      <c r="BG90" s="141">
        <f>BF90*AC90</f>
        <v/>
      </c>
      <c r="BH90" s="141">
        <f>BB90+BD90+BF90</f>
        <v/>
      </c>
      <c r="BI90" s="141">
        <f>BC90+BE90+BG90</f>
        <v/>
      </c>
      <c r="BJ90" s="324">
        <f>BL90+BS90+BV90+BY90+CB90+CE90+CH90+CK90</f>
        <v/>
      </c>
      <c r="BK90" s="320">
        <f>((AI90+AW90)*AB90)+((AJ90+AK90+AX90+AY90)*AC90)</f>
        <v/>
      </c>
      <c r="BL90" s="132">
        <f>BM90+BN90+AL90</f>
        <v/>
      </c>
      <c r="BM90" s="133">
        <f>AW90</f>
        <v/>
      </c>
      <c r="BN90" s="133">
        <f>AX90+AY90</f>
        <v/>
      </c>
      <c r="BO90" s="334" t="n"/>
      <c r="BP90" s="341" t="n">
        <v>0.905265</v>
      </c>
      <c r="BQ90" s="179" t="n"/>
      <c r="BR90" s="334">
        <f>BN90*BP90</f>
        <v/>
      </c>
      <c r="BS90" s="124" t="n">
        <v>0</v>
      </c>
      <c r="BT90" s="191" t="n">
        <v>0.71063</v>
      </c>
      <c r="BU90" s="334">
        <f>BS90*BT90</f>
        <v/>
      </c>
      <c r="BV90" s="143" t="n"/>
      <c r="BW90" s="334" t="n"/>
      <c r="BX90" s="334" t="n"/>
      <c r="BY90" s="124" t="n"/>
      <c r="BZ90" s="320" t="n"/>
      <c r="CA90" s="124" t="n"/>
      <c r="CB90" s="124" t="n"/>
      <c r="CC90" s="320" t="n"/>
      <c r="CD90" s="143" t="n"/>
      <c r="CE90" s="143" t="n"/>
      <c r="CF90" s="334" t="n"/>
      <c r="CG90" s="143" t="n"/>
      <c r="CH90" s="143" t="n"/>
      <c r="CI90" s="334" t="n"/>
      <c r="CJ90" s="143" t="n"/>
      <c r="CK90" s="143" t="n"/>
      <c r="CL90" s="334" t="n"/>
      <c r="CM90" s="143" t="n"/>
      <c r="CN90" s="320">
        <f>BK90+BU90+BX90+CA90+CD90+CG90+CJ90+CM90</f>
        <v/>
      </c>
      <c r="CO90" s="154">
        <f>(AV90-(AZ90+BV90+BY90+CB90+CE90+CH90+CK90+BS90)+CO89)</f>
        <v/>
      </c>
      <c r="CP90" s="320">
        <f>CR90*G90</f>
        <v/>
      </c>
      <c r="CQ90" s="124">
        <f>AL90+AZ90+AQ90</f>
        <v/>
      </c>
      <c r="CR90" s="159">
        <f>AV90-AZ90-BS90-BV90-BY90-CB90</f>
        <v/>
      </c>
      <c r="CS90" s="155" t="n"/>
      <c r="CT90" s="155" t="n"/>
      <c r="CU90" s="177" t="n"/>
      <c r="CV90" s="177" t="n"/>
      <c r="CW90" s="325" t="n"/>
    </row>
    <row r="91" ht="19.9" customFormat="1" customHeight="1" s="67">
      <c r="A91" s="233" t="inlineStr">
        <is>
          <t>Casa do Pica-Pau</t>
        </is>
      </c>
      <c r="B91" s="66" t="n">
        <v>10011741021</v>
      </c>
      <c r="C91" s="233" t="inlineStr">
        <is>
          <t>Buriti</t>
        </is>
      </c>
      <c r="D91" s="140" t="inlineStr">
        <is>
          <t xml:space="preserve">Goiânia </t>
        </is>
      </c>
      <c r="E91" s="140" t="inlineStr">
        <is>
          <t>Setembro/2022</t>
        </is>
      </c>
      <c r="F91" s="141" t="n">
        <v>3801.5</v>
      </c>
      <c r="G91" s="326" t="n">
        <v>0.96</v>
      </c>
      <c r="H91" s="173">
        <f>F91*G91</f>
        <v/>
      </c>
      <c r="I91" s="140" t="n"/>
      <c r="J91" s="144" t="inlineStr">
        <is>
          <t>1 Growatt de 30 KW</t>
        </is>
      </c>
      <c r="K91" s="66" t="inlineStr">
        <is>
          <t>53 de 550W</t>
        </is>
      </c>
      <c r="L91" s="140" t="n"/>
      <c r="M91" s="145" t="inlineStr">
        <is>
          <t>Dezembro/2023</t>
        </is>
      </c>
      <c r="N91" s="145" t="inlineStr">
        <is>
          <t>18/12/2023 a 17/01/2024</t>
        </is>
      </c>
      <c r="O91" s="331" t="n">
        <v>628.29</v>
      </c>
      <c r="P91" s="331" t="n">
        <v>0</v>
      </c>
      <c r="Q91" s="331" t="n">
        <v>0</v>
      </c>
      <c r="R91" s="147" t="n"/>
      <c r="S91" s="331" t="n">
        <v>0</v>
      </c>
      <c r="T91" s="331" t="n">
        <v>33.44</v>
      </c>
      <c r="U91" s="331" t="n">
        <v>12.16</v>
      </c>
      <c r="V91" s="331" t="n">
        <v>0</v>
      </c>
      <c r="W91" s="331" t="n">
        <v>0</v>
      </c>
      <c r="X91" s="331" t="n"/>
      <c r="Y91" s="331" t="n"/>
      <c r="Z91" s="331" t="n"/>
      <c r="AA91" s="331" t="n"/>
      <c r="AB91" s="332" t="n">
        <v>0.8925999999999999</v>
      </c>
      <c r="AC91" s="332" t="n">
        <v>0.8925999999999999</v>
      </c>
      <c r="AD91" s="143" t="n">
        <v>0</v>
      </c>
      <c r="AE91" s="173" t="n">
        <v>3220</v>
      </c>
      <c r="AF91" s="143" t="n">
        <v>0</v>
      </c>
      <c r="AG91" s="143">
        <f>SUM(AD91:AF91)</f>
        <v/>
      </c>
      <c r="AH91" s="143">
        <f>(AD91*AB91)+((AE91+AF91)*AC91)</f>
        <v/>
      </c>
      <c r="AI91" s="143">
        <f>AD91-AS91</f>
        <v/>
      </c>
      <c r="AJ91" s="143">
        <f>AE91-AT91</f>
        <v/>
      </c>
      <c r="AK91" s="143">
        <f>AF91-AU91</f>
        <v/>
      </c>
      <c r="AL91" s="208">
        <f>SUM(AI91:AK91)</f>
        <v/>
      </c>
      <c r="AM91" s="336">
        <f>(AI91*AB91)+((AJ91+AK91)*AC91)</f>
        <v/>
      </c>
      <c r="AN91" s="143" t="n">
        <v>0</v>
      </c>
      <c r="AO91" s="143" t="n">
        <v>1888</v>
      </c>
      <c r="AP91" s="143" t="n">
        <v>0</v>
      </c>
      <c r="AQ91" s="124">
        <f>SUM(AN91:AP91)</f>
        <v/>
      </c>
      <c r="AR91" s="321">
        <f>(AN91*AB91)+((AO91+AP91)*AC91)</f>
        <v/>
      </c>
      <c r="AS91" s="143" t="n">
        <v>0</v>
      </c>
      <c r="AT91" s="143" t="n">
        <v>1544</v>
      </c>
      <c r="AU91" s="143" t="n">
        <v>0</v>
      </c>
      <c r="AV91" s="143">
        <f>SUM(AS91:AU91)</f>
        <v/>
      </c>
      <c r="AW91" s="143" t="n">
        <v>0</v>
      </c>
      <c r="AX91" s="143" t="n">
        <v>1235.2</v>
      </c>
      <c r="AY91" s="143" t="n">
        <v>0</v>
      </c>
      <c r="AZ91" s="143">
        <f>SUM(AW91:AY91)</f>
        <v/>
      </c>
      <c r="BA91" s="335">
        <f>(AW91*AB91)+((AX91+AY91)*AC91)</f>
        <v/>
      </c>
      <c r="BB91" s="141">
        <f>AN91-AW91</f>
        <v/>
      </c>
      <c r="BC91" s="141">
        <f>BB91*AB91</f>
        <v/>
      </c>
      <c r="BD91" s="141">
        <f>AO91-AX91</f>
        <v/>
      </c>
      <c r="BE91" s="141">
        <f>BD91*AC91</f>
        <v/>
      </c>
      <c r="BF91" s="141">
        <f>AP91-AY91</f>
        <v/>
      </c>
      <c r="BG91" s="141">
        <f>BF91*AC91</f>
        <v/>
      </c>
      <c r="BH91" s="141">
        <f>BB91+BD91+BF91</f>
        <v/>
      </c>
      <c r="BI91" s="141">
        <f>BC91+BE91+BG91</f>
        <v/>
      </c>
      <c r="BJ91" s="324">
        <f>BL91+BS91+BV91+BY91+CB91+CE91+CH91+CK91</f>
        <v/>
      </c>
      <c r="BK91" s="320">
        <f>((AI91+AW91)*AB91)+((AJ91+AK91+AX91+AY91)*AC91)</f>
        <v/>
      </c>
      <c r="BL91" s="132">
        <f>BM91+BN91+AL91</f>
        <v/>
      </c>
      <c r="BM91" s="133">
        <f>AW91</f>
        <v/>
      </c>
      <c r="BN91" s="133">
        <f>AX91+AY91</f>
        <v/>
      </c>
      <c r="BO91" s="334" t="n"/>
      <c r="BP91" s="341" t="n">
        <v>0.8925999999999999</v>
      </c>
      <c r="BQ91" s="179" t="n"/>
      <c r="BR91" s="334">
        <f>BN91*BP91</f>
        <v/>
      </c>
      <c r="BS91" s="124" t="n">
        <v>0</v>
      </c>
      <c r="BT91" s="191" t="n">
        <v>0.71063</v>
      </c>
      <c r="BU91" s="334">
        <f>BS91*BT91</f>
        <v/>
      </c>
      <c r="BV91" s="143" t="n"/>
      <c r="BW91" s="334" t="n"/>
      <c r="BX91" s="334" t="n"/>
      <c r="BY91" s="173" t="n"/>
      <c r="BZ91" s="326" t="n"/>
      <c r="CA91" s="173" t="n"/>
      <c r="CB91" s="173" t="n"/>
      <c r="CC91" s="326" t="n"/>
      <c r="CD91" s="143" t="n"/>
      <c r="CE91" s="143" t="n"/>
      <c r="CF91" s="334" t="n"/>
      <c r="CG91" s="143" t="n"/>
      <c r="CH91" s="143" t="n"/>
      <c r="CI91" s="334" t="n"/>
      <c r="CJ91" s="143" t="n"/>
      <c r="CK91" s="143" t="n"/>
      <c r="CL91" s="334" t="n"/>
      <c r="CM91" s="143" t="n"/>
      <c r="CN91" s="320">
        <f>BK91+BU91+BX91+CA91+CD91+CG91+CJ91+CM91</f>
        <v/>
      </c>
      <c r="CO91" s="154">
        <f>(AV91-(AZ91+BV91+BY91+CB91+CE91+CH91+CK91+BS91)+CO90)</f>
        <v/>
      </c>
      <c r="CP91" s="320">
        <f>CR91*G91</f>
        <v/>
      </c>
      <c r="CQ91" s="124">
        <f>AL91+AZ91+AQ91</f>
        <v/>
      </c>
      <c r="CR91" s="159">
        <f>AV91-AZ91-BS91-BV91-BY91-CB91</f>
        <v/>
      </c>
      <c r="CS91" s="155" t="n"/>
      <c r="CT91" s="155" t="n"/>
      <c r="CU91" s="177" t="n"/>
      <c r="CV91" s="177" t="n"/>
      <c r="CW91" s="325" t="n"/>
    </row>
    <row r="92" ht="19.9" customFormat="1" customHeight="1" s="67">
      <c r="A92" s="120" t="inlineStr">
        <is>
          <t>Casa do Pica-Pau</t>
        </is>
      </c>
      <c r="B92" s="65" t="n">
        <v>10011741021</v>
      </c>
      <c r="C92" s="120" t="inlineStr">
        <is>
          <t>Buriti</t>
        </is>
      </c>
      <c r="D92" s="121" t="inlineStr">
        <is>
          <t xml:space="preserve">Goiânia </t>
        </is>
      </c>
      <c r="E92" s="121" t="inlineStr">
        <is>
          <t>Setembro/2022</t>
        </is>
      </c>
      <c r="F92" s="122" t="n">
        <v>3801.5</v>
      </c>
      <c r="G92" s="320" t="n">
        <v>0.96</v>
      </c>
      <c r="H92" s="124">
        <f>F92*G92</f>
        <v/>
      </c>
      <c r="I92" s="121" t="n"/>
      <c r="J92" s="125" t="inlineStr">
        <is>
          <t>1 Growatt de 30 KW</t>
        </is>
      </c>
      <c r="K92" s="65" t="inlineStr">
        <is>
          <t>53 de 550W</t>
        </is>
      </c>
      <c r="L92" s="121" t="n"/>
      <c r="M92" s="126" t="inlineStr">
        <is>
          <t>Janeiro/2024</t>
        </is>
      </c>
      <c r="N92" s="126" t="inlineStr">
        <is>
          <t>17/01/2024 a 16/02/2024</t>
        </is>
      </c>
      <c r="O92" s="321" t="n">
        <v>844.9400000000001</v>
      </c>
      <c r="P92" s="321" t="n">
        <v>0</v>
      </c>
      <c r="Q92" s="321" t="n">
        <v>0</v>
      </c>
      <c r="R92" s="207" t="n"/>
      <c r="S92" s="321" t="n">
        <v>0</v>
      </c>
      <c r="T92" s="321" t="n">
        <v>0</v>
      </c>
      <c r="U92" s="321" t="n">
        <v>17.02</v>
      </c>
      <c r="V92" s="321" t="n">
        <v>0</v>
      </c>
      <c r="W92" s="321" t="n">
        <v>0</v>
      </c>
      <c r="X92" s="321" t="n"/>
      <c r="Y92" s="321" t="n"/>
      <c r="Z92" s="321" t="n">
        <v>-98.59999999999999</v>
      </c>
      <c r="AA92" s="321" t="n"/>
      <c r="AB92" s="322" t="n">
        <v>0.890199</v>
      </c>
      <c r="AC92" s="322" t="n">
        <v>0.890199</v>
      </c>
      <c r="AD92" s="124" t="n">
        <v>0</v>
      </c>
      <c r="AE92" s="124" t="n">
        <v>3328.4</v>
      </c>
      <c r="AF92" s="124" t="n">
        <v>0</v>
      </c>
      <c r="AG92" s="124">
        <f>SUM(AD92:AF92)</f>
        <v/>
      </c>
      <c r="AH92" s="124">
        <f>(AD92*AB92)+((AE92+AF92)*AC92)</f>
        <v/>
      </c>
      <c r="AI92" s="124">
        <f>AD92-AS92</f>
        <v/>
      </c>
      <c r="AJ92" s="124">
        <f>AE92-AT92</f>
        <v/>
      </c>
      <c r="AK92" s="124">
        <f>AF92-AU92</f>
        <v/>
      </c>
      <c r="AL92" s="210">
        <f>SUM(AI92:AK92)</f>
        <v/>
      </c>
      <c r="AM92" s="337">
        <f>(AI92*AB92)+((AJ92+AK92)*AC92)</f>
        <v/>
      </c>
      <c r="AN92" s="143" t="n">
        <v>0</v>
      </c>
      <c r="AO92" s="143" t="n">
        <v>2148</v>
      </c>
      <c r="AP92" s="143" t="n">
        <v>0</v>
      </c>
      <c r="AQ92" s="124">
        <f>SUM(AN92:AP92)</f>
        <v/>
      </c>
      <c r="AR92" s="321">
        <f>(AN92*AB92)+((AO92+AP92)*AC92)</f>
        <v/>
      </c>
      <c r="AS92" s="143" t="n">
        <v>0</v>
      </c>
      <c r="AT92" s="143" t="n">
        <v>1384</v>
      </c>
      <c r="AU92" s="143" t="n">
        <v>0</v>
      </c>
      <c r="AV92" s="143">
        <f>SUM(AS92:AU92)</f>
        <v/>
      </c>
      <c r="AW92" s="143" t="n">
        <v>0</v>
      </c>
      <c r="AX92" s="143" t="n">
        <v>1107.2</v>
      </c>
      <c r="AY92" s="143" t="n">
        <v>0</v>
      </c>
      <c r="AZ92" s="143">
        <f>SUM(AW92:AY92)</f>
        <v/>
      </c>
      <c r="BA92" s="335">
        <f>(AW92*AB92)+((AX92+AY92)*AC92)</f>
        <v/>
      </c>
      <c r="BB92" s="141">
        <f>AN92-AW92</f>
        <v/>
      </c>
      <c r="BC92" s="141">
        <f>BB92*AB92</f>
        <v/>
      </c>
      <c r="BD92" s="141">
        <f>AO92-AX92</f>
        <v/>
      </c>
      <c r="BE92" s="141">
        <f>BD92*AC92</f>
        <v/>
      </c>
      <c r="BF92" s="141">
        <f>AP92-AY92</f>
        <v/>
      </c>
      <c r="BG92" s="141">
        <f>BF92*AC92</f>
        <v/>
      </c>
      <c r="BH92" s="141">
        <f>BB92+BD92+BF92</f>
        <v/>
      </c>
      <c r="BI92" s="141">
        <f>BC92+BE92+BG92</f>
        <v/>
      </c>
      <c r="BJ92" s="324">
        <f>BL92+BS92+BV92+BY92+CB92+CE92+CH92+CK92</f>
        <v/>
      </c>
      <c r="BK92" s="320">
        <f>((AI92+AW92)*AB92)+((AJ92+AK92+AX92+AY92)*AC92)</f>
        <v/>
      </c>
      <c r="BL92" s="132">
        <f>BM92+BN92+AL92</f>
        <v/>
      </c>
      <c r="BM92" s="133">
        <f>AW92</f>
        <v/>
      </c>
      <c r="BN92" s="133">
        <f>AX92+AY92</f>
        <v/>
      </c>
      <c r="BO92" s="334" t="n"/>
      <c r="BP92" s="341" t="n">
        <v>0.890199</v>
      </c>
      <c r="BQ92" s="179" t="n"/>
      <c r="BR92" s="334">
        <f>BN92*BP92</f>
        <v/>
      </c>
      <c r="BS92" s="124" t="n">
        <v>0</v>
      </c>
      <c r="BT92" s="191" t="n">
        <v>0.71063</v>
      </c>
      <c r="BU92" s="334">
        <f>BS92*BT92</f>
        <v/>
      </c>
      <c r="BV92" s="143" t="n"/>
      <c r="BW92" s="334" t="n"/>
      <c r="BX92" s="334" t="n"/>
      <c r="BY92" s="124" t="n"/>
      <c r="BZ92" s="320" t="n"/>
      <c r="CA92" s="124" t="n"/>
      <c r="CB92" s="124" t="n"/>
      <c r="CC92" s="320" t="n"/>
      <c r="CD92" s="143" t="n"/>
      <c r="CE92" s="143" t="n"/>
      <c r="CF92" s="334" t="n"/>
      <c r="CG92" s="143" t="n"/>
      <c r="CH92" s="143" t="n"/>
      <c r="CI92" s="334" t="n"/>
      <c r="CJ92" s="143" t="n"/>
      <c r="CK92" s="143" t="n"/>
      <c r="CL92" s="334" t="n"/>
      <c r="CM92" s="143" t="n"/>
      <c r="CN92" s="320">
        <f>BK92+BU92+BX92+CA92+CD92+CG92+CJ92+CM92</f>
        <v/>
      </c>
      <c r="CO92" s="154">
        <f>(AV92-(AZ92+BV92+BY92+CB92+CE92+CH92+CK92+BS92)+CO91)</f>
        <v/>
      </c>
      <c r="CP92" s="320">
        <f>CR92*G92</f>
        <v/>
      </c>
      <c r="CQ92" s="124">
        <f>AL92+AZ92+AQ92</f>
        <v/>
      </c>
      <c r="CR92" s="159">
        <f>AV92-AZ92-BS92-BV92-BY92-CB92</f>
        <v/>
      </c>
      <c r="CS92" s="155" t="n"/>
      <c r="CT92" s="155" t="n"/>
      <c r="CU92" s="177" t="n"/>
      <c r="CV92" s="177" t="n"/>
      <c r="CW92" s="325" t="n"/>
    </row>
    <row r="93" ht="19.9" customFormat="1" customHeight="1" s="67">
      <c r="A93" s="233" t="inlineStr">
        <is>
          <t>Casa do Pica-Pau</t>
        </is>
      </c>
      <c r="B93" s="66" t="n">
        <v>10011741021</v>
      </c>
      <c r="C93" s="233" t="inlineStr">
        <is>
          <t>Buriti</t>
        </is>
      </c>
      <c r="D93" s="140" t="inlineStr">
        <is>
          <t xml:space="preserve">Goiânia </t>
        </is>
      </c>
      <c r="E93" s="140" t="inlineStr">
        <is>
          <t>Setembro/2022</t>
        </is>
      </c>
      <c r="F93" s="141" t="n">
        <v>3801.5</v>
      </c>
      <c r="G93" s="326" t="n">
        <v>0.96</v>
      </c>
      <c r="H93" s="173">
        <f>F93*G93</f>
        <v/>
      </c>
      <c r="I93" s="140" t="n"/>
      <c r="J93" s="144" t="inlineStr">
        <is>
          <t>1 Growatt de 30 KW</t>
        </is>
      </c>
      <c r="K93" s="66" t="inlineStr">
        <is>
          <t>53 de 550W</t>
        </is>
      </c>
      <c r="L93" s="121" t="n"/>
      <c r="M93" s="126" t="inlineStr">
        <is>
          <t>Fevereiro/2024</t>
        </is>
      </c>
      <c r="N93" s="126" t="inlineStr">
        <is>
          <t>16/02/2024 a 18/03/2024</t>
        </is>
      </c>
      <c r="O93" s="321" t="n">
        <v>919.76</v>
      </c>
      <c r="P93" s="321" t="n">
        <v>0</v>
      </c>
      <c r="Q93" s="321" t="n">
        <v>0</v>
      </c>
      <c r="R93" s="207" t="n"/>
      <c r="S93" s="321" t="n">
        <v>0</v>
      </c>
      <c r="T93" s="321" t="n">
        <v>15.73</v>
      </c>
      <c r="U93" s="321" t="n">
        <v>20.8</v>
      </c>
      <c r="V93" s="321" t="n">
        <v>0</v>
      </c>
      <c r="W93" s="321" t="n">
        <v>0</v>
      </c>
      <c r="X93" s="321" t="n"/>
      <c r="Y93" s="321" t="n"/>
      <c r="Z93" s="321" t="n"/>
      <c r="AA93" s="321" t="n"/>
      <c r="AB93" s="322" t="n">
        <v>0.908296</v>
      </c>
      <c r="AC93" s="322" t="n">
        <v>0.908296</v>
      </c>
      <c r="AD93" s="124" t="n">
        <v>0</v>
      </c>
      <c r="AE93" s="124" t="n">
        <v>3756</v>
      </c>
      <c r="AF93" s="124" t="n">
        <v>0</v>
      </c>
      <c r="AG93" s="124">
        <f>SUM(AD93:AF93)</f>
        <v/>
      </c>
      <c r="AH93" s="124">
        <f>(AD93*AB93)+((AE93+AF93)*AC93)</f>
        <v/>
      </c>
      <c r="AI93" s="124">
        <f>AD93-AS93</f>
        <v/>
      </c>
      <c r="AJ93" s="124">
        <f>AE93-AT93</f>
        <v/>
      </c>
      <c r="AK93" s="124">
        <f>AF93-AU93</f>
        <v/>
      </c>
      <c r="AL93" s="210">
        <f>SUM(AI93:AK93)</f>
        <v/>
      </c>
      <c r="AM93" s="337">
        <f>(AI93*AB93)+((AJ93+AK93)*AC93)</f>
        <v/>
      </c>
      <c r="AN93" s="143" t="n">
        <v>0</v>
      </c>
      <c r="AO93" s="143" t="n">
        <v>2306</v>
      </c>
      <c r="AP93" s="143" t="n">
        <v>0</v>
      </c>
      <c r="AQ93" s="124">
        <f>SUM(AN93:AP93)</f>
        <v/>
      </c>
      <c r="AR93" s="321">
        <f>(AN93*AB93)+((AO93+AP93)*AC93)</f>
        <v/>
      </c>
      <c r="AS93" s="143" t="n">
        <v>0</v>
      </c>
      <c r="AT93" s="143" t="n">
        <v>1667</v>
      </c>
      <c r="AU93" s="143" t="n">
        <v>0</v>
      </c>
      <c r="AV93" s="143">
        <f>SUM(AS93:AU93)</f>
        <v/>
      </c>
      <c r="AW93" s="143" t="n">
        <v>0</v>
      </c>
      <c r="AX93" s="143" t="n">
        <v>1333.6</v>
      </c>
      <c r="AY93" s="143" t="n">
        <v>0</v>
      </c>
      <c r="AZ93" s="143">
        <f>SUM(AW93:AY93)</f>
        <v/>
      </c>
      <c r="BA93" s="335">
        <f>(AW93*AB93)+((AX93+AY93)*AC93)</f>
        <v/>
      </c>
      <c r="BB93" s="141">
        <f>AN93-AW93</f>
        <v/>
      </c>
      <c r="BC93" s="141">
        <f>BB93*AB93</f>
        <v/>
      </c>
      <c r="BD93" s="141">
        <f>AO93-AX93</f>
        <v/>
      </c>
      <c r="BE93" s="141">
        <f>BD93*AC93</f>
        <v/>
      </c>
      <c r="BF93" s="141">
        <f>AP93-AY93</f>
        <v/>
      </c>
      <c r="BG93" s="141">
        <f>BF93*AC93</f>
        <v/>
      </c>
      <c r="BH93" s="141">
        <f>BB93+BD93+BF93</f>
        <v/>
      </c>
      <c r="BI93" s="141">
        <f>BC93+BE93+BG93</f>
        <v/>
      </c>
      <c r="BJ93" s="324">
        <f>BL93+BS93+BV93+BY93+CB93+CE93+CH93+CK93</f>
        <v/>
      </c>
      <c r="BK93" s="320">
        <f>((AI93+AW93)*AB93)+((AJ93+AK93+AX93+AY93)*AC93)</f>
        <v/>
      </c>
      <c r="BL93" s="132">
        <f>BM93+BN93+AL93</f>
        <v/>
      </c>
      <c r="BM93" s="133">
        <f>AW93</f>
        <v/>
      </c>
      <c r="BN93" s="133">
        <f>AX93+AY93</f>
        <v/>
      </c>
      <c r="BO93" s="334" t="n"/>
      <c r="BP93" s="341" t="n">
        <v>0.908296</v>
      </c>
      <c r="BQ93" s="179" t="n"/>
      <c r="BR93" s="334">
        <f>BN93*BP93</f>
        <v/>
      </c>
      <c r="BS93" s="124" t="n">
        <v>54</v>
      </c>
      <c r="BT93" s="191" t="n">
        <v>0.71063</v>
      </c>
      <c r="BU93" s="334">
        <f>BS93*BT93</f>
        <v/>
      </c>
      <c r="BV93" s="143" t="n"/>
      <c r="BW93" s="334" t="n"/>
      <c r="BX93" s="334" t="n"/>
      <c r="BY93" s="173" t="n"/>
      <c r="BZ93" s="326" t="n"/>
      <c r="CA93" s="173" t="n"/>
      <c r="CB93" s="173" t="n"/>
      <c r="CC93" s="326" t="n"/>
      <c r="CD93" s="143" t="n"/>
      <c r="CE93" s="143" t="n"/>
      <c r="CF93" s="334" t="n"/>
      <c r="CG93" s="143" t="n"/>
      <c r="CH93" s="143" t="n"/>
      <c r="CI93" s="334" t="n"/>
      <c r="CJ93" s="143" t="n"/>
      <c r="CK93" s="143" t="n"/>
      <c r="CL93" s="334" t="n"/>
      <c r="CM93" s="143" t="n"/>
      <c r="CN93" s="320">
        <f>BK93+BU93+BX93+CA93+CD93+CG93+CJ93+CM93</f>
        <v/>
      </c>
      <c r="CO93" s="154" t="n"/>
      <c r="CP93" s="320">
        <f>CR93*G93</f>
        <v/>
      </c>
      <c r="CQ93" s="124">
        <f>AL93+AZ93+AQ93</f>
        <v/>
      </c>
      <c r="CR93" s="159">
        <f>AV93-AZ93-BS93-BV93-BY93-CB93</f>
        <v/>
      </c>
      <c r="CS93" s="155" t="n"/>
      <c r="CT93" s="155" t="n"/>
      <c r="CU93" s="177" t="n"/>
      <c r="CV93" s="177" t="n"/>
      <c r="CW93" s="325" t="n"/>
    </row>
    <row r="94" ht="19.9" customFormat="1" customHeight="1" s="67">
      <c r="A94" s="120" t="inlineStr">
        <is>
          <t>Casa do Pica-Pau</t>
        </is>
      </c>
      <c r="B94" s="65" t="n">
        <v>10025013856</v>
      </c>
      <c r="C94" s="120" t="inlineStr">
        <is>
          <t>Vianópolis</t>
        </is>
      </c>
      <c r="D94" s="121" t="inlineStr">
        <is>
          <t>Vianópolis</t>
        </is>
      </c>
      <c r="E94" s="121" t="inlineStr">
        <is>
          <t>Outubro/2022</t>
        </is>
      </c>
      <c r="F94" s="122" t="n">
        <v>17716</v>
      </c>
      <c r="G94" s="320" t="n">
        <v>0.6879999999999999</v>
      </c>
      <c r="H94" s="124">
        <f>F94*G94</f>
        <v/>
      </c>
      <c r="I94" s="140" t="inlineStr">
        <is>
          <t>Outubro/2022</t>
        </is>
      </c>
      <c r="J94" s="144" t="inlineStr">
        <is>
          <t>1 Growatt de 50 KW e 1 de 60 KW</t>
        </is>
      </c>
      <c r="K94" s="66" t="inlineStr">
        <is>
          <t>247 de 550W</t>
        </is>
      </c>
      <c r="L94" s="140" t="n"/>
      <c r="M94" s="145" t="inlineStr">
        <is>
          <t>Novembro/2022</t>
        </is>
      </c>
      <c r="N94" s="145" t="inlineStr">
        <is>
          <t>01/11/2022 a 01/12/2022</t>
        </is>
      </c>
      <c r="O94" s="331" t="n">
        <v>1192.06</v>
      </c>
      <c r="P94" s="331" t="n">
        <v>0</v>
      </c>
      <c r="Q94" s="331" t="n">
        <v>1176.29</v>
      </c>
      <c r="R94" s="147" t="n"/>
      <c r="S94" s="331" t="n">
        <v>0.45</v>
      </c>
      <c r="T94" s="331" t="n">
        <v>0</v>
      </c>
      <c r="U94" s="331" t="n">
        <v>15.32</v>
      </c>
      <c r="V94" s="331" t="n">
        <v>0</v>
      </c>
      <c r="W94" s="331" t="n">
        <v>0</v>
      </c>
      <c r="X94" s="331" t="n"/>
      <c r="Y94" s="331" t="n"/>
      <c r="Z94" s="331" t="n"/>
      <c r="AA94" s="331" t="n"/>
      <c r="AB94" s="332" t="n">
        <v>2.44945</v>
      </c>
      <c r="AC94" s="332" t="n">
        <v>0.52833</v>
      </c>
      <c r="AD94" s="143" t="n">
        <v>6.19</v>
      </c>
      <c r="AE94" s="173" t="n">
        <v>8866.639999999999</v>
      </c>
      <c r="AF94" s="143" t="n">
        <v>8.43</v>
      </c>
      <c r="AG94" s="143">
        <f>SUM(AD94:AF94)</f>
        <v/>
      </c>
      <c r="AH94" s="143">
        <f>(AD94*AB94)+((AE94+AF94)*AC94)</f>
        <v/>
      </c>
      <c r="AI94" s="143">
        <f>AD94-AS94</f>
        <v/>
      </c>
      <c r="AJ94" s="143">
        <f>AE94-AT94</f>
        <v/>
      </c>
      <c r="AK94" s="143">
        <f>AF94-AU94</f>
        <v/>
      </c>
      <c r="AL94" s="208">
        <f>SUM(AI94:AK94)</f>
        <v/>
      </c>
      <c r="AM94" s="336">
        <f>(AI94*AB94)+((AJ94+AK94)*AC94)</f>
        <v/>
      </c>
      <c r="AN94" s="143" t="n">
        <v>254.4</v>
      </c>
      <c r="AO94" s="143" t="n">
        <v>1862.22</v>
      </c>
      <c r="AP94" s="143" t="n">
        <v>600.24</v>
      </c>
      <c r="AQ94" s="143">
        <f>SUM(AN94:AP94)</f>
        <v/>
      </c>
      <c r="AR94" s="331">
        <f>(AN94*AB94)+((AO94+AP94)*AC94)</f>
        <v/>
      </c>
      <c r="AS94" s="143" t="n">
        <v>0.04</v>
      </c>
      <c r="AT94" s="143" t="n">
        <v>6295.77</v>
      </c>
      <c r="AU94" s="143" t="n">
        <v>1.17</v>
      </c>
      <c r="AV94" s="143">
        <f>SUM(AS94:AU94)</f>
        <v/>
      </c>
      <c r="AW94" s="143" t="n">
        <v>254.4</v>
      </c>
      <c r="AX94" s="143" t="n">
        <v>1862.22</v>
      </c>
      <c r="AY94" s="143" t="n">
        <v>600.24</v>
      </c>
      <c r="AZ94" s="143">
        <f>SUM(AW94:AY94)</f>
        <v/>
      </c>
      <c r="BA94" s="335">
        <f>(AW94*AB94)+((AX94+AY94)*AC94)</f>
        <v/>
      </c>
      <c r="BB94" s="141">
        <f>AN94-AW94</f>
        <v/>
      </c>
      <c r="BC94" s="141">
        <f>BB94*AB94</f>
        <v/>
      </c>
      <c r="BD94" s="141">
        <f>AO94-AX94</f>
        <v/>
      </c>
      <c r="BE94" s="141">
        <f>BD94*AC94</f>
        <v/>
      </c>
      <c r="BF94" s="141">
        <f>AP94-AY94</f>
        <v/>
      </c>
      <c r="BG94" s="141">
        <f>BF94*AC94</f>
        <v/>
      </c>
      <c r="BH94" s="141">
        <f>BB94+BD94+BF94</f>
        <v/>
      </c>
      <c r="BI94" s="141">
        <f>BC94+BE94+BG94</f>
        <v/>
      </c>
      <c r="BJ94" s="324">
        <f>BL94+BS94+BV94+BY94+CB94+CE94+CH94+CK94</f>
        <v/>
      </c>
      <c r="BK94" s="320">
        <f>((AI94+AW94)*AB94)+((AJ94+AK94+AX94+AY94)*AC94)</f>
        <v/>
      </c>
      <c r="BL94" s="132">
        <f>BM94+BN94+AL94</f>
        <v/>
      </c>
      <c r="BM94" s="133">
        <f>AW94</f>
        <v/>
      </c>
      <c r="BN94" s="133">
        <f>AX94+AY94</f>
        <v/>
      </c>
      <c r="BO94" s="343" t="n">
        <v>2.44945</v>
      </c>
      <c r="BP94" s="343" t="n">
        <v>0.52833</v>
      </c>
      <c r="BQ94" s="320">
        <f>BM94*BO94</f>
        <v/>
      </c>
      <c r="BR94" s="320">
        <f>BN94*BP94</f>
        <v/>
      </c>
      <c r="BS94" s="143" t="n">
        <v>0</v>
      </c>
      <c r="BT94" s="344" t="n"/>
      <c r="BU94" s="320">
        <f>BS94*BT94</f>
        <v/>
      </c>
      <c r="BV94" s="143" t="n">
        <v>0</v>
      </c>
      <c r="BW94" s="340" t="n">
        <v>0.67099</v>
      </c>
      <c r="BX94" s="320">
        <f>BV94*BW94</f>
        <v/>
      </c>
      <c r="BY94" s="143" t="n">
        <v>0</v>
      </c>
      <c r="BZ94" s="340" t="n">
        <v>0.67099</v>
      </c>
      <c r="CA94" s="124">
        <f>BY94*BZ94</f>
        <v/>
      </c>
      <c r="CB94" s="143" t="n"/>
      <c r="CC94" s="334" t="n"/>
      <c r="CD94" s="143" t="n"/>
      <c r="CE94" s="143" t="n"/>
      <c r="CF94" s="334" t="n"/>
      <c r="CG94" s="143" t="n"/>
      <c r="CH94" s="143" t="n"/>
      <c r="CI94" s="334" t="n"/>
      <c r="CJ94" s="143" t="n"/>
      <c r="CK94" s="143" t="n"/>
      <c r="CL94" s="334" t="n"/>
      <c r="CM94" s="143" t="n"/>
      <c r="CN94" s="320">
        <f>BK94+BU94+BX94+CA94+CD94+CG94+CJ94+CM94</f>
        <v/>
      </c>
      <c r="CO94" s="141">
        <f>AV94-AZ94</f>
        <v/>
      </c>
      <c r="CP94" s="320">
        <f>CR94*G94</f>
        <v/>
      </c>
      <c r="CQ94" s="124">
        <f>AL94+AZ94+AQ94</f>
        <v/>
      </c>
      <c r="CR94" s="159">
        <f>AV94-AZ94-BS94-BV94-BY94-CB94</f>
        <v/>
      </c>
      <c r="CS94" s="155" t="n"/>
      <c r="CT94" s="180" t="n"/>
      <c r="CU94" s="177" t="n"/>
      <c r="CV94" s="177" t="n"/>
      <c r="CW94" s="325" t="n"/>
    </row>
    <row r="95" ht="19.9" customFormat="1" customHeight="1" s="67">
      <c r="A95" s="233" t="inlineStr">
        <is>
          <t>Casa do Pica-Pau</t>
        </is>
      </c>
      <c r="B95" s="66" t="n">
        <v>10025013856</v>
      </c>
      <c r="C95" s="233" t="inlineStr">
        <is>
          <t>Vianópolis</t>
        </is>
      </c>
      <c r="D95" s="140" t="inlineStr">
        <is>
          <t>Vianópolis</t>
        </is>
      </c>
      <c r="E95" s="140" t="inlineStr">
        <is>
          <t>Outubro/2022</t>
        </is>
      </c>
      <c r="F95" s="141" t="n">
        <v>17716</v>
      </c>
      <c r="G95" s="326" t="n">
        <v>0.6879999999999999</v>
      </c>
      <c r="H95" s="173">
        <f>F95*G95</f>
        <v/>
      </c>
      <c r="I95" s="121" t="inlineStr">
        <is>
          <t>Outubro/2022</t>
        </is>
      </c>
      <c r="J95" s="125" t="inlineStr">
        <is>
          <t>1 Growatt de 50 KW e 1 de 60 KW</t>
        </is>
      </c>
      <c r="K95" s="65" t="inlineStr">
        <is>
          <t>247 de 550W</t>
        </is>
      </c>
      <c r="L95" s="121" t="n"/>
      <c r="M95" s="126" t="inlineStr">
        <is>
          <t>Dezembro/2022</t>
        </is>
      </c>
      <c r="N95" s="126" t="inlineStr">
        <is>
          <t>01/12/2022 a 01/01/2023</t>
        </is>
      </c>
      <c r="O95" s="321" t="n">
        <v>1155.19</v>
      </c>
      <c r="P95" s="321" t="n">
        <v>0</v>
      </c>
      <c r="Q95" s="321" t="n">
        <v>1139</v>
      </c>
      <c r="R95" s="207" t="n"/>
      <c r="S95" s="321" t="n">
        <v>0.87</v>
      </c>
      <c r="T95" s="321" t="n">
        <v>0</v>
      </c>
      <c r="U95" s="321" t="n">
        <v>15.32</v>
      </c>
      <c r="V95" s="321" t="n">
        <v>0</v>
      </c>
      <c r="W95" s="321" t="n">
        <v>0</v>
      </c>
      <c r="X95" s="321" t="n"/>
      <c r="Y95" s="321" t="n"/>
      <c r="Z95" s="321" t="n"/>
      <c r="AA95" s="321" t="n"/>
      <c r="AB95" s="322" t="n">
        <v>2.3718</v>
      </c>
      <c r="AC95" s="322" t="n">
        <v>0.51156</v>
      </c>
      <c r="AD95" s="124" t="n">
        <v>21.37</v>
      </c>
      <c r="AE95" s="124" t="n">
        <v>16031.08</v>
      </c>
      <c r="AF95" s="124" t="n">
        <v>12.18</v>
      </c>
      <c r="AG95" s="124">
        <f>SUM(AD95:AF95)</f>
        <v/>
      </c>
      <c r="AH95" s="124">
        <f>(AD95*AB95)+((AE95+AF95)*AC95)</f>
        <v/>
      </c>
      <c r="AI95" s="124">
        <f>AD95-AS95</f>
        <v/>
      </c>
      <c r="AJ95" s="124">
        <f>AE95-AT95</f>
        <v/>
      </c>
      <c r="AK95" s="124">
        <f>AF95-AU95</f>
        <v/>
      </c>
      <c r="AL95" s="210">
        <f>SUM(AI95:AK95)</f>
        <v/>
      </c>
      <c r="AM95" s="337">
        <f>(AI95*AB95)+((AJ95+AK95)*AC95)</f>
        <v/>
      </c>
      <c r="AN95" s="124" t="n">
        <v>258.44</v>
      </c>
      <c r="AO95" s="124" t="n">
        <v>591.63</v>
      </c>
      <c r="AP95" s="124" t="n">
        <v>654.36</v>
      </c>
      <c r="AQ95" s="124">
        <f>SUM(AN95:AP95)</f>
        <v/>
      </c>
      <c r="AR95" s="321">
        <f>(AN95*AB95)+((AO95+AP95)*AC95)</f>
        <v/>
      </c>
      <c r="AS95" s="124" t="n">
        <v>0.12</v>
      </c>
      <c r="AT95" s="124" t="n">
        <v>12651.21</v>
      </c>
      <c r="AU95" s="124" t="n">
        <v>0</v>
      </c>
      <c r="AV95" s="124">
        <f>SUM(AS95:AU95)</f>
        <v/>
      </c>
      <c r="AW95" s="124" t="n">
        <v>258.44</v>
      </c>
      <c r="AX95" s="124" t="n">
        <v>591.63</v>
      </c>
      <c r="AY95" s="124" t="n">
        <v>654.36</v>
      </c>
      <c r="AZ95" s="124">
        <f>SUM(AW95:AY95)</f>
        <v/>
      </c>
      <c r="BA95" s="335">
        <f>(AW95*AB95)+((AX95+AY95)*AC95)</f>
        <v/>
      </c>
      <c r="BB95" s="122">
        <f>AN95-AW95</f>
        <v/>
      </c>
      <c r="BC95" s="141">
        <f>BB95*AB95</f>
        <v/>
      </c>
      <c r="BD95" s="122">
        <f>AO95-AX95</f>
        <v/>
      </c>
      <c r="BE95" s="122">
        <f>BD95*AC95</f>
        <v/>
      </c>
      <c r="BF95" s="122">
        <f>AP95-AY95</f>
        <v/>
      </c>
      <c r="BG95" s="122">
        <f>BF95*AC95</f>
        <v/>
      </c>
      <c r="BH95" s="122">
        <f>BB95+BD95+BF95</f>
        <v/>
      </c>
      <c r="BI95" s="122">
        <f>BC95+BE95+BG95</f>
        <v/>
      </c>
      <c r="BJ95" s="324">
        <f>BL95+BS95+BV95+BY95+CB95+CE95+CH95+CK95</f>
        <v/>
      </c>
      <c r="BK95" s="320">
        <f>((AI95+AW95)*AB95)+((AJ95+AK95+AX95+AY95)*AC95)</f>
        <v/>
      </c>
      <c r="BL95" s="132">
        <f>BM95+BN95+AL95</f>
        <v/>
      </c>
      <c r="BM95" s="133">
        <f>AW95</f>
        <v/>
      </c>
      <c r="BN95" s="133">
        <f>AX95+AY95</f>
        <v/>
      </c>
      <c r="BO95" s="345" t="n">
        <v>2.3718</v>
      </c>
      <c r="BP95" s="345" t="n">
        <v>0.51156</v>
      </c>
      <c r="BQ95" s="320">
        <f>BM95*BO95</f>
        <v/>
      </c>
      <c r="BR95" s="320">
        <f>BN95*BP95</f>
        <v/>
      </c>
      <c r="BS95" s="124" t="n">
        <v>0</v>
      </c>
      <c r="BT95" s="346" t="n">
        <v>0.67099</v>
      </c>
      <c r="BU95" s="320">
        <f>BS95*BT95</f>
        <v/>
      </c>
      <c r="BV95" s="143" t="n">
        <v>0</v>
      </c>
      <c r="BW95" s="328" t="n">
        <v>0.67099</v>
      </c>
      <c r="BX95" s="320">
        <f>BV95*BW95</f>
        <v/>
      </c>
      <c r="BY95" s="124" t="n">
        <v>0</v>
      </c>
      <c r="BZ95" s="328" t="n">
        <v>0.67099</v>
      </c>
      <c r="CA95" s="124">
        <f>BY95*BZ95</f>
        <v/>
      </c>
      <c r="CB95" s="124" t="n"/>
      <c r="CC95" s="320" t="n"/>
      <c r="CD95" s="124" t="n"/>
      <c r="CE95" s="124" t="n"/>
      <c r="CF95" s="320" t="n"/>
      <c r="CG95" s="124" t="n"/>
      <c r="CH95" s="124" t="n"/>
      <c r="CI95" s="320" t="n"/>
      <c r="CJ95" s="124" t="n"/>
      <c r="CK95" s="124" t="n"/>
      <c r="CL95" s="320" t="n"/>
      <c r="CM95" s="124" t="n"/>
      <c r="CN95" s="320">
        <f>BK95+BU95+BX95+CA95+CD95+CG95+CJ95+CM95</f>
        <v/>
      </c>
      <c r="CO95" s="141">
        <f>(AV95-(AZ95+BV95+BY95+CB95+CE95+CH95+CK95+BS95)+CO94)</f>
        <v/>
      </c>
      <c r="CP95" s="320">
        <f>CR95*G95</f>
        <v/>
      </c>
      <c r="CQ95" s="124">
        <f>AL95+AZ95+AQ95</f>
        <v/>
      </c>
      <c r="CR95" s="159">
        <f>AV95-AZ95-BS95-BV95-BY95-CB95</f>
        <v/>
      </c>
      <c r="CS95" s="155" t="n"/>
      <c r="CT95" s="180" t="n"/>
      <c r="CU95" s="177" t="n"/>
      <c r="CV95" s="177" t="n"/>
      <c r="CW95" s="325" t="n"/>
    </row>
    <row r="96" ht="19.9" customFormat="1" customHeight="1" s="67">
      <c r="A96" s="120" t="inlineStr">
        <is>
          <t>Casa do Pica-Pau</t>
        </is>
      </c>
      <c r="B96" s="65" t="n">
        <v>10025013856</v>
      </c>
      <c r="C96" s="120" t="inlineStr">
        <is>
          <t>Vianópolis</t>
        </is>
      </c>
      <c r="D96" s="121" t="inlineStr">
        <is>
          <t>Vianópolis</t>
        </is>
      </c>
      <c r="E96" s="121" t="inlineStr">
        <is>
          <t>Outubro/2022</t>
        </is>
      </c>
      <c r="F96" s="122" t="n">
        <v>17716</v>
      </c>
      <c r="G96" s="320" t="n">
        <v>0.6879999999999999</v>
      </c>
      <c r="H96" s="124">
        <f>F96*G96</f>
        <v/>
      </c>
      <c r="I96" s="140" t="inlineStr">
        <is>
          <t>Outubro/2022</t>
        </is>
      </c>
      <c r="J96" s="144" t="inlineStr">
        <is>
          <t>1 Growatt de 50 KW e 1 de 60 KW</t>
        </is>
      </c>
      <c r="K96" s="66" t="inlineStr">
        <is>
          <t>247 de 550W</t>
        </is>
      </c>
      <c r="L96" s="140" t="n"/>
      <c r="M96" s="145" t="inlineStr">
        <is>
          <t>Janeiro/2023</t>
        </is>
      </c>
      <c r="N96" s="145" t="inlineStr">
        <is>
          <t>01/01/2023 a 01/02/2023</t>
        </is>
      </c>
      <c r="O96" s="331" t="n">
        <v>398.35</v>
      </c>
      <c r="P96" s="331" t="n">
        <v>0</v>
      </c>
      <c r="Q96" s="331" t="n">
        <v>1138.07</v>
      </c>
      <c r="R96" s="147" t="n"/>
      <c r="S96" s="331" t="n">
        <v>0.47</v>
      </c>
      <c r="T96" s="331" t="n">
        <v>0</v>
      </c>
      <c r="U96" s="331" t="n">
        <v>15.32</v>
      </c>
      <c r="V96" s="331" t="n"/>
      <c r="W96" s="331" t="n">
        <v>0</v>
      </c>
      <c r="X96" s="331" t="n"/>
      <c r="Y96" s="331" t="n"/>
      <c r="Z96" s="331" t="n">
        <v>-755.51</v>
      </c>
      <c r="AA96" s="331" t="n"/>
      <c r="AB96" s="332" t="n">
        <v>2.36985</v>
      </c>
      <c r="AC96" s="332" t="n">
        <v>0.51115</v>
      </c>
      <c r="AD96" s="143" t="n">
        <v>48.6</v>
      </c>
      <c r="AE96" s="173" t="n">
        <v>16926.05</v>
      </c>
      <c r="AF96" s="143" t="n">
        <v>2.06</v>
      </c>
      <c r="AG96" s="143">
        <f>SUM(AD96:AF96)</f>
        <v/>
      </c>
      <c r="AH96" s="143">
        <f>(AD96*AB96)+((AE96+AF96)*AC96)</f>
        <v/>
      </c>
      <c r="AI96" s="143">
        <f>AD96-AS96</f>
        <v/>
      </c>
      <c r="AJ96" s="143">
        <f>AE96-AT96</f>
        <v/>
      </c>
      <c r="AK96" s="143">
        <f>AF96-AU96</f>
        <v/>
      </c>
      <c r="AL96" s="208">
        <f>SUM(AI96:AK96)</f>
        <v/>
      </c>
      <c r="AM96" s="336">
        <f>(AI96*AB96)+((AJ96+AK96)*AC96)</f>
        <v/>
      </c>
      <c r="AN96" s="143" t="n">
        <v>290.16</v>
      </c>
      <c r="AO96" s="143" t="n">
        <v>553.5</v>
      </c>
      <c r="AP96" s="143" t="n">
        <v>602.7</v>
      </c>
      <c r="AQ96" s="143">
        <f>SUM(AN96:AP96)</f>
        <v/>
      </c>
      <c r="AR96" s="331">
        <f>(AN96*AB96)+((AO96+AP96)*AC96)</f>
        <v/>
      </c>
      <c r="AS96" s="143" t="n">
        <v>7.87</v>
      </c>
      <c r="AT96" s="143" t="n">
        <v>13490.1</v>
      </c>
      <c r="AU96" s="143" t="n">
        <v>0</v>
      </c>
      <c r="AV96" s="143">
        <f>SUM(AS96:AU96)</f>
        <v/>
      </c>
      <c r="AW96" s="143" t="n">
        <v>290.16</v>
      </c>
      <c r="AX96" s="143" t="n">
        <v>553.5</v>
      </c>
      <c r="AY96" s="143" t="n">
        <v>602.7</v>
      </c>
      <c r="AZ96" s="143">
        <f>SUM(AW96:AY96)</f>
        <v/>
      </c>
      <c r="BA96" s="335">
        <f>(AW96*AB96)+((AX96+AY96)*AC96)</f>
        <v/>
      </c>
      <c r="BB96" s="141">
        <f>AN96-AW96</f>
        <v/>
      </c>
      <c r="BC96" s="141">
        <f>BB96*AB96</f>
        <v/>
      </c>
      <c r="BD96" s="141">
        <f>AO96-AX96</f>
        <v/>
      </c>
      <c r="BE96" s="141">
        <f>BD96*AC96</f>
        <v/>
      </c>
      <c r="BF96" s="141">
        <f>AP96-AY96</f>
        <v/>
      </c>
      <c r="BG96" s="141">
        <f>BF96*AC96</f>
        <v/>
      </c>
      <c r="BH96" s="141">
        <f>BB96+BD96+BF96</f>
        <v/>
      </c>
      <c r="BI96" s="141">
        <f>BC96+BE96+BG96</f>
        <v/>
      </c>
      <c r="BJ96" s="324">
        <f>BL96+BS96+BV96+BY96+CB96+CE96+CH96+CK96</f>
        <v/>
      </c>
      <c r="BK96" s="320">
        <f>((AI96+AW96)*AB96)+((AJ96+AK96+AX96+AY96)*AC96)</f>
        <v/>
      </c>
      <c r="BL96" s="132">
        <f>BM96+BN96+AL96</f>
        <v/>
      </c>
      <c r="BM96" s="133">
        <f>AW96</f>
        <v/>
      </c>
      <c r="BN96" s="133">
        <f>AX96+AY96</f>
        <v/>
      </c>
      <c r="BO96" s="343" t="n">
        <v>2.36985</v>
      </c>
      <c r="BP96" s="343" t="n">
        <v>0.51115</v>
      </c>
      <c r="BQ96" s="320">
        <f>BM96*BO96</f>
        <v/>
      </c>
      <c r="BR96" s="320">
        <f>BN96*BP96</f>
        <v/>
      </c>
      <c r="BS96" s="143" t="n">
        <v>0</v>
      </c>
      <c r="BT96" s="344" t="n">
        <v>0.67099</v>
      </c>
      <c r="BU96" s="320">
        <f>BS96*BT96</f>
        <v/>
      </c>
      <c r="BV96" s="124" t="n">
        <v>0</v>
      </c>
      <c r="BW96" s="340" t="n">
        <v>0.67099</v>
      </c>
      <c r="BX96" s="320">
        <f>BV96*BW96</f>
        <v/>
      </c>
      <c r="BY96" s="143" t="n">
        <v>0</v>
      </c>
      <c r="BZ96" s="340" t="n">
        <v>0.67099</v>
      </c>
      <c r="CA96" s="124">
        <f>BY96*BZ96</f>
        <v/>
      </c>
      <c r="CB96" s="143" t="n"/>
      <c r="CC96" s="334" t="n"/>
      <c r="CD96" s="143" t="n"/>
      <c r="CE96" s="143" t="n"/>
      <c r="CF96" s="334" t="n"/>
      <c r="CG96" s="143" t="n"/>
      <c r="CH96" s="143" t="n"/>
      <c r="CI96" s="334" t="n"/>
      <c r="CJ96" s="143" t="n"/>
      <c r="CK96" s="143" t="n"/>
      <c r="CL96" s="334" t="n"/>
      <c r="CM96" s="143" t="n"/>
      <c r="CN96" s="320">
        <f>BK96+BU96+BX96+CA96+CD96+CG96+CJ96+CM96</f>
        <v/>
      </c>
      <c r="CO96" s="141">
        <f>(AV96-(AZ96+BV96+BY96+CB96+CE96+CH96+CK96+BS96)+CO95)</f>
        <v/>
      </c>
      <c r="CP96" s="320">
        <f>CR96*G96</f>
        <v/>
      </c>
      <c r="CQ96" s="124">
        <f>AL96+AZ96+AQ96</f>
        <v/>
      </c>
      <c r="CR96" s="159">
        <f>AV96-AZ96-BS96-BV96-BY96-CB96</f>
        <v/>
      </c>
      <c r="CS96" s="155" t="n"/>
      <c r="CT96" s="180" t="n"/>
      <c r="CU96" s="177" t="n"/>
      <c r="CV96" s="177" t="n"/>
      <c r="CW96" s="325" t="n"/>
    </row>
    <row r="97" ht="19.9" customFormat="1" customHeight="1" s="67">
      <c r="A97" s="233" t="inlineStr">
        <is>
          <t>Casa do Pica-Pau</t>
        </is>
      </c>
      <c r="B97" s="66" t="n">
        <v>10025013856</v>
      </c>
      <c r="C97" s="233" t="inlineStr">
        <is>
          <t>Vianópolis</t>
        </is>
      </c>
      <c r="D97" s="140" t="inlineStr">
        <is>
          <t>Vianópolis</t>
        </is>
      </c>
      <c r="E97" s="140" t="inlineStr">
        <is>
          <t>Outubro/2022</t>
        </is>
      </c>
      <c r="F97" s="141" t="n">
        <v>17716</v>
      </c>
      <c r="G97" s="326" t="n">
        <v>0.6879999999999999</v>
      </c>
      <c r="H97" s="173">
        <f>F97*G97</f>
        <v/>
      </c>
      <c r="I97" s="121" t="inlineStr">
        <is>
          <t>Outubro/2022</t>
        </is>
      </c>
      <c r="J97" s="125" t="inlineStr">
        <is>
          <t>1 Growatt de 50 KW e 1 de 60 KW</t>
        </is>
      </c>
      <c r="K97" s="65" t="inlineStr">
        <is>
          <t>247 de 550W</t>
        </is>
      </c>
      <c r="L97" s="121" t="n"/>
      <c r="M97" s="126" t="inlineStr">
        <is>
          <t>Fevereiro/2023</t>
        </is>
      </c>
      <c r="N97" s="126" t="inlineStr">
        <is>
          <t>01/02/2023 a 01/03/2023</t>
        </is>
      </c>
      <c r="O97" s="321" t="n">
        <v>1208.3</v>
      </c>
      <c r="P97" s="321" t="n">
        <v>0</v>
      </c>
      <c r="Q97" s="321" t="n">
        <v>1184.13</v>
      </c>
      <c r="R97" s="207" t="n"/>
      <c r="S97" s="321" t="n">
        <v>0.45</v>
      </c>
      <c r="T97" s="321">
        <f>0.76+7.66</f>
        <v/>
      </c>
      <c r="U97" s="321" t="n">
        <v>15.32</v>
      </c>
      <c r="V97" s="321" t="n">
        <v>0</v>
      </c>
      <c r="W97" s="321" t="n">
        <v>0</v>
      </c>
      <c r="X97" s="321" t="n"/>
      <c r="Y97" s="321" t="n"/>
      <c r="Z97" s="321" t="n"/>
      <c r="AA97" s="321" t="n"/>
      <c r="AB97" s="322" t="n">
        <v>2.46576</v>
      </c>
      <c r="AC97" s="322" t="n">
        <v>0.5318499999999999</v>
      </c>
      <c r="AD97" s="124" t="n">
        <v>23.89</v>
      </c>
      <c r="AE97" s="124" t="n">
        <v>17346.67</v>
      </c>
      <c r="AF97" s="124" t="n">
        <v>0.01</v>
      </c>
      <c r="AG97" s="124">
        <f>SUM(AD97:AF97)</f>
        <v/>
      </c>
      <c r="AH97" s="124">
        <f>(AD97*AB97)+((AE97+AF97)*AC97)</f>
        <v/>
      </c>
      <c r="AI97" s="124">
        <f>AD97-AS97</f>
        <v/>
      </c>
      <c r="AJ97" s="124">
        <f>AE97-AT97</f>
        <v/>
      </c>
      <c r="AK97" s="124">
        <f>AF97-AU97</f>
        <v/>
      </c>
      <c r="AL97" s="210">
        <f>SUM(AI97:AK97)</f>
        <v/>
      </c>
      <c r="AM97" s="337">
        <f>(AI97*AB97)+((AJ97+AK97)*AC97)</f>
        <v/>
      </c>
      <c r="AN97" s="124" t="n">
        <v>286.02</v>
      </c>
      <c r="AO97" s="124" t="n">
        <v>621.15</v>
      </c>
      <c r="AP97" s="124" t="n">
        <v>442.8</v>
      </c>
      <c r="AQ97" s="124">
        <f>SUM(AN97:AP97)</f>
        <v/>
      </c>
      <c r="AR97" s="321">
        <f>(AN97*AB97)+((AO97+AP97)*AC97)</f>
        <v/>
      </c>
      <c r="AS97" s="124" t="n">
        <v>0.03</v>
      </c>
      <c r="AT97" s="124" t="n">
        <v>13547.43</v>
      </c>
      <c r="AU97" s="124" t="n">
        <v>0</v>
      </c>
      <c r="AV97" s="124">
        <f>SUM(AS97:AU97)</f>
        <v/>
      </c>
      <c r="AW97" s="124" t="n">
        <v>286.02</v>
      </c>
      <c r="AX97" s="124" t="n">
        <v>621.15</v>
      </c>
      <c r="AY97" s="124" t="n">
        <v>442.8</v>
      </c>
      <c r="AZ97" s="124">
        <f>SUM(AW97:AY97)</f>
        <v/>
      </c>
      <c r="BA97" s="335">
        <f>(AW97*AB97)+((AX97+AY97)*AC97)</f>
        <v/>
      </c>
      <c r="BB97" s="122">
        <f>AN97-AW97</f>
        <v/>
      </c>
      <c r="BC97" s="141">
        <f>BB97*AB97</f>
        <v/>
      </c>
      <c r="BD97" s="122">
        <f>AO97-AX97</f>
        <v/>
      </c>
      <c r="BE97" s="122">
        <f>BD97*AC97</f>
        <v/>
      </c>
      <c r="BF97" s="122">
        <f>AP97-AY97</f>
        <v/>
      </c>
      <c r="BG97" s="122">
        <f>BF97*AC97</f>
        <v/>
      </c>
      <c r="BH97" s="122">
        <f>BB97+BD97+BF97</f>
        <v/>
      </c>
      <c r="BI97" s="122">
        <f>BC97+BE97+BG97</f>
        <v/>
      </c>
      <c r="BJ97" s="324">
        <f>BL97+BS97+BV97+BY97+CB97+CE97+CH97+CK97</f>
        <v/>
      </c>
      <c r="BK97" s="320">
        <f>((AI97+AW97)*AB97)+((AJ97+AK97+AX97+AY97)*AC97)</f>
        <v/>
      </c>
      <c r="BL97" s="132">
        <f>BM97+BN97+AL97</f>
        <v/>
      </c>
      <c r="BM97" s="133">
        <f>AW97</f>
        <v/>
      </c>
      <c r="BN97" s="133">
        <f>AX97+AY97</f>
        <v/>
      </c>
      <c r="BO97" s="345" t="n">
        <v>2.46576</v>
      </c>
      <c r="BP97" s="345" t="n">
        <v>0.5318499999999999</v>
      </c>
      <c r="BQ97" s="320">
        <f>BM97*BO97</f>
        <v/>
      </c>
      <c r="BR97" s="320">
        <f>BN97*BP97</f>
        <v/>
      </c>
      <c r="BS97" s="124" t="n">
        <v>2699.59</v>
      </c>
      <c r="BT97" s="346" t="n">
        <v>0.67099</v>
      </c>
      <c r="BU97" s="320">
        <f>BS97*BT97</f>
        <v/>
      </c>
      <c r="BV97" s="143" t="n">
        <v>3374.49</v>
      </c>
      <c r="BW97" s="328" t="n">
        <v>0.67099</v>
      </c>
      <c r="BX97" s="320">
        <f>BV97*BW97</f>
        <v/>
      </c>
      <c r="BY97" s="124" t="n">
        <v>4724.29</v>
      </c>
      <c r="BZ97" s="328" t="n">
        <v>0.67099</v>
      </c>
      <c r="CA97" s="124">
        <f>BY97*BZ97</f>
        <v/>
      </c>
      <c r="CB97" s="124" t="n"/>
      <c r="CC97" s="320" t="n"/>
      <c r="CD97" s="124" t="n"/>
      <c r="CE97" s="124" t="n"/>
      <c r="CF97" s="320" t="n"/>
      <c r="CG97" s="124" t="n"/>
      <c r="CH97" s="124" t="n"/>
      <c r="CI97" s="320" t="n"/>
      <c r="CJ97" s="124" t="n"/>
      <c r="CK97" s="124" t="n"/>
      <c r="CL97" s="320" t="n"/>
      <c r="CM97" s="124" t="n"/>
      <c r="CN97" s="320">
        <f>BK97+BU97+BX97+CA97+CD97+CG97+CJ97+CM97</f>
        <v/>
      </c>
      <c r="CO97" s="141">
        <f>(AV97-(AZ97+BV97+BY97+CB97+CE97+CH97+CK97+BS97)+CO96)</f>
        <v/>
      </c>
      <c r="CP97" s="320">
        <f>CR97*G97</f>
        <v/>
      </c>
      <c r="CQ97" s="124">
        <f>AL97+AZ97+AQ97</f>
        <v/>
      </c>
      <c r="CR97" s="159">
        <f>AV97-AZ97-BS97-BV97-BY97-CB97</f>
        <v/>
      </c>
      <c r="CS97" s="155" t="n"/>
      <c r="CT97" s="180" t="n"/>
      <c r="CU97" s="177" t="n"/>
      <c r="CV97" s="177" t="n"/>
      <c r="CW97" s="325" t="n"/>
    </row>
    <row r="98" ht="19.9" customFormat="1" customHeight="1" s="67">
      <c r="A98" s="120" t="inlineStr">
        <is>
          <t>Casa do Pica-Pau</t>
        </is>
      </c>
      <c r="B98" s="65" t="n">
        <v>10025013856</v>
      </c>
      <c r="C98" s="120" t="inlineStr">
        <is>
          <t>Vianópolis</t>
        </is>
      </c>
      <c r="D98" s="121" t="inlineStr">
        <is>
          <t>Vianópolis</t>
        </is>
      </c>
      <c r="E98" s="121" t="inlineStr">
        <is>
          <t>Outubro/2022</t>
        </is>
      </c>
      <c r="F98" s="122" t="n">
        <v>17716</v>
      </c>
      <c r="G98" s="320" t="n">
        <v>0.6879999999999999</v>
      </c>
      <c r="H98" s="124">
        <f>F98*G98</f>
        <v/>
      </c>
      <c r="I98" s="140" t="inlineStr">
        <is>
          <t>Outubro/2022</t>
        </is>
      </c>
      <c r="J98" s="144" t="inlineStr">
        <is>
          <t>1 Growatt de 50 KW e 1 de 60 KW</t>
        </is>
      </c>
      <c r="K98" s="66" t="inlineStr">
        <is>
          <t>247 de 550W</t>
        </is>
      </c>
      <c r="L98" s="140" t="n"/>
      <c r="M98" s="145" t="inlineStr">
        <is>
          <t>Março/2023</t>
        </is>
      </c>
      <c r="N98" s="145" t="inlineStr">
        <is>
          <t>01/03/2023 a 01/04/2023</t>
        </is>
      </c>
      <c r="O98" s="331" t="n">
        <v>1216.82</v>
      </c>
      <c r="P98" s="331" t="n">
        <v>0</v>
      </c>
      <c r="Q98" s="331" t="n">
        <v>1176.97</v>
      </c>
      <c r="R98" s="147" t="n"/>
      <c r="S98" s="331" t="n">
        <v>0.45</v>
      </c>
      <c r="T98" s="331">
        <f>0.39+23.69</f>
        <v/>
      </c>
      <c r="U98" s="331" t="n">
        <v>15.32</v>
      </c>
      <c r="V98" s="331" t="n">
        <v>0</v>
      </c>
      <c r="W98" s="331" t="n">
        <v>0</v>
      </c>
      <c r="X98" s="331" t="n"/>
      <c r="Y98" s="331" t="n"/>
      <c r="Z98" s="331" t="n"/>
      <c r="AA98" s="331" t="n"/>
      <c r="AB98" s="332" t="n">
        <v>2.45086</v>
      </c>
      <c r="AC98" s="332" t="n">
        <v>0.52863</v>
      </c>
      <c r="AD98" s="143" t="n">
        <v>7.29</v>
      </c>
      <c r="AE98" s="173" t="n">
        <v>15213.06</v>
      </c>
      <c r="AF98" s="143" t="n">
        <v>0</v>
      </c>
      <c r="AG98" s="143">
        <f>SUM(AD98:AF98)</f>
        <v/>
      </c>
      <c r="AH98" s="143">
        <f>(AD98*AB98)+((AE98+AF98)*AC98)</f>
        <v/>
      </c>
      <c r="AI98" s="143">
        <f>AD98-AS98</f>
        <v/>
      </c>
      <c r="AJ98" s="143">
        <f>AE98-AT98</f>
        <v/>
      </c>
      <c r="AK98" s="143">
        <f>AF98-AU98</f>
        <v/>
      </c>
      <c r="AL98" s="208">
        <f>SUM(AI98:AK98)</f>
        <v/>
      </c>
      <c r="AM98" s="336">
        <f>(AI98*AB98)+((AJ98+AK98)*AC98)</f>
        <v/>
      </c>
      <c r="AN98" s="143" t="n">
        <v>302.01</v>
      </c>
      <c r="AO98" s="143" t="n">
        <v>805.65</v>
      </c>
      <c r="AP98" s="143" t="n">
        <v>441.57</v>
      </c>
      <c r="AQ98" s="143">
        <f>SUM(AN98:AP98)</f>
        <v/>
      </c>
      <c r="AR98" s="331">
        <f>(AN98*AB98)+((AO98+AP98)*AC98)</f>
        <v/>
      </c>
      <c r="AS98" s="143" t="n">
        <v>0.08</v>
      </c>
      <c r="AT98" s="143" t="n">
        <v>11831.04</v>
      </c>
      <c r="AU98" s="143" t="n">
        <v>0</v>
      </c>
      <c r="AV98" s="143">
        <f>SUM(AS98:AU98)</f>
        <v/>
      </c>
      <c r="AW98" s="143" t="n">
        <v>302.01</v>
      </c>
      <c r="AX98" s="143" t="n">
        <v>805.65</v>
      </c>
      <c r="AY98" s="143" t="n">
        <v>441.57</v>
      </c>
      <c r="AZ98" s="143">
        <f>SUM(AW98:AY98)</f>
        <v/>
      </c>
      <c r="BA98" s="335">
        <f>(AW98*AB98)+((AX98+AY98)*AC98)</f>
        <v/>
      </c>
      <c r="BB98" s="141">
        <f>AN98-AW98</f>
        <v/>
      </c>
      <c r="BC98" s="141">
        <f>BB98*AB98</f>
        <v/>
      </c>
      <c r="BD98" s="141">
        <f>AO98-AX98</f>
        <v/>
      </c>
      <c r="BE98" s="141">
        <f>BD98*AC98</f>
        <v/>
      </c>
      <c r="BF98" s="141">
        <f>AP98-AY98</f>
        <v/>
      </c>
      <c r="BG98" s="141">
        <f>BF98*AC98</f>
        <v/>
      </c>
      <c r="BH98" s="141">
        <f>BB98+BD98+BF98</f>
        <v/>
      </c>
      <c r="BI98" s="141">
        <f>BC98+BE98+BG98</f>
        <v/>
      </c>
      <c r="BJ98" s="324">
        <f>BL98+BS98+BV98+BY98+CB98+CE98+CH98+CK98</f>
        <v/>
      </c>
      <c r="BK98" s="320">
        <f>((AI98+AW98)*AB98)+((AJ98+AK98+AX98+AY98)*AC98)</f>
        <v/>
      </c>
      <c r="BL98" s="132">
        <f>BM98+BN98+AL98</f>
        <v/>
      </c>
      <c r="BM98" s="133">
        <f>AW98</f>
        <v/>
      </c>
      <c r="BN98" s="133">
        <f>AX98+AY98</f>
        <v/>
      </c>
      <c r="BO98" s="343" t="n">
        <v>2.45086</v>
      </c>
      <c r="BP98" s="343" t="n">
        <v>0.52863</v>
      </c>
      <c r="BQ98" s="320">
        <f>BM98*BO98</f>
        <v/>
      </c>
      <c r="BR98" s="320">
        <f>BN98*BP98</f>
        <v/>
      </c>
      <c r="BS98" s="143" t="n">
        <v>2709.49</v>
      </c>
      <c r="BT98" s="344" t="n">
        <v>0.67099</v>
      </c>
      <c r="BU98" s="320">
        <f>BS98*BT98</f>
        <v/>
      </c>
      <c r="BV98" s="124" t="n">
        <v>3386.86</v>
      </c>
      <c r="BW98" s="340" t="n">
        <v>0.67099</v>
      </c>
      <c r="BX98" s="320">
        <f>BV98*BW98</f>
        <v/>
      </c>
      <c r="BY98" s="143" t="n">
        <v>4741.61</v>
      </c>
      <c r="BZ98" s="340" t="n">
        <v>0.67099</v>
      </c>
      <c r="CA98" s="124">
        <f>BY98*BZ98</f>
        <v/>
      </c>
      <c r="CB98" s="143" t="n"/>
      <c r="CC98" s="334" t="n"/>
      <c r="CD98" s="143" t="n"/>
      <c r="CE98" s="143" t="n"/>
      <c r="CF98" s="334" t="n"/>
      <c r="CG98" s="143" t="n"/>
      <c r="CH98" s="143" t="n"/>
      <c r="CI98" s="334" t="n"/>
      <c r="CJ98" s="143" t="n"/>
      <c r="CK98" s="143" t="n"/>
      <c r="CL98" s="334" t="n"/>
      <c r="CM98" s="143" t="n"/>
      <c r="CN98" s="320">
        <f>BK98+BU98+BX98+CA98+CD98+CG98+CJ98+CM98</f>
        <v/>
      </c>
      <c r="CO98" s="141">
        <f>(AV98-(AZ98+BV98+BY98+CB98+CE98+CH98+CK98+BS98)+CO97)</f>
        <v/>
      </c>
      <c r="CP98" s="320">
        <f>CR98*G98</f>
        <v/>
      </c>
      <c r="CQ98" s="124">
        <f>AL98+AZ98+AQ98</f>
        <v/>
      </c>
      <c r="CR98" s="159">
        <f>AV98-AZ98-BS98-BV98-BY98-CB98</f>
        <v/>
      </c>
      <c r="CS98" s="155" t="n"/>
      <c r="CT98" s="180" t="n"/>
      <c r="CU98" s="177" t="n"/>
      <c r="CV98" s="177" t="n"/>
      <c r="CW98" s="325" t="n"/>
    </row>
    <row r="99" ht="19.9" customFormat="1" customHeight="1" s="67">
      <c r="A99" s="233" t="inlineStr">
        <is>
          <t>Casa do Pica-Pau</t>
        </is>
      </c>
      <c r="B99" s="66" t="n">
        <v>10025013856</v>
      </c>
      <c r="C99" s="233" t="inlineStr">
        <is>
          <t>Vianópolis</t>
        </is>
      </c>
      <c r="D99" s="140" t="inlineStr">
        <is>
          <t>Vianópolis</t>
        </is>
      </c>
      <c r="E99" s="140" t="inlineStr">
        <is>
          <t>Outubro/2022</t>
        </is>
      </c>
      <c r="F99" s="141" t="n">
        <v>17716</v>
      </c>
      <c r="G99" s="326" t="n">
        <v>0.6879999999999999</v>
      </c>
      <c r="H99" s="173">
        <f>F99*G99</f>
        <v/>
      </c>
      <c r="I99" s="121" t="inlineStr">
        <is>
          <t>Outubro/2022</t>
        </is>
      </c>
      <c r="J99" s="125" t="inlineStr">
        <is>
          <t>1 Growatt de 50 KW e 1 de 60 KW</t>
        </is>
      </c>
      <c r="K99" s="65" t="inlineStr">
        <is>
          <t>247 de 550W</t>
        </is>
      </c>
      <c r="L99" s="121" t="n"/>
      <c r="M99" s="126" t="inlineStr">
        <is>
          <t>Abril/2023</t>
        </is>
      </c>
      <c r="N99" s="126" t="inlineStr">
        <is>
          <t>01/04/2023 a 01/05/2023</t>
        </is>
      </c>
      <c r="O99" s="321" t="n">
        <v>613.9</v>
      </c>
      <c r="P99" s="321" t="n">
        <v>0</v>
      </c>
      <c r="Q99" s="321" t="n">
        <v>1181.6</v>
      </c>
      <c r="R99" s="207" t="n"/>
      <c r="S99" s="321" t="n">
        <v>0.9</v>
      </c>
      <c r="T99" s="321" t="n">
        <v>0</v>
      </c>
      <c r="U99" s="321" t="n">
        <v>15.32</v>
      </c>
      <c r="V99" s="321" t="n">
        <v>0</v>
      </c>
      <c r="W99" s="321" t="n">
        <v>0</v>
      </c>
      <c r="X99" s="321" t="n"/>
      <c r="Y99" s="321" t="n"/>
      <c r="Z99" s="321" t="n">
        <v>-583.89</v>
      </c>
      <c r="AA99" s="321" t="n"/>
      <c r="AB99" s="322" t="n">
        <v>2.4605</v>
      </c>
      <c r="AC99" s="322" t="n">
        <v>0.53071</v>
      </c>
      <c r="AD99" s="124" t="n">
        <v>0.1</v>
      </c>
      <c r="AE99" s="124" t="n">
        <v>14116.62</v>
      </c>
      <c r="AF99" s="124" t="n">
        <v>0</v>
      </c>
      <c r="AG99" s="124">
        <f>SUM(AD99:AF99)</f>
        <v/>
      </c>
      <c r="AH99" s="124">
        <f>(AD99*AB99)+((AE99+AF99)*AC99)</f>
        <v/>
      </c>
      <c r="AI99" s="124">
        <f>AD99-AS99</f>
        <v/>
      </c>
      <c r="AJ99" s="124">
        <f>AE99-AT99</f>
        <v/>
      </c>
      <c r="AK99" s="124">
        <f>AF99-AU99</f>
        <v/>
      </c>
      <c r="AL99" s="210">
        <f>SUM(AI99:AK99)</f>
        <v/>
      </c>
      <c r="AM99" s="337">
        <f>(AI99*AB99)+((AJ99+AK99)*AC99)</f>
        <v/>
      </c>
      <c r="AN99" s="124" t="n">
        <v>227.31</v>
      </c>
      <c r="AO99" s="124" t="n">
        <v>885.6</v>
      </c>
      <c r="AP99" s="124" t="n">
        <v>669.12</v>
      </c>
      <c r="AQ99" s="124">
        <f>SUM(AN99:AP99)</f>
        <v/>
      </c>
      <c r="AR99" s="321">
        <f>(AN99*AB99)+((AO99+AP99)*AC99)</f>
        <v/>
      </c>
      <c r="AS99" s="124" t="n">
        <v>0</v>
      </c>
      <c r="AT99" s="124" t="n">
        <v>11327.94</v>
      </c>
      <c r="AU99" s="124" t="n">
        <v>0</v>
      </c>
      <c r="AV99" s="124">
        <f>SUM(AS99:AU99)</f>
        <v/>
      </c>
      <c r="AW99" s="124" t="n">
        <v>227.31</v>
      </c>
      <c r="AX99" s="124" t="n">
        <v>885.6</v>
      </c>
      <c r="AY99" s="124" t="n">
        <v>669.12</v>
      </c>
      <c r="AZ99" s="124">
        <f>SUM(AW99:AY99)</f>
        <v/>
      </c>
      <c r="BA99" s="335">
        <f>(AW99*AB99)+((AX99+AY99)*AC99)</f>
        <v/>
      </c>
      <c r="BB99" s="122">
        <f>AN99-AW99</f>
        <v/>
      </c>
      <c r="BC99" s="141">
        <f>BB99*AB99</f>
        <v/>
      </c>
      <c r="BD99" s="122">
        <f>AO99-AX99</f>
        <v/>
      </c>
      <c r="BE99" s="122">
        <f>BD99*AC99</f>
        <v/>
      </c>
      <c r="BF99" s="122">
        <f>AP99-AY99</f>
        <v/>
      </c>
      <c r="BG99" s="122">
        <f>BF99*AC99</f>
        <v/>
      </c>
      <c r="BH99" s="122">
        <f>BB99+BD99+BF99</f>
        <v/>
      </c>
      <c r="BI99" s="122">
        <f>BC99+BE99+BG99</f>
        <v/>
      </c>
      <c r="BJ99" s="324">
        <f>BL99+BS99+BV99+BY99+CB99+CE99+CH99+CK99</f>
        <v/>
      </c>
      <c r="BK99" s="320">
        <f>((AI99+AW99)*AB99)+((AJ99+AK99+AX99+AY99)*AC99)</f>
        <v/>
      </c>
      <c r="BL99" s="132">
        <f>BM99+BN99+AL99</f>
        <v/>
      </c>
      <c r="BM99" s="133">
        <f>AW99</f>
        <v/>
      </c>
      <c r="BN99" s="133">
        <f>AX99+AY99</f>
        <v/>
      </c>
      <c r="BO99" s="345" t="n">
        <v>2.4605</v>
      </c>
      <c r="BP99" s="345" t="n">
        <v>0.53071</v>
      </c>
      <c r="BQ99" s="320">
        <f>BM99*BO99</f>
        <v/>
      </c>
      <c r="BR99" s="320">
        <f>BN99*BP99</f>
        <v/>
      </c>
      <c r="BS99" s="124" t="n">
        <v>2366.22</v>
      </c>
      <c r="BT99" s="346" t="n">
        <v>0.67099</v>
      </c>
      <c r="BU99" s="320">
        <f>BS99*BT99</f>
        <v/>
      </c>
      <c r="BV99" s="143" t="n">
        <v>2957.78</v>
      </c>
      <c r="BW99" s="328" t="n">
        <v>0.67099</v>
      </c>
      <c r="BX99" s="320">
        <f>BV99*BW99</f>
        <v/>
      </c>
      <c r="BY99" s="124" t="n">
        <v>4140.89</v>
      </c>
      <c r="BZ99" s="328" t="n">
        <v>0.67099</v>
      </c>
      <c r="CA99" s="124">
        <f>BY99*BZ99</f>
        <v/>
      </c>
      <c r="CB99" s="124" t="n"/>
      <c r="CC99" s="320" t="n"/>
      <c r="CD99" s="124" t="n"/>
      <c r="CE99" s="124" t="n"/>
      <c r="CF99" s="320" t="n"/>
      <c r="CG99" s="124" t="n"/>
      <c r="CH99" s="124" t="n"/>
      <c r="CI99" s="320" t="n"/>
      <c r="CJ99" s="124" t="n"/>
      <c r="CK99" s="124" t="n"/>
      <c r="CL99" s="320" t="n"/>
      <c r="CM99" s="124" t="n"/>
      <c r="CN99" s="320">
        <f>BK99+BU99+BX99+CA99+CD99+CG99+CJ99+CM99</f>
        <v/>
      </c>
      <c r="CO99" s="141">
        <f>(AV99-(AZ99+BV99+BY99+CB99+CE99+CH99+CK99+BS99)+CO98)</f>
        <v/>
      </c>
      <c r="CP99" s="320">
        <f>CR99*G99</f>
        <v/>
      </c>
      <c r="CQ99" s="124">
        <f>AL99+AZ99+AQ99</f>
        <v/>
      </c>
      <c r="CR99" s="159">
        <f>AV99-AZ99-BS99-BV99-BY99-CB99</f>
        <v/>
      </c>
      <c r="CS99" s="155" t="n"/>
      <c r="CT99" s="180" t="n"/>
      <c r="CU99" s="177" t="n"/>
      <c r="CV99" s="177" t="n"/>
      <c r="CW99" s="325" t="n"/>
    </row>
    <row r="100" ht="19.9" customFormat="1" customHeight="1" s="67">
      <c r="A100" s="120" t="inlineStr">
        <is>
          <t>Casa do Pica-Pau</t>
        </is>
      </c>
      <c r="B100" s="65" t="n">
        <v>10025013856</v>
      </c>
      <c r="C100" s="120" t="inlineStr">
        <is>
          <t>Vianópolis</t>
        </is>
      </c>
      <c r="D100" s="121" t="inlineStr">
        <is>
          <t>Vianópolis</t>
        </is>
      </c>
      <c r="E100" s="121" t="inlineStr">
        <is>
          <t>Outubro/2022</t>
        </is>
      </c>
      <c r="F100" s="122" t="n">
        <v>17716</v>
      </c>
      <c r="G100" s="320" t="n">
        <v>0.6879999999999999</v>
      </c>
      <c r="H100" s="124">
        <f>F100*G100</f>
        <v/>
      </c>
      <c r="I100" s="140" t="inlineStr">
        <is>
          <t>Outubro/2022</t>
        </is>
      </c>
      <c r="J100" s="144" t="inlineStr">
        <is>
          <t>1 Growatt de 50 KW e 1 de 60 KW</t>
        </is>
      </c>
      <c r="K100" s="66" t="inlineStr">
        <is>
          <t>247 de 550W</t>
        </is>
      </c>
      <c r="L100" s="140" t="n"/>
      <c r="M100" s="145" t="inlineStr">
        <is>
          <t>Maio/2023</t>
        </is>
      </c>
      <c r="N100" s="145" t="inlineStr">
        <is>
          <t>01/05/2023 a 01/06/2023</t>
        </is>
      </c>
      <c r="O100" s="331" t="n">
        <v>1144.7</v>
      </c>
      <c r="P100" s="331" t="n">
        <v>0</v>
      </c>
      <c r="Q100" s="331" t="n">
        <v>1127.65</v>
      </c>
      <c r="R100" s="147" t="n"/>
      <c r="S100" s="331" t="n">
        <v>1.73</v>
      </c>
      <c r="T100" s="331" t="n">
        <v>0</v>
      </c>
      <c r="U100" s="331" t="n">
        <v>15.32</v>
      </c>
      <c r="V100" s="331" t="n">
        <v>0</v>
      </c>
      <c r="W100" s="331" t="n">
        <v>0</v>
      </c>
      <c r="X100" s="331" t="n"/>
      <c r="Y100" s="331" t="n"/>
      <c r="Z100" s="331" t="n"/>
      <c r="AA100" s="331" t="n"/>
      <c r="AB100" s="332" t="n">
        <v>2.348162</v>
      </c>
      <c r="AC100" s="332" t="n">
        <v>0.506494</v>
      </c>
      <c r="AD100" s="143" t="n">
        <v>0</v>
      </c>
      <c r="AE100" s="173" t="n">
        <v>15479.5263671875</v>
      </c>
      <c r="AF100" s="143" t="n">
        <v>0</v>
      </c>
      <c r="AG100" s="143">
        <f>SUM(AD100:AF100)</f>
        <v/>
      </c>
      <c r="AH100" s="143">
        <f>(AD100*AB100)+((AE100+AF100)*AC100)</f>
        <v/>
      </c>
      <c r="AI100" s="143">
        <f>AD100-AS100</f>
        <v/>
      </c>
      <c r="AJ100" s="143">
        <f>AE100-AT100</f>
        <v/>
      </c>
      <c r="AK100" s="143">
        <f>AF100-AU100</f>
        <v/>
      </c>
      <c r="AL100" s="208">
        <f>SUM(AI100:AK100)</f>
        <v/>
      </c>
      <c r="AM100" s="336">
        <f>(AI100*AB100)+((AJ100+AK100)*AC100)</f>
        <v/>
      </c>
      <c r="AN100" s="143" t="n">
        <v>444.44</v>
      </c>
      <c r="AO100" s="143" t="n">
        <v>1089.78</v>
      </c>
      <c r="AP100" s="143" t="n">
        <v>1049.19</v>
      </c>
      <c r="AQ100" s="143">
        <f>SUM(AN100:AP100)</f>
        <v/>
      </c>
      <c r="AR100" s="331">
        <f>(AN100*AB100)+((AO100+AP100)*AC100)</f>
        <v/>
      </c>
      <c r="AS100" s="143" t="n">
        <v>0</v>
      </c>
      <c r="AT100" s="143" t="n">
        <v>12618.45</v>
      </c>
      <c r="AU100" s="143" t="n">
        <v>0</v>
      </c>
      <c r="AV100" s="143">
        <f>SUM(AS100:AU100)</f>
        <v/>
      </c>
      <c r="AW100" s="143" t="n">
        <v>444.44</v>
      </c>
      <c r="AX100" s="143" t="n">
        <v>1089.78</v>
      </c>
      <c r="AY100" s="143" t="n">
        <v>1049.19</v>
      </c>
      <c r="AZ100" s="143">
        <f>SUM(AW100:AY100)</f>
        <v/>
      </c>
      <c r="BA100" s="335">
        <f>(AW100*AB100)+((AX100+AY100)*AC100)</f>
        <v/>
      </c>
      <c r="BB100" s="141">
        <f>AN100-AW100</f>
        <v/>
      </c>
      <c r="BC100" s="141">
        <f>BB100*AB100</f>
        <v/>
      </c>
      <c r="BD100" s="141">
        <f>AO100-AX100</f>
        <v/>
      </c>
      <c r="BE100" s="141">
        <f>BD100*AC100</f>
        <v/>
      </c>
      <c r="BF100" s="141">
        <f>AP100-AY100</f>
        <v/>
      </c>
      <c r="BG100" s="141">
        <f>BF100*AC100</f>
        <v/>
      </c>
      <c r="BH100" s="141">
        <f>BB100+BD100+BF100</f>
        <v/>
      </c>
      <c r="BI100" s="141">
        <f>BC100+BE100+BG100</f>
        <v/>
      </c>
      <c r="BJ100" s="324">
        <f>BL100+BS100+BV100+BY100+CB100+CE100+CH100+CK100</f>
        <v/>
      </c>
      <c r="BK100" s="320">
        <f>((AI100+AW100)*AB100)+((AJ100+AK100+AX100+AY100)*AC100)</f>
        <v/>
      </c>
      <c r="BL100" s="132">
        <f>BM100+BN100+AL100</f>
        <v/>
      </c>
      <c r="BM100" s="133">
        <f>AW100</f>
        <v/>
      </c>
      <c r="BN100" s="133">
        <f>AX100+AY100</f>
        <v/>
      </c>
      <c r="BO100" s="343" t="n">
        <v>2.348162</v>
      </c>
      <c r="BP100" s="343" t="n">
        <v>0.506494</v>
      </c>
      <c r="BQ100" s="320">
        <f>BM100*BO100</f>
        <v/>
      </c>
      <c r="BR100" s="320">
        <f>BN100*BP100</f>
        <v/>
      </c>
      <c r="BS100" s="143" t="n">
        <v>2265.59</v>
      </c>
      <c r="BT100" s="344" t="n">
        <v>0.67099</v>
      </c>
      <c r="BU100" s="320">
        <f>BS100*BT100</f>
        <v/>
      </c>
      <c r="BV100" s="124" t="n">
        <v>2831.98</v>
      </c>
      <c r="BW100" s="340" t="n">
        <v>0.67099</v>
      </c>
      <c r="BX100" s="320">
        <f>BV100*BW100</f>
        <v/>
      </c>
      <c r="BY100" s="143" t="n">
        <v>3964.78</v>
      </c>
      <c r="BZ100" s="340" t="n">
        <v>0.67099</v>
      </c>
      <c r="CA100" s="124">
        <f>BY100*BZ100</f>
        <v/>
      </c>
      <c r="CB100" s="143" t="n"/>
      <c r="CC100" s="334" t="n"/>
      <c r="CD100" s="143" t="n"/>
      <c r="CE100" s="143" t="n"/>
      <c r="CF100" s="334" t="n"/>
      <c r="CG100" s="143" t="n"/>
      <c r="CH100" s="143" t="n"/>
      <c r="CI100" s="334" t="n"/>
      <c r="CJ100" s="143" t="n"/>
      <c r="CK100" s="143" t="n"/>
      <c r="CL100" s="334" t="n"/>
      <c r="CM100" s="143" t="n"/>
      <c r="CN100" s="320">
        <f>BK100+BU100+BX100+CA100+CD100+CG100+CJ100+CM100</f>
        <v/>
      </c>
      <c r="CO100" s="141">
        <f>(AV100-(AZ100+BV100+BY100+CB100+CE100+CH100+CK100+BS100)+CO99)</f>
        <v/>
      </c>
      <c r="CP100" s="320">
        <f>CR100*G100</f>
        <v/>
      </c>
      <c r="CQ100" s="124">
        <f>AL100+AZ100+AQ100</f>
        <v/>
      </c>
      <c r="CR100" s="159">
        <f>AV100-AZ100-BS100-BV100-BY100-CB100</f>
        <v/>
      </c>
      <c r="CS100" s="155" t="n"/>
      <c r="CT100" s="180" t="n"/>
      <c r="CU100" s="177" t="n"/>
      <c r="CV100" s="177" t="n"/>
      <c r="CW100" s="325" t="n"/>
    </row>
    <row r="101" ht="19.9" customFormat="1" customHeight="1" s="67">
      <c r="A101" s="233" t="inlineStr">
        <is>
          <t>Casa do Pica-Pau</t>
        </is>
      </c>
      <c r="B101" s="66" t="n">
        <v>10025013856</v>
      </c>
      <c r="C101" s="233" t="inlineStr">
        <is>
          <t>Vianópolis</t>
        </is>
      </c>
      <c r="D101" s="140" t="inlineStr">
        <is>
          <t>Vianópolis</t>
        </is>
      </c>
      <c r="E101" s="140" t="inlineStr">
        <is>
          <t>Outubro/2022</t>
        </is>
      </c>
      <c r="F101" s="141" t="n">
        <v>17716</v>
      </c>
      <c r="G101" s="326" t="n">
        <v>0.6879999999999999</v>
      </c>
      <c r="H101" s="173">
        <f>F101*G101</f>
        <v/>
      </c>
      <c r="I101" s="121" t="inlineStr">
        <is>
          <t>Outubro/2022</t>
        </is>
      </c>
      <c r="J101" s="125" t="inlineStr">
        <is>
          <t>1 Growatt de 50 KW e 1 de 60 KW</t>
        </is>
      </c>
      <c r="K101" s="65" t="inlineStr">
        <is>
          <t>247 de 550W</t>
        </is>
      </c>
      <c r="L101" s="121" t="n"/>
      <c r="M101" s="126" t="inlineStr">
        <is>
          <t>Junho/2023</t>
        </is>
      </c>
      <c r="N101" s="126" t="inlineStr">
        <is>
          <t>01/06/2023 a 01/07/2023</t>
        </is>
      </c>
      <c r="O101" s="321" t="n">
        <v>1183.27</v>
      </c>
      <c r="P101" s="321" t="n">
        <v>0</v>
      </c>
      <c r="Q101" s="321" t="n">
        <v>1142.02</v>
      </c>
      <c r="R101" s="207" t="n"/>
      <c r="S101" s="321" t="n">
        <v>8.77</v>
      </c>
      <c r="T101" s="321" t="n">
        <v>17.16</v>
      </c>
      <c r="U101" s="321" t="n">
        <v>15.32</v>
      </c>
      <c r="V101" s="321" t="n">
        <v>0</v>
      </c>
      <c r="W101" s="321" t="n">
        <v>0</v>
      </c>
      <c r="X101" s="321" t="n"/>
      <c r="Y101" s="321" t="n"/>
      <c r="Z101" s="321" t="n"/>
      <c r="AA101" s="321" t="n"/>
      <c r="AB101" s="322" t="n">
        <v>2.378099</v>
      </c>
      <c r="AC101" s="322" t="n">
        <v>0.5129509999999999</v>
      </c>
      <c r="AD101" s="124" t="n">
        <v>0</v>
      </c>
      <c r="AE101" s="124" t="n">
        <v>11777.4443359375</v>
      </c>
      <c r="AF101" s="124" t="n">
        <v>0</v>
      </c>
      <c r="AG101" s="124">
        <f>SUM(AD101:AF101)</f>
        <v/>
      </c>
      <c r="AH101" s="124">
        <f>(AD101*AB101)+((AE101+AF101)*AC101)</f>
        <v/>
      </c>
      <c r="AI101" s="124">
        <f>AD101-AS101</f>
        <v/>
      </c>
      <c r="AJ101" s="124">
        <f>AE101-AT101</f>
        <v/>
      </c>
      <c r="AK101" s="124">
        <f>AF101-AU101</f>
        <v/>
      </c>
      <c r="AL101" s="210">
        <f>SUM(AI101:AK101)</f>
        <v/>
      </c>
      <c r="AM101" s="337">
        <f>(AI101*AB101)+((AJ101+AK101)*AC101)</f>
        <v/>
      </c>
      <c r="AN101" s="124" t="n">
        <v>468.91</v>
      </c>
      <c r="AO101" s="124" t="n">
        <v>1153.74</v>
      </c>
      <c r="AP101" s="124" t="n">
        <v>936.03</v>
      </c>
      <c r="AQ101" s="124">
        <f>SUM(AN101:AP101)</f>
        <v/>
      </c>
      <c r="AR101" s="321">
        <f>(AN101*AB101)+((AO101+AP101)*AC101)</f>
        <v/>
      </c>
      <c r="AS101" s="124" t="n">
        <v>0</v>
      </c>
      <c r="AT101" s="124" t="n">
        <v>9329.58</v>
      </c>
      <c r="AU101" s="124" t="n">
        <v>0</v>
      </c>
      <c r="AV101" s="124">
        <f>SUM(AS101:AU101)</f>
        <v/>
      </c>
      <c r="AW101" s="124" t="n">
        <v>468.91</v>
      </c>
      <c r="AX101" s="124" t="n">
        <v>1153.74</v>
      </c>
      <c r="AY101" s="124" t="n">
        <v>936.03</v>
      </c>
      <c r="AZ101" s="124">
        <f>SUM(AW101:AY101)</f>
        <v/>
      </c>
      <c r="BA101" s="335">
        <f>(AW101*AB101)+((AX101+AY101)*AC101)</f>
        <v/>
      </c>
      <c r="BB101" s="122">
        <f>AN101-AW101</f>
        <v/>
      </c>
      <c r="BC101" s="141">
        <f>BB101*AB101</f>
        <v/>
      </c>
      <c r="BD101" s="122">
        <f>AO101-AX101</f>
        <v/>
      </c>
      <c r="BE101" s="122">
        <f>BD101*AC101</f>
        <v/>
      </c>
      <c r="BF101" s="122">
        <f>AP101-AY101</f>
        <v/>
      </c>
      <c r="BG101" s="122">
        <f>BF101*AC101</f>
        <v/>
      </c>
      <c r="BH101" s="122">
        <f>BB101+BD101+BF101</f>
        <v/>
      </c>
      <c r="BI101" s="122">
        <f>BC101+BE101+BG101</f>
        <v/>
      </c>
      <c r="BJ101" s="324">
        <f>BL101+BS101+BV101+BY101+CB101+CE101+CH101+CK101</f>
        <v/>
      </c>
      <c r="BK101" s="320">
        <f>((AI101+AW101)*AB101)+((AJ101+AK101+AX101+AY101)*AC101)</f>
        <v/>
      </c>
      <c r="BL101" s="132">
        <f>BM101+BN101+AL101</f>
        <v/>
      </c>
      <c r="BM101" s="133">
        <f>AW101</f>
        <v/>
      </c>
      <c r="BN101" s="133">
        <f>AX101+AY101</f>
        <v/>
      </c>
      <c r="BO101" s="345" t="n">
        <v>2.378099</v>
      </c>
      <c r="BP101" s="345" t="n">
        <v>0.5129509999999999</v>
      </c>
      <c r="BQ101" s="320">
        <f>BM101*BO101</f>
        <v/>
      </c>
      <c r="BR101" s="320">
        <f>BN101*BP101</f>
        <v/>
      </c>
      <c r="BS101" s="124" t="n">
        <v>2523.69</v>
      </c>
      <c r="BT101" s="346" t="n">
        <v>0.67099</v>
      </c>
      <c r="BU101" s="320">
        <f>BS101*BT101</f>
        <v/>
      </c>
      <c r="BV101" s="143" t="n">
        <v>3154.61</v>
      </c>
      <c r="BW101" s="328" t="n">
        <v>0.67099</v>
      </c>
      <c r="BX101" s="320">
        <f>BV101*BW101</f>
        <v/>
      </c>
      <c r="BY101" s="124" t="n">
        <v>4175</v>
      </c>
      <c r="BZ101" s="328" t="n">
        <v>0.67099</v>
      </c>
      <c r="CA101" s="124">
        <f>BY101*BZ101</f>
        <v/>
      </c>
      <c r="CB101" s="124" t="n"/>
      <c r="CC101" s="320" t="n"/>
      <c r="CD101" s="124" t="n"/>
      <c r="CE101" s="124" t="n"/>
      <c r="CF101" s="320" t="n"/>
      <c r="CG101" s="124" t="n"/>
      <c r="CH101" s="124" t="n"/>
      <c r="CI101" s="320" t="n"/>
      <c r="CJ101" s="124" t="n"/>
      <c r="CK101" s="124" t="n"/>
      <c r="CL101" s="320" t="n"/>
      <c r="CM101" s="124" t="n"/>
      <c r="CN101" s="320">
        <f>BK101+BU101+BX101+CA101+CD101+CG101+CJ101+CM101</f>
        <v/>
      </c>
      <c r="CO101" s="141">
        <f>(AV101-(AZ101+BV101+BY101+CB101+CE101+CH101+CK101+BS101)+CO100)</f>
        <v/>
      </c>
      <c r="CP101" s="320">
        <f>CR101*G101</f>
        <v/>
      </c>
      <c r="CQ101" s="124">
        <f>AL101+AZ101+AQ101</f>
        <v/>
      </c>
      <c r="CR101" s="159">
        <f>AV101-AZ101-BS101-BV101-BY101-CB101</f>
        <v/>
      </c>
      <c r="CS101" s="155" t="n"/>
      <c r="CT101" s="180" t="n"/>
      <c r="CU101" s="177" t="n"/>
      <c r="CV101" s="177" t="n"/>
      <c r="CW101" s="325" t="n"/>
    </row>
    <row r="102" ht="19.9" customFormat="1" customHeight="1" s="67">
      <c r="A102" s="120" t="inlineStr">
        <is>
          <t>Casa do Pica-Pau</t>
        </is>
      </c>
      <c r="B102" s="65" t="n">
        <v>10025013856</v>
      </c>
      <c r="C102" s="120" t="inlineStr">
        <is>
          <t>Vianópolis</t>
        </is>
      </c>
      <c r="D102" s="121" t="inlineStr">
        <is>
          <t>Vianópolis</t>
        </is>
      </c>
      <c r="E102" s="121" t="inlineStr">
        <is>
          <t>Outubro/2022</t>
        </is>
      </c>
      <c r="F102" s="122" t="n">
        <v>17716</v>
      </c>
      <c r="G102" s="320" t="n">
        <v>0.6879999999999999</v>
      </c>
      <c r="H102" s="124">
        <f>F102*G102</f>
        <v/>
      </c>
      <c r="I102" s="140" t="inlineStr">
        <is>
          <t>Outubro/2022</t>
        </is>
      </c>
      <c r="J102" s="144" t="inlineStr">
        <is>
          <t>1 Growatt de 50 KW e 1 de 60 KW</t>
        </is>
      </c>
      <c r="K102" s="66" t="inlineStr">
        <is>
          <t>247 de 550W</t>
        </is>
      </c>
      <c r="L102" s="140" t="n"/>
      <c r="M102" s="145" t="inlineStr">
        <is>
          <t>Julho/2023</t>
        </is>
      </c>
      <c r="N102" s="145" t="inlineStr">
        <is>
          <t>01/07/2023 a 01/08/2023</t>
        </is>
      </c>
      <c r="O102" s="331" t="n">
        <v>1195.66</v>
      </c>
      <c r="P102" s="331" t="n">
        <v>0</v>
      </c>
      <c r="Q102" s="331" t="n">
        <v>1155.17</v>
      </c>
      <c r="R102" s="147" t="n"/>
      <c r="S102" s="331" t="n">
        <v>1.77</v>
      </c>
      <c r="T102" s="331" t="n">
        <v>23.4</v>
      </c>
      <c r="U102" s="331" t="n">
        <v>15.32</v>
      </c>
      <c r="V102" s="331" t="n">
        <v>0</v>
      </c>
      <c r="W102" s="331" t="n">
        <v>0</v>
      </c>
      <c r="X102" s="331" t="n"/>
      <c r="Y102" s="331" t="n"/>
      <c r="Z102" s="331" t="n"/>
      <c r="AA102" s="331" t="n"/>
      <c r="AB102" s="332" t="n">
        <v>2.405483</v>
      </c>
      <c r="AC102" s="332" t="n">
        <v>0.518858</v>
      </c>
      <c r="AD102" s="143" t="n">
        <v>0</v>
      </c>
      <c r="AE102" s="173" t="n">
        <v>12015.638671875</v>
      </c>
      <c r="AF102" s="143" t="n">
        <v>0</v>
      </c>
      <c r="AG102" s="143">
        <f>SUM(AD102:AF102)</f>
        <v/>
      </c>
      <c r="AH102" s="143">
        <f>(AD102*AB102)+((AE102+AF102)*AC102)</f>
        <v/>
      </c>
      <c r="AI102" s="143">
        <f>AD102-AS102</f>
        <v/>
      </c>
      <c r="AJ102" s="143">
        <f>AE102-AT102</f>
        <v/>
      </c>
      <c r="AK102" s="143">
        <f>AF102-AU102</f>
        <v/>
      </c>
      <c r="AL102" s="208">
        <f>SUM(AI102:AK102)</f>
        <v/>
      </c>
      <c r="AM102" s="336">
        <f>(AI102*AB102)+((AJ102+AK102)*AC102)</f>
        <v/>
      </c>
      <c r="AN102" s="143" t="n">
        <v>407.27</v>
      </c>
      <c r="AO102" s="143" t="n">
        <v>927.42</v>
      </c>
      <c r="AP102" s="143" t="n">
        <v>710.9400000000001</v>
      </c>
      <c r="AQ102" s="143">
        <f>SUM(AN102:AP102)</f>
        <v/>
      </c>
      <c r="AR102" s="331">
        <f>(AN102*AB102)+((AO102+AP102)*AC102)</f>
        <v/>
      </c>
      <c r="AS102" s="143" t="n">
        <v>0</v>
      </c>
      <c r="AT102" s="143" t="n">
        <v>9666.540000000001</v>
      </c>
      <c r="AU102" s="143" t="n">
        <v>0</v>
      </c>
      <c r="AV102" s="143">
        <f>SUM(AS102:AU102)</f>
        <v/>
      </c>
      <c r="AW102" s="143" t="n">
        <v>407.27</v>
      </c>
      <c r="AX102" s="143" t="n">
        <v>927.42</v>
      </c>
      <c r="AY102" s="143" t="n">
        <v>710.9400000000001</v>
      </c>
      <c r="AZ102" s="143">
        <f>SUM(AW102:AY102)</f>
        <v/>
      </c>
      <c r="BA102" s="335">
        <f>(AW102*AB102)+((AX102+AY102)*AC102)</f>
        <v/>
      </c>
      <c r="BB102" s="141">
        <f>AN102-AW102</f>
        <v/>
      </c>
      <c r="BC102" s="141">
        <f>BB102*AB102</f>
        <v/>
      </c>
      <c r="BD102" s="141">
        <f>AO102-AX102</f>
        <v/>
      </c>
      <c r="BE102" s="141">
        <f>BD102*AC102</f>
        <v/>
      </c>
      <c r="BF102" s="141">
        <f>AP102-AY102</f>
        <v/>
      </c>
      <c r="BG102" s="141">
        <f>BF102*AC102</f>
        <v/>
      </c>
      <c r="BH102" s="141">
        <f>BB102+BD102+BF102</f>
        <v/>
      </c>
      <c r="BI102" s="141">
        <f>BC102+BE102+BG102</f>
        <v/>
      </c>
      <c r="BJ102" s="324">
        <f>BL102+BS102+BV102+BY102+CB102+CE102+CH102+CK102</f>
        <v/>
      </c>
      <c r="BK102" s="320">
        <f>((AI102+AW102)*AB102)+((AJ102+AK102+AX102+AY102)*AC102)</f>
        <v/>
      </c>
      <c r="BL102" s="132">
        <f>BM102+BN102+AL102</f>
        <v/>
      </c>
      <c r="BM102" s="133">
        <f>AW102</f>
        <v/>
      </c>
      <c r="BN102" s="133">
        <f>AX102+AY102</f>
        <v/>
      </c>
      <c r="BO102" s="343" t="n">
        <v>2.405483</v>
      </c>
      <c r="BP102" s="343" t="n">
        <v>0.518858</v>
      </c>
      <c r="BQ102" s="320">
        <f>BM102*BO102</f>
        <v/>
      </c>
      <c r="BR102" s="320">
        <f>BN102*BP102</f>
        <v/>
      </c>
      <c r="BS102" s="143" t="n">
        <v>1865.92</v>
      </c>
      <c r="BT102" s="344" t="n">
        <v>0.67099</v>
      </c>
      <c r="BU102" s="320">
        <f>BS102*BT102</f>
        <v/>
      </c>
      <c r="BV102" s="124" t="n">
        <v>2332.4</v>
      </c>
      <c r="BW102" s="340" t="n">
        <v>0.67099</v>
      </c>
      <c r="BX102" s="320">
        <f>BV102*BW102</f>
        <v/>
      </c>
      <c r="BY102" s="143" t="n">
        <v>3506.81</v>
      </c>
      <c r="BZ102" s="340" t="n">
        <v>0.67099</v>
      </c>
      <c r="CA102" s="124">
        <f>BY102*BZ102</f>
        <v/>
      </c>
      <c r="CB102" s="143" t="n"/>
      <c r="CC102" s="334" t="n"/>
      <c r="CD102" s="143" t="n"/>
      <c r="CE102" s="143" t="n"/>
      <c r="CF102" s="334" t="n"/>
      <c r="CG102" s="143" t="n"/>
      <c r="CH102" s="143" t="n"/>
      <c r="CI102" s="334" t="n"/>
      <c r="CJ102" s="143" t="n"/>
      <c r="CK102" s="143" t="n"/>
      <c r="CL102" s="334" t="n"/>
      <c r="CM102" s="143" t="n"/>
      <c r="CN102" s="320">
        <f>BK102+BU102+BX102+CA102+CD102+CG102+CJ102+CM102</f>
        <v/>
      </c>
      <c r="CO102" s="141">
        <f>(AV102-(AZ102+BV102+BY102+CB102+CE102+CH102+CK102+BS102)+CO101)</f>
        <v/>
      </c>
      <c r="CP102" s="320">
        <f>CR102*G102</f>
        <v/>
      </c>
      <c r="CQ102" s="124">
        <f>AL102+AZ102+AQ102</f>
        <v/>
      </c>
      <c r="CR102" s="159">
        <f>AV102-AZ102-BS102-BV102-BY102-CB102</f>
        <v/>
      </c>
      <c r="CS102" s="155" t="n"/>
      <c r="CT102" s="180" t="n"/>
      <c r="CU102" s="177" t="n"/>
      <c r="CV102" s="177" t="n"/>
      <c r="CW102" s="325" t="n"/>
    </row>
    <row r="103" ht="19.9" customFormat="1" customHeight="1" s="67">
      <c r="A103" s="233" t="inlineStr">
        <is>
          <t>Casa do Pica-Pau</t>
        </is>
      </c>
      <c r="B103" s="66" t="n">
        <v>10025013856</v>
      </c>
      <c r="C103" s="233" t="inlineStr">
        <is>
          <t>Vianópolis</t>
        </is>
      </c>
      <c r="D103" s="140" t="inlineStr">
        <is>
          <t>Vianópolis</t>
        </is>
      </c>
      <c r="E103" s="140" t="inlineStr">
        <is>
          <t>Outubro/2022</t>
        </is>
      </c>
      <c r="F103" s="141" t="n">
        <v>17716</v>
      </c>
      <c r="G103" s="326" t="n">
        <v>0.6879999999999999</v>
      </c>
      <c r="H103" s="173">
        <f>F103*G103</f>
        <v/>
      </c>
      <c r="I103" s="121" t="inlineStr">
        <is>
          <t>Outubro/2022</t>
        </is>
      </c>
      <c r="J103" s="125" t="inlineStr">
        <is>
          <t>1 Growatt de 50 KW e 1 de 60 KW</t>
        </is>
      </c>
      <c r="K103" s="65" t="inlineStr">
        <is>
          <t>247 de 550W</t>
        </is>
      </c>
      <c r="L103" s="121" t="n"/>
      <c r="M103" s="126" t="inlineStr">
        <is>
          <t>Agosto/2023</t>
        </is>
      </c>
      <c r="N103" s="126" t="inlineStr">
        <is>
          <t>01/08/2023 a 01/09/2023</t>
        </is>
      </c>
      <c r="O103" s="321" t="n">
        <v>1142.21</v>
      </c>
      <c r="P103" s="321" t="n">
        <v>0</v>
      </c>
      <c r="Q103" s="321" t="n">
        <v>1124.3</v>
      </c>
      <c r="R103" s="207" t="n"/>
      <c r="S103" s="321" t="n">
        <v>2.59</v>
      </c>
      <c r="T103" s="321" t="n">
        <v>0</v>
      </c>
      <c r="U103" s="321" t="n">
        <v>15.32</v>
      </c>
      <c r="V103" s="321" t="n">
        <v>0</v>
      </c>
      <c r="W103" s="321" t="n">
        <v>0</v>
      </c>
      <c r="X103" s="321" t="n"/>
      <c r="Y103" s="321" t="n"/>
      <c r="Z103" s="321" t="n"/>
      <c r="AA103" s="321" t="n"/>
      <c r="AB103" s="322" t="n">
        <v>2.34119</v>
      </c>
      <c r="AC103" s="322" t="n">
        <v>0.504989</v>
      </c>
      <c r="AD103" s="124" t="n">
        <v>0</v>
      </c>
      <c r="AE103" s="124" t="n">
        <v>9885.9775390625</v>
      </c>
      <c r="AF103" s="124" t="n">
        <v>0</v>
      </c>
      <c r="AG103" s="124">
        <f>SUM(AD103:AF103)</f>
        <v/>
      </c>
      <c r="AH103" s="124">
        <f>(AD103*AB103)+((AE103+AF103)*AC103)</f>
        <v/>
      </c>
      <c r="AI103" s="124">
        <f>AD103-AS103</f>
        <v/>
      </c>
      <c r="AJ103" s="124">
        <f>AE103-AT103</f>
        <v/>
      </c>
      <c r="AK103" s="124">
        <f>AF103-AU103</f>
        <v/>
      </c>
      <c r="AL103" s="210">
        <f>SUM(AI103:AK103)</f>
        <v/>
      </c>
      <c r="AM103" s="337">
        <f>(AI103*AB103)+((AJ103+AK103)*AC103)</f>
        <v/>
      </c>
      <c r="AN103" s="124" t="n">
        <v>377.04</v>
      </c>
      <c r="AO103" s="124" t="n">
        <v>938.49</v>
      </c>
      <c r="AP103" s="124" t="n">
        <v>580.5599999999999</v>
      </c>
      <c r="AQ103" s="124">
        <f>SUM(AN103:AP103)</f>
        <v/>
      </c>
      <c r="AR103" s="321">
        <f>(AN103*AB103)+((AO103+AP103)*AC103)</f>
        <v/>
      </c>
      <c r="AS103" s="124" t="n">
        <v>0</v>
      </c>
      <c r="AT103" s="124" t="n">
        <v>7138.17</v>
      </c>
      <c r="AU103" s="124" t="n">
        <v>0</v>
      </c>
      <c r="AV103" s="124">
        <f>SUM(AS103:AU103)</f>
        <v/>
      </c>
      <c r="AW103" s="124" t="n">
        <v>377.04</v>
      </c>
      <c r="AX103" s="124" t="n">
        <v>938.49</v>
      </c>
      <c r="AY103" s="124" t="n">
        <v>580.5599999999999</v>
      </c>
      <c r="AZ103" s="124">
        <f>SUM(AW103:AY103)</f>
        <v/>
      </c>
      <c r="BA103" s="335">
        <f>(AW103*AB103)+((AX103+AY103)*AC103)</f>
        <v/>
      </c>
      <c r="BB103" s="122">
        <f>AN103-AW103</f>
        <v/>
      </c>
      <c r="BC103" s="141">
        <f>BB103*AB103</f>
        <v/>
      </c>
      <c r="BD103" s="122">
        <f>AO103-AX103</f>
        <v/>
      </c>
      <c r="BE103" s="122">
        <f>BD103*AC103</f>
        <v/>
      </c>
      <c r="BF103" s="122">
        <f>AP103-AY103</f>
        <v/>
      </c>
      <c r="BG103" s="122">
        <f>BF103*AC103</f>
        <v/>
      </c>
      <c r="BH103" s="122">
        <f>BB103+BD103+BF103</f>
        <v/>
      </c>
      <c r="BI103" s="122">
        <f>BC103+BE103+BG103</f>
        <v/>
      </c>
      <c r="BJ103" s="324">
        <f>BL103+BS103+BV103+BY103+CB103+CE103+CH103+CK103</f>
        <v/>
      </c>
      <c r="BK103" s="320">
        <f>((AI103+AW103)*AB103)+((AJ103+AK103+AX103+AY103)*AC103)</f>
        <v/>
      </c>
      <c r="BL103" s="132">
        <f>BM103+BN103+AL103</f>
        <v/>
      </c>
      <c r="BM103" s="133">
        <f>AW103</f>
        <v/>
      </c>
      <c r="BN103" s="133">
        <f>AX103+AY103</f>
        <v/>
      </c>
      <c r="BO103" s="345" t="n">
        <v>2.34119</v>
      </c>
      <c r="BP103" s="345" t="n">
        <v>0.504989</v>
      </c>
      <c r="BQ103" s="320">
        <f>BM103*BO103</f>
        <v/>
      </c>
      <c r="BR103" s="320">
        <f>BN103*BP103</f>
        <v/>
      </c>
      <c r="BS103" s="124" t="n">
        <v>1933.31</v>
      </c>
      <c r="BT103" s="346" t="n">
        <v>0.67099</v>
      </c>
      <c r="BU103" s="320">
        <f>BS103*BT103</f>
        <v/>
      </c>
      <c r="BV103" s="143" t="n">
        <v>2416.64</v>
      </c>
      <c r="BW103" s="328" t="n">
        <v>0.67099</v>
      </c>
      <c r="BX103" s="320">
        <f>BV103*BW103</f>
        <v/>
      </c>
      <c r="BY103" s="124" t="n">
        <v>3383.29</v>
      </c>
      <c r="BZ103" s="328" t="n">
        <v>0.67099</v>
      </c>
      <c r="CA103" s="124">
        <f>BY103*BZ103</f>
        <v/>
      </c>
      <c r="CB103" s="124" t="n"/>
      <c r="CC103" s="320" t="n"/>
      <c r="CD103" s="124" t="n"/>
      <c r="CE103" s="124" t="n"/>
      <c r="CF103" s="320" t="n"/>
      <c r="CG103" s="124" t="n"/>
      <c r="CH103" s="124" t="n"/>
      <c r="CI103" s="320" t="n"/>
      <c r="CJ103" s="124" t="n"/>
      <c r="CK103" s="124" t="n"/>
      <c r="CL103" s="320" t="n"/>
      <c r="CM103" s="124" t="n"/>
      <c r="CN103" s="320">
        <f>BK103+BU103+BX103+CA103+CD103+CG103+CJ103+CM103</f>
        <v/>
      </c>
      <c r="CO103" s="141">
        <f>(AV103-(AZ103+BV103+BY103+CB103+CE103+CH103+CK103+BS103)+CO102)</f>
        <v/>
      </c>
      <c r="CP103" s="320">
        <f>CR103*G103</f>
        <v/>
      </c>
      <c r="CQ103" s="124">
        <f>AL103+AZ103+AQ103</f>
        <v/>
      </c>
      <c r="CR103" s="159">
        <f>AV103-AZ103-BS103-BV103-BY103-CB103</f>
        <v/>
      </c>
      <c r="CS103" s="155" t="n"/>
      <c r="CT103" s="180" t="n"/>
      <c r="CU103" s="177" t="n"/>
      <c r="CV103" s="177" t="n"/>
      <c r="CW103" s="325" t="n"/>
    </row>
    <row r="104" ht="18.75" customFormat="1" customHeight="1" s="181">
      <c r="A104" s="120" t="inlineStr">
        <is>
          <t>Casa do Pica-Pau</t>
        </is>
      </c>
      <c r="B104" s="65" t="n">
        <v>10025013856</v>
      </c>
      <c r="C104" s="120" t="inlineStr">
        <is>
          <t>Vianópolis</t>
        </is>
      </c>
      <c r="D104" s="121" t="inlineStr">
        <is>
          <t>Vianópolis</t>
        </is>
      </c>
      <c r="E104" s="121" t="inlineStr">
        <is>
          <t>Outubro/2022</t>
        </is>
      </c>
      <c r="F104" s="122" t="n">
        <v>17716</v>
      </c>
      <c r="G104" s="320" t="n">
        <v>0.6879999999999999</v>
      </c>
      <c r="H104" s="124">
        <f>F104*G104</f>
        <v/>
      </c>
      <c r="I104" s="140" t="inlineStr">
        <is>
          <t>Outubro/2022</t>
        </is>
      </c>
      <c r="J104" s="144" t="inlineStr">
        <is>
          <t>1 Growatt de 50 KW e 1 de 60 KW</t>
        </is>
      </c>
      <c r="K104" s="206" t="inlineStr">
        <is>
          <t>247 de 550W</t>
        </is>
      </c>
      <c r="L104" s="205" t="n"/>
      <c r="M104" s="161" t="inlineStr">
        <is>
          <t>Setembro/2023</t>
        </is>
      </c>
      <c r="N104" s="161" t="inlineStr">
        <is>
          <t>01/09/2023 a 01/10/2023</t>
        </is>
      </c>
      <c r="O104" s="347" t="n">
        <v>1228.74</v>
      </c>
      <c r="P104" s="347" t="n">
        <v>0</v>
      </c>
      <c r="Q104" s="331" t="n">
        <v>1147.91</v>
      </c>
      <c r="R104" s="147" t="n"/>
      <c r="S104" s="331" t="n">
        <v>1.32</v>
      </c>
      <c r="T104" s="331" t="n">
        <v>64.19</v>
      </c>
      <c r="U104" s="331" t="n">
        <v>15.32</v>
      </c>
      <c r="V104" s="331" t="n">
        <v>0</v>
      </c>
      <c r="W104" s="331" t="n">
        <v>0</v>
      </c>
      <c r="X104" s="331" t="n"/>
      <c r="Y104" s="331" t="n"/>
      <c r="Z104" s="331" t="n"/>
      <c r="AA104" s="331" t="n"/>
      <c r="AB104" s="332" t="n">
        <v>2.390349</v>
      </c>
      <c r="AC104" s="332" t="n">
        <v>0.515594</v>
      </c>
      <c r="AD104" s="143" t="n">
        <v>0</v>
      </c>
      <c r="AE104" s="173" t="n">
        <v>14462.595703125</v>
      </c>
      <c r="AF104" s="143" t="n">
        <v>0</v>
      </c>
      <c r="AG104" s="143">
        <f>SUM(AD104:AF104)</f>
        <v/>
      </c>
      <c r="AH104" s="143">
        <f>(AD104*AB104)+((AE104+AF104)*AC104)</f>
        <v/>
      </c>
      <c r="AI104" s="143">
        <f>AD104-AS104</f>
        <v/>
      </c>
      <c r="AJ104" s="143">
        <f>AE104-AT104</f>
        <v/>
      </c>
      <c r="AK104" s="143">
        <f>AF104-AU104</f>
        <v/>
      </c>
      <c r="AL104" s="208">
        <f>SUM(AI104:AK104)</f>
        <v/>
      </c>
      <c r="AM104" s="336">
        <f>(AI104*AB104)+((AJ104+AK104)*AC104)</f>
        <v/>
      </c>
      <c r="AN104" s="132" t="n">
        <v>366.84</v>
      </c>
      <c r="AO104" s="132" t="n">
        <v>1153.74</v>
      </c>
      <c r="AP104" s="132" t="n">
        <v>658.05</v>
      </c>
      <c r="AQ104" s="143">
        <f>SUM(AN104:AP104)</f>
        <v/>
      </c>
      <c r="AR104" s="331">
        <f>(AN104*AB104)+((AO104+AP104)*AC104)</f>
        <v/>
      </c>
      <c r="AS104" s="132" t="n">
        <v>0</v>
      </c>
      <c r="AT104" s="132" t="n">
        <v>10758.15</v>
      </c>
      <c r="AU104" s="132" t="n">
        <v>0</v>
      </c>
      <c r="AV104" s="132">
        <f>SUM(AS104:AU104)</f>
        <v/>
      </c>
      <c r="AW104" s="132" t="n">
        <v>366.84</v>
      </c>
      <c r="AX104" s="132" t="n">
        <v>1153.74</v>
      </c>
      <c r="AY104" s="132" t="n">
        <v>658.05</v>
      </c>
      <c r="AZ104" s="132">
        <f>SUM(AW104:AY104)</f>
        <v/>
      </c>
      <c r="BA104" s="348">
        <f>(AW104*AB104)+((AX104+AY104)*AC104)</f>
        <v/>
      </c>
      <c r="BB104" s="159">
        <f>AN104-AW104</f>
        <v/>
      </c>
      <c r="BC104" s="159">
        <f>BB104*AB104</f>
        <v/>
      </c>
      <c r="BD104" s="159">
        <f>AO104-AX104</f>
        <v/>
      </c>
      <c r="BE104" s="159">
        <f>BD104*AC104</f>
        <v/>
      </c>
      <c r="BF104" s="159">
        <f>AP104-AY104</f>
        <v/>
      </c>
      <c r="BG104" s="159">
        <f>BF104*AC104</f>
        <v/>
      </c>
      <c r="BH104" s="159">
        <f>BB104+BD104+BF104</f>
        <v/>
      </c>
      <c r="BI104" s="159">
        <f>BC104+BE104+BG104</f>
        <v/>
      </c>
      <c r="BJ104" s="324">
        <f>BL104+BS104+BV104+BY104+CB104+CE104+CH104+CK104</f>
        <v/>
      </c>
      <c r="BK104" s="349">
        <f>((AI104+AW104)*AB104)+((AJ104+AK104+AX104+AY104)*AC104)</f>
        <v/>
      </c>
      <c r="BL104" s="132">
        <f>BM104+BN104+AL104</f>
        <v/>
      </c>
      <c r="BM104" s="133">
        <f>AW104</f>
        <v/>
      </c>
      <c r="BN104" s="133">
        <f>AX104+AY104</f>
        <v/>
      </c>
      <c r="BO104" s="350" t="n">
        <v>2.390349</v>
      </c>
      <c r="BP104" s="350" t="n">
        <v>0.515594</v>
      </c>
      <c r="BQ104" s="349">
        <f>BM104*BO104</f>
        <v/>
      </c>
      <c r="BR104" s="349">
        <f>BN104*BP104</f>
        <v/>
      </c>
      <c r="BS104" s="132" t="n">
        <v>1427.63</v>
      </c>
      <c r="BT104" s="351" t="n">
        <v>0.67099</v>
      </c>
      <c r="BU104" s="349">
        <f>BS104*BT104</f>
        <v/>
      </c>
      <c r="BV104" s="124" t="n">
        <v>1784.54</v>
      </c>
      <c r="BW104" s="352" t="n">
        <v>0.67099</v>
      </c>
      <c r="BX104" s="349">
        <f>BV104*BW104</f>
        <v/>
      </c>
      <c r="BY104" s="132" t="n">
        <v>2498.36</v>
      </c>
      <c r="BZ104" s="352" t="n">
        <v>0.67099</v>
      </c>
      <c r="CA104" s="132">
        <f>BY104*BZ104</f>
        <v/>
      </c>
      <c r="CB104" s="132" t="n"/>
      <c r="CC104" s="349" t="n"/>
      <c r="CD104" s="132" t="n"/>
      <c r="CE104" s="132" t="n"/>
      <c r="CF104" s="349" t="n"/>
      <c r="CG104" s="132" t="n"/>
      <c r="CH104" s="132" t="n"/>
      <c r="CI104" s="349" t="n"/>
      <c r="CJ104" s="132" t="n"/>
      <c r="CK104" s="132" t="n"/>
      <c r="CL104" s="349" t="n"/>
      <c r="CM104" s="132" t="n"/>
      <c r="CN104" s="320">
        <f>BK104+BU104+BX104+CA104+CD104+CG104+CJ104+CM104</f>
        <v/>
      </c>
      <c r="CO104" s="141">
        <f>(AV104-(AZ104+BV104+BY104+CB104+CE104+CH104+CK104+BS104)+CO103)</f>
        <v/>
      </c>
      <c r="CP104" s="320">
        <f>CR104*G104</f>
        <v/>
      </c>
      <c r="CQ104" s="132">
        <f>AL104+AZ104+AQ104</f>
        <v/>
      </c>
      <c r="CR104" s="159">
        <f>AV104-AZ104-BS104-BV104-BY104-CB104</f>
        <v/>
      </c>
      <c r="CS104" s="353" t="n"/>
      <c r="CT104" s="180" t="n"/>
      <c r="CU104" s="177" t="n"/>
      <c r="CV104" s="177" t="n"/>
      <c r="CW104" s="325" t="n"/>
    </row>
    <row r="105" ht="18.75" customFormat="1" customHeight="1" s="67">
      <c r="A105" s="233" t="inlineStr">
        <is>
          <t>Casa do Pica-Pau</t>
        </is>
      </c>
      <c r="B105" s="66" t="n">
        <v>10025013856</v>
      </c>
      <c r="C105" s="233" t="inlineStr">
        <is>
          <t>Vianópolis</t>
        </is>
      </c>
      <c r="D105" s="140" t="inlineStr">
        <is>
          <t>Vianópolis</t>
        </is>
      </c>
      <c r="E105" s="140" t="inlineStr">
        <is>
          <t>Outubro/2022</t>
        </is>
      </c>
      <c r="F105" s="141" t="n">
        <v>17716</v>
      </c>
      <c r="G105" s="326" t="n">
        <v>0.6879999999999999</v>
      </c>
      <c r="H105" s="173">
        <f>F105*G105</f>
        <v/>
      </c>
      <c r="I105" s="121" t="inlineStr">
        <is>
          <t>Outubro/2022</t>
        </is>
      </c>
      <c r="J105" s="125" t="inlineStr">
        <is>
          <t>1 Growatt de 50 KW e 1 de 60 KW</t>
        </is>
      </c>
      <c r="K105" s="65" t="inlineStr">
        <is>
          <t>247 de 550W</t>
        </is>
      </c>
      <c r="L105" s="121" t="n"/>
      <c r="M105" s="126" t="inlineStr">
        <is>
          <t>Outubro/2023</t>
        </is>
      </c>
      <c r="N105" s="126" t="inlineStr">
        <is>
          <t>01/10/2023 a 01/11/2023</t>
        </is>
      </c>
      <c r="O105" s="321" t="n">
        <v>0</v>
      </c>
      <c r="P105" s="321" t="n">
        <v>0</v>
      </c>
      <c r="Q105" s="321" t="n">
        <v>1202.57</v>
      </c>
      <c r="R105" s="207" t="n"/>
      <c r="S105" s="321" t="n">
        <v>2.22</v>
      </c>
      <c r="T105" s="321" t="n">
        <v>0</v>
      </c>
      <c r="U105" s="321" t="n">
        <v>15.32</v>
      </c>
      <c r="V105" s="321" t="n">
        <v>0</v>
      </c>
      <c r="W105" s="321" t="n">
        <v>0</v>
      </c>
      <c r="X105" s="321" t="n"/>
      <c r="Y105" s="321" t="n"/>
      <c r="Z105" s="321" t="n">
        <v>-1220.11</v>
      </c>
      <c r="AA105" s="321" t="n"/>
      <c r="AB105" s="322" t="n">
        <v>2.455706</v>
      </c>
      <c r="AC105" s="322" t="n">
        <v>0.501162</v>
      </c>
      <c r="AD105" s="124" t="n">
        <v>0</v>
      </c>
      <c r="AE105" s="124" t="n">
        <v>15098.02</v>
      </c>
      <c r="AF105" s="124" t="n">
        <v>5.31</v>
      </c>
      <c r="AG105" s="124">
        <f>SUM(AD105:AF105)</f>
        <v/>
      </c>
      <c r="AH105" s="124">
        <f>(AD105*AB105)+((AE105+AF105)*AC105)</f>
        <v/>
      </c>
      <c r="AI105" s="124">
        <f>AD105-AS105</f>
        <v/>
      </c>
      <c r="AJ105" s="124">
        <f>AE105-AT105</f>
        <v/>
      </c>
      <c r="AK105" s="124">
        <f>AF105-AU105</f>
        <v/>
      </c>
      <c r="AL105" s="210">
        <f>SUM(AI105:AK105)</f>
        <v/>
      </c>
      <c r="AM105" s="337">
        <f>(AI105*AB105)+((AJ105+AK105)*AC105)</f>
        <v/>
      </c>
      <c r="AN105" s="124" t="n">
        <v>432.92</v>
      </c>
      <c r="AO105" s="124" t="n">
        <v>1354.23</v>
      </c>
      <c r="AP105" s="124" t="n">
        <v>792.12</v>
      </c>
      <c r="AQ105" s="124">
        <f>SUM(AN105:AP105)</f>
        <v/>
      </c>
      <c r="AR105" s="321">
        <f>(AN105*AB105)+((AO105+AP105)*AC105)</f>
        <v/>
      </c>
      <c r="AS105" s="124" t="n">
        <v>0</v>
      </c>
      <c r="AT105" s="124" t="n">
        <v>10482.03</v>
      </c>
      <c r="AU105" s="124" t="n">
        <v>0</v>
      </c>
      <c r="AV105" s="124">
        <f>SUM(AS105:AU105)</f>
        <v/>
      </c>
      <c r="AW105" s="124" t="n">
        <v>432.92</v>
      </c>
      <c r="AX105" s="124" t="n">
        <v>1354.23</v>
      </c>
      <c r="AY105" s="124" t="n">
        <v>792.12</v>
      </c>
      <c r="AZ105" s="124">
        <f>SUM(AW105:AY105)</f>
        <v/>
      </c>
      <c r="BA105" s="335">
        <f>(AW105*AB105)+((AX105+AY105)*AC105)</f>
        <v/>
      </c>
      <c r="BB105" s="122">
        <f>AN105-AW105</f>
        <v/>
      </c>
      <c r="BC105" s="141">
        <f>BB105*AB105</f>
        <v/>
      </c>
      <c r="BD105" s="122">
        <f>AO105-AX105</f>
        <v/>
      </c>
      <c r="BE105" s="122">
        <f>BD105*AC105</f>
        <v/>
      </c>
      <c r="BF105" s="122">
        <f>AP105-AY105</f>
        <v/>
      </c>
      <c r="BG105" s="122">
        <f>BF105*AC105</f>
        <v/>
      </c>
      <c r="BH105" s="122">
        <f>BB105+BD105+BF105</f>
        <v/>
      </c>
      <c r="BI105" s="122">
        <f>BC105+BE105+BG105</f>
        <v/>
      </c>
      <c r="BJ105" s="324">
        <f>BL105+BS105+BV105+BY105+CB105+CE105+CH105+CK105</f>
        <v/>
      </c>
      <c r="BK105" s="320">
        <f>((AI105+AW105)*AB105)+((AJ105+AK105+AX105+AY105)*AC105)</f>
        <v/>
      </c>
      <c r="BL105" s="132">
        <f>BM105+BN105+AL105</f>
        <v/>
      </c>
      <c r="BM105" s="133">
        <f>AW105</f>
        <v/>
      </c>
      <c r="BN105" s="133">
        <f>AX105+AY105</f>
        <v/>
      </c>
      <c r="BO105" s="345" t="n">
        <v>2.455706</v>
      </c>
      <c r="BP105" s="345" t="n">
        <v>0.501162</v>
      </c>
      <c r="BQ105" s="320">
        <f>BM105*BO105</f>
        <v/>
      </c>
      <c r="BR105" s="320">
        <f>BN105*BP105</f>
        <v/>
      </c>
      <c r="BS105" s="124" t="n">
        <v>2151.63</v>
      </c>
      <c r="BT105" s="344" t="n">
        <v>0.687613</v>
      </c>
      <c r="BU105" s="320">
        <f>BS105*BT105</f>
        <v/>
      </c>
      <c r="BV105" s="132" t="n">
        <v>2689.54</v>
      </c>
      <c r="BW105" s="340" t="n">
        <v>0.676275</v>
      </c>
      <c r="BX105" s="354">
        <f>BV105*BW105</f>
        <v/>
      </c>
      <c r="BY105" s="124" t="n">
        <v>3765.35</v>
      </c>
      <c r="BZ105" s="340" t="n">
        <v>0.688891</v>
      </c>
      <c r="CA105" s="124">
        <f>BY105*BZ105</f>
        <v/>
      </c>
      <c r="CB105" s="124" t="n"/>
      <c r="CC105" s="320" t="n"/>
      <c r="CD105" s="124" t="n"/>
      <c r="CE105" s="124" t="n"/>
      <c r="CF105" s="320" t="n"/>
      <c r="CG105" s="124" t="n"/>
      <c r="CH105" s="124" t="n"/>
      <c r="CI105" s="320" t="n"/>
      <c r="CJ105" s="124" t="n"/>
      <c r="CK105" s="124" t="n"/>
      <c r="CL105" s="320" t="n"/>
      <c r="CM105" s="124" t="n"/>
      <c r="CN105" s="320">
        <f>BK105+BU105+BX105+CA105+CD105+CG105+CJ105+CM105</f>
        <v/>
      </c>
      <c r="CO105" s="141">
        <f>(AV105-(AZ105+BV105+BY105+CB105+CE105+CH105+CK105+BS105)+CO104)</f>
        <v/>
      </c>
      <c r="CP105" s="320">
        <f>CR105*G105</f>
        <v/>
      </c>
      <c r="CQ105" s="124">
        <f>AL105+AZ105+AQ105</f>
        <v/>
      </c>
      <c r="CR105" s="159">
        <f>AV105-AZ105-BS105-BV105-BY105-CB105</f>
        <v/>
      </c>
      <c r="CS105" s="355" t="n"/>
      <c r="CT105" s="180" t="n"/>
      <c r="CU105" s="177" t="n"/>
      <c r="CV105" s="177" t="n"/>
      <c r="CW105" s="325" t="n"/>
    </row>
    <row r="106" ht="18.75" customFormat="1" customHeight="1" s="67">
      <c r="A106" s="120" t="inlineStr">
        <is>
          <t>Casa do Pica-Pau</t>
        </is>
      </c>
      <c r="B106" s="65" t="n">
        <v>10025013856</v>
      </c>
      <c r="C106" s="120" t="inlineStr">
        <is>
          <t>Vianópolis</t>
        </is>
      </c>
      <c r="D106" s="121" t="inlineStr">
        <is>
          <t>Vianópolis</t>
        </is>
      </c>
      <c r="E106" s="121" t="inlineStr">
        <is>
          <t>Outubro/2022</t>
        </is>
      </c>
      <c r="F106" s="122" t="n">
        <v>17716</v>
      </c>
      <c r="G106" s="320" t="n">
        <v>0.6879999999999999</v>
      </c>
      <c r="H106" s="124">
        <f>F106*G106</f>
        <v/>
      </c>
      <c r="I106" s="140" t="inlineStr">
        <is>
          <t>Outubro/2022</t>
        </is>
      </c>
      <c r="J106" s="144" t="inlineStr">
        <is>
          <t>1 Growatt de 50 KW e 1 de 60 KW</t>
        </is>
      </c>
      <c r="K106" s="66" t="inlineStr">
        <is>
          <t>247 de 550W</t>
        </is>
      </c>
      <c r="L106" s="140" t="n"/>
      <c r="M106" s="145" t="inlineStr">
        <is>
          <t>Novembro/2023</t>
        </is>
      </c>
      <c r="N106" s="145" t="inlineStr">
        <is>
          <t>01/11/2023 a 01/12/2023</t>
        </is>
      </c>
      <c r="O106" s="331" t="n">
        <v>1294.44</v>
      </c>
      <c r="P106" s="331" t="n">
        <v>0</v>
      </c>
      <c r="Q106" s="331" t="n">
        <v>1285.1</v>
      </c>
      <c r="R106" s="147" t="n"/>
      <c r="S106" s="331" t="n">
        <v>2.65</v>
      </c>
      <c r="T106" s="331" t="n">
        <v>0</v>
      </c>
      <c r="U106" s="331" t="n">
        <v>15.32</v>
      </c>
      <c r="V106" s="331" t="n">
        <v>0</v>
      </c>
      <c r="W106" s="331" t="n">
        <v>0</v>
      </c>
      <c r="X106" s="331" t="n"/>
      <c r="Y106" s="331" t="n"/>
      <c r="Z106" s="331" t="n">
        <v>-8.630000000000001</v>
      </c>
      <c r="AA106" s="331" t="n"/>
      <c r="AB106" s="332" t="n">
        <v>2.538583</v>
      </c>
      <c r="AC106" s="332" t="n">
        <v>0.466663</v>
      </c>
      <c r="AD106" s="143" t="n">
        <v>2.68</v>
      </c>
      <c r="AE106" s="173" t="n">
        <v>16154.33</v>
      </c>
      <c r="AF106" s="143" t="n">
        <v>15.76</v>
      </c>
      <c r="AG106" s="143">
        <f>SUM(AD106:AF106)</f>
        <v/>
      </c>
      <c r="AH106" s="143">
        <f>(AD106*AB106)+((AE106+AF106)*AC106)</f>
        <v/>
      </c>
      <c r="AI106" s="143">
        <f>AD106-AS106</f>
        <v/>
      </c>
      <c r="AJ106" s="143">
        <f>AE106-AT106</f>
        <v/>
      </c>
      <c r="AK106" s="143">
        <f>AF106-AU106</f>
        <v/>
      </c>
      <c r="AL106" s="208">
        <f>SUM(AI106:AK106)</f>
        <v/>
      </c>
      <c r="AM106" s="336">
        <f>(AI106*AB106)+((AJ106+AK106)*AC106)</f>
        <v/>
      </c>
      <c r="AN106" s="124" t="n">
        <v>388.79</v>
      </c>
      <c r="AO106" s="124" t="n">
        <v>1173.42</v>
      </c>
      <c r="AP106" s="124" t="n">
        <v>937.26</v>
      </c>
      <c r="AQ106" s="143">
        <f>SUM(AN106:AP106)</f>
        <v/>
      </c>
      <c r="AR106" s="331">
        <f>(AN106*AB106)+((AO106+AP106)*AC106)</f>
        <v/>
      </c>
      <c r="AS106" s="124" t="n">
        <v>0.02</v>
      </c>
      <c r="AT106" s="124" t="n">
        <v>11178.18</v>
      </c>
      <c r="AU106" s="124" t="n">
        <v>1.17</v>
      </c>
      <c r="AV106" s="124">
        <f>SUM(AS106:AU106)</f>
        <v/>
      </c>
      <c r="AW106" s="124" t="n">
        <v>388.79</v>
      </c>
      <c r="AX106" s="124" t="n">
        <v>1173.42</v>
      </c>
      <c r="AY106" s="124" t="n">
        <v>937.26</v>
      </c>
      <c r="AZ106" s="124">
        <f>SUM(AW106:AY106)</f>
        <v/>
      </c>
      <c r="BA106" s="335">
        <f>(AW106*AB106)+((AX106+AY106)*AC106)</f>
        <v/>
      </c>
      <c r="BB106" s="122">
        <f>AN106-AW106</f>
        <v/>
      </c>
      <c r="BC106" s="141">
        <f>BB106*AB106</f>
        <v/>
      </c>
      <c r="BD106" s="122">
        <f>AO106-AX106</f>
        <v/>
      </c>
      <c r="BE106" s="122">
        <f>BD106*AC106</f>
        <v/>
      </c>
      <c r="BF106" s="122">
        <f>AP106-AY106</f>
        <v/>
      </c>
      <c r="BG106" s="122">
        <f>BF106*AC106</f>
        <v/>
      </c>
      <c r="BH106" s="122">
        <f>BB106+BD106+BF106</f>
        <v/>
      </c>
      <c r="BI106" s="122">
        <f>BC106+BE106+BG106</f>
        <v/>
      </c>
      <c r="BJ106" s="324">
        <f>BL106+BS106+BV106+BY106+CB106+CE106+CH106+CK106</f>
        <v/>
      </c>
      <c r="BK106" s="320">
        <f>((AI106+AW106)*AB106)+((AJ106+AK106+AX106+AY106)*AC106)</f>
        <v/>
      </c>
      <c r="BL106" s="132">
        <f>BM106+BN106+AL106</f>
        <v/>
      </c>
      <c r="BM106" s="133">
        <f>AW106</f>
        <v/>
      </c>
      <c r="BN106" s="133">
        <f>AX106+AY106</f>
        <v/>
      </c>
      <c r="BO106" s="345" t="n">
        <v>2.538583</v>
      </c>
      <c r="BP106" s="345" t="n">
        <v>0.466663</v>
      </c>
      <c r="BQ106" s="320">
        <f>BM106*BO106</f>
        <v/>
      </c>
      <c r="BR106" s="320">
        <f>BN106*BP106</f>
        <v/>
      </c>
      <c r="BS106" s="143" t="n">
        <v>2096.41</v>
      </c>
      <c r="BT106" s="346" t="n">
        <v>0.71063</v>
      </c>
      <c r="BU106" s="320">
        <f>BS106*BT106</f>
        <v/>
      </c>
      <c r="BV106" s="124" t="n">
        <v>2620.51</v>
      </c>
      <c r="BW106" s="328" t="n">
        <v>0.71063</v>
      </c>
      <c r="BX106" s="320">
        <f>BV106*BW106</f>
        <v/>
      </c>
      <c r="BY106" s="143" t="n">
        <v>3668.71</v>
      </c>
      <c r="BZ106" s="328" t="n">
        <v>0.71063</v>
      </c>
      <c r="CA106" s="124">
        <f>BY106*BZ106</f>
        <v/>
      </c>
      <c r="CB106" s="124" t="n"/>
      <c r="CC106" s="320" t="n"/>
      <c r="CD106" s="124" t="n"/>
      <c r="CE106" s="124" t="n"/>
      <c r="CF106" s="320" t="n"/>
      <c r="CG106" s="124" t="n"/>
      <c r="CH106" s="124" t="n"/>
      <c r="CI106" s="320" t="n"/>
      <c r="CJ106" s="124" t="n"/>
      <c r="CK106" s="124" t="n"/>
      <c r="CL106" s="320" t="n"/>
      <c r="CM106" s="124" t="n"/>
      <c r="CN106" s="320">
        <f>BK106+BU106+BX106+CA106+CD106+CG106+CJ106+CM106</f>
        <v/>
      </c>
      <c r="CO106" s="141">
        <f>(AV106-(AZ106+BV106+BY106+CB106+CE106+CH106+CK106+BS106)+CO105)</f>
        <v/>
      </c>
      <c r="CP106" s="320">
        <f>CR106*G106</f>
        <v/>
      </c>
      <c r="CQ106" s="124">
        <f>AL106+AZ106+AQ106</f>
        <v/>
      </c>
      <c r="CR106" s="159">
        <f>AV106-AZ106-BS106-BV106-BY106-CB106</f>
        <v/>
      </c>
      <c r="CS106" s="355" t="n"/>
      <c r="CT106" s="180" t="n"/>
      <c r="CU106" s="177" t="n"/>
      <c r="CV106" s="177" t="n"/>
      <c r="CW106" s="325" t="n"/>
    </row>
    <row r="107" ht="18.75" customFormat="1" customHeight="1" s="67">
      <c r="A107" s="233" t="inlineStr">
        <is>
          <t>Casa do Pica-Pau</t>
        </is>
      </c>
      <c r="B107" s="66" t="n">
        <v>10025013856</v>
      </c>
      <c r="C107" s="233" t="inlineStr">
        <is>
          <t>Vianópolis</t>
        </is>
      </c>
      <c r="D107" s="140" t="inlineStr">
        <is>
          <t>Vianópolis</t>
        </is>
      </c>
      <c r="E107" s="140" t="inlineStr">
        <is>
          <t>Outubro/2022</t>
        </is>
      </c>
      <c r="F107" s="141" t="n">
        <v>17716</v>
      </c>
      <c r="G107" s="326" t="n">
        <v>0.6879999999999999</v>
      </c>
      <c r="H107" s="173">
        <f>F107*G107</f>
        <v/>
      </c>
      <c r="I107" s="121" t="inlineStr">
        <is>
          <t>Outubro/2022</t>
        </is>
      </c>
      <c r="J107" s="125" t="inlineStr">
        <is>
          <t>1 Growatt de 50 KW e 1 de 60 KW</t>
        </is>
      </c>
      <c r="K107" s="65" t="inlineStr">
        <is>
          <t>247 de 550W</t>
        </is>
      </c>
      <c r="L107" s="121" t="n"/>
      <c r="M107" s="126" t="inlineStr">
        <is>
          <t>Dezembro/2023</t>
        </is>
      </c>
      <c r="N107" s="126" t="inlineStr">
        <is>
          <t>01/12/2023 a 01/01/2024</t>
        </is>
      </c>
      <c r="O107" s="321" t="n">
        <v>2296.91</v>
      </c>
      <c r="P107" s="321" t="n">
        <v>0</v>
      </c>
      <c r="Q107" s="321" t="n">
        <v>950.34</v>
      </c>
      <c r="R107" s="207" t="n"/>
      <c r="S107" s="321" t="n">
        <v>1.83</v>
      </c>
      <c r="T107" s="321" t="n">
        <v>0</v>
      </c>
      <c r="U107" s="321" t="n">
        <v>15.32</v>
      </c>
      <c r="V107" s="321" t="n">
        <v>0</v>
      </c>
      <c r="W107" s="321" t="n">
        <v>0</v>
      </c>
      <c r="X107" s="321" t="n"/>
      <c r="Y107" s="321" t="n"/>
      <c r="Z107" s="321" t="n">
        <v>1329.42</v>
      </c>
      <c r="AA107" s="321" t="n"/>
      <c r="AB107" s="322" t="n">
        <v>2.503069</v>
      </c>
      <c r="AC107" s="322" t="n">
        <v>0.460135</v>
      </c>
      <c r="AD107" s="124" t="n">
        <v>16.39</v>
      </c>
      <c r="AE107" s="124" t="n">
        <v>16121.48</v>
      </c>
      <c r="AF107" s="124" t="n">
        <v>11.99</v>
      </c>
      <c r="AG107" s="124">
        <f>SUM(AD107:AF107)</f>
        <v/>
      </c>
      <c r="AH107" s="124">
        <f>(AD107*AB107)+((AE107+AF107)*AC107)</f>
        <v/>
      </c>
      <c r="AI107" s="124">
        <f>AD107-AS107</f>
        <v/>
      </c>
      <c r="AJ107" s="124">
        <f>AE107-AT107</f>
        <v/>
      </c>
      <c r="AK107" s="124">
        <f>AF107-AU107</f>
        <v/>
      </c>
      <c r="AL107" s="210">
        <f>SUM(AI107:AK107)</f>
        <v/>
      </c>
      <c r="AM107" s="337">
        <f>(AI107*AB107)+((AJ107+AK107)*AC107)</f>
        <v/>
      </c>
      <c r="AN107" s="124" t="n">
        <v>237.75</v>
      </c>
      <c r="AO107" s="124" t="n">
        <v>662.97</v>
      </c>
      <c r="AP107" s="124" t="n">
        <v>616.23</v>
      </c>
      <c r="AQ107" s="124">
        <f>SUM(AN107:AP107)</f>
        <v/>
      </c>
      <c r="AR107" s="321">
        <f>(AN107*AB107)+((AO107+AP107)*AC107)</f>
        <v/>
      </c>
      <c r="AS107" s="124" t="n">
        <v>1.95</v>
      </c>
      <c r="AT107" s="124" t="n">
        <v>12146.94</v>
      </c>
      <c r="AU107" s="124" t="n">
        <v>0</v>
      </c>
      <c r="AV107" s="124">
        <f>SUM(AS107:AU107)</f>
        <v/>
      </c>
      <c r="AW107" s="124" t="n">
        <v>237.75</v>
      </c>
      <c r="AX107" s="124" t="n">
        <v>662.97</v>
      </c>
      <c r="AY107" s="124" t="n">
        <v>616.23</v>
      </c>
      <c r="AZ107" s="124">
        <f>SUM(AW107:AY107)</f>
        <v/>
      </c>
      <c r="BA107" s="335">
        <f>(AW107*AB107)+((AX107+AY107)*AC107)</f>
        <v/>
      </c>
      <c r="BB107" s="122">
        <f>AN107-AW107</f>
        <v/>
      </c>
      <c r="BC107" s="141">
        <f>BB107*AB107</f>
        <v/>
      </c>
      <c r="BD107" s="122">
        <f>AO107-AX107</f>
        <v/>
      </c>
      <c r="BE107" s="122">
        <f>BD107*AC107</f>
        <v/>
      </c>
      <c r="BF107" s="122">
        <f>AP107-AY107</f>
        <v/>
      </c>
      <c r="BG107" s="122">
        <f>BF107*AC107</f>
        <v/>
      </c>
      <c r="BH107" s="122">
        <f>BB107+BD107+BF107</f>
        <v/>
      </c>
      <c r="BI107" s="122">
        <f>BC107+BE107+BG107</f>
        <v/>
      </c>
      <c r="BJ107" s="324">
        <f>BL107+BS107+BV107+BY107+CB107+CE107+CH107+CK107</f>
        <v/>
      </c>
      <c r="BK107" s="320">
        <f>((AI107+AW107)*AB107)+((AJ107+AK107+AX107+AY107)*AC107)</f>
        <v/>
      </c>
      <c r="BL107" s="132">
        <f>BM107+BN107+AL107</f>
        <v/>
      </c>
      <c r="BM107" s="133">
        <f>AW107</f>
        <v/>
      </c>
      <c r="BN107" s="133">
        <f>AX107+AY107</f>
        <v/>
      </c>
      <c r="BO107" s="345" t="n">
        <v>2.503069</v>
      </c>
      <c r="BP107" s="345" t="n">
        <v>0.460135</v>
      </c>
      <c r="BQ107" s="320">
        <f>BM107*BO107</f>
        <v/>
      </c>
      <c r="BR107" s="320">
        <f>BN107*BP107</f>
        <v/>
      </c>
      <c r="BS107" s="124" t="n">
        <v>2235.87</v>
      </c>
      <c r="BT107" s="356" t="n">
        <v>0.71063</v>
      </c>
      <c r="BU107" s="320">
        <f>BS107*BT107</f>
        <v/>
      </c>
      <c r="BV107" s="143" t="n">
        <v>2794.84</v>
      </c>
      <c r="BW107" s="322" t="n">
        <v>0.71063</v>
      </c>
      <c r="BX107" s="320">
        <f>BV107*BW107</f>
        <v/>
      </c>
      <c r="BY107" s="124" t="n">
        <v>3912.78</v>
      </c>
      <c r="BZ107" s="322" t="n">
        <v>0.71063</v>
      </c>
      <c r="CA107" s="124">
        <f>BY107*BZ107</f>
        <v/>
      </c>
      <c r="CB107" s="124" t="n"/>
      <c r="CC107" s="320" t="n"/>
      <c r="CD107" s="124" t="n"/>
      <c r="CE107" s="124" t="n"/>
      <c r="CF107" s="320" t="n"/>
      <c r="CG107" s="124" t="n"/>
      <c r="CH107" s="124" t="n"/>
      <c r="CI107" s="320" t="n"/>
      <c r="CJ107" s="124" t="n"/>
      <c r="CK107" s="124" t="n"/>
      <c r="CL107" s="320" t="n"/>
      <c r="CM107" s="124" t="n"/>
      <c r="CN107" s="320">
        <f>BK107+BU107+BX107+CA107+CD107+CG107+CJ107+CM107</f>
        <v/>
      </c>
      <c r="CO107" s="141">
        <f>(AV107-(AZ107+BV107+BY107+CB107+CE107+CH107+CK107+BS107)+CO106)</f>
        <v/>
      </c>
      <c r="CP107" s="320">
        <f>CR107*G107</f>
        <v/>
      </c>
      <c r="CQ107" s="124">
        <f>AL107+AZ107+AQ107</f>
        <v/>
      </c>
      <c r="CR107" s="159">
        <f>AV107-AZ107-BS107-BV107-BY107-CB107</f>
        <v/>
      </c>
      <c r="CS107" s="355" t="n"/>
      <c r="CT107" s="180" t="n"/>
      <c r="CU107" s="177" t="n"/>
      <c r="CV107" s="177" t="n"/>
      <c r="CW107" s="325" t="n"/>
    </row>
    <row r="108" ht="18.75" customFormat="1" customHeight="1" s="67">
      <c r="A108" s="120" t="inlineStr">
        <is>
          <t>Casa do Pica-Pau</t>
        </is>
      </c>
      <c r="B108" s="65" t="n">
        <v>10025013856</v>
      </c>
      <c r="C108" s="120" t="inlineStr">
        <is>
          <t>Vianópolis</t>
        </is>
      </c>
      <c r="D108" s="121" t="inlineStr">
        <is>
          <t>Vianópolis</t>
        </is>
      </c>
      <c r="E108" s="121" t="inlineStr">
        <is>
          <t>Outubro/2022</t>
        </is>
      </c>
      <c r="F108" s="122" t="n">
        <v>17716</v>
      </c>
      <c r="G108" s="320" t="n">
        <v>0.6879999999999999</v>
      </c>
      <c r="H108" s="124">
        <f>F108*G108</f>
        <v/>
      </c>
      <c r="I108" s="140" t="inlineStr">
        <is>
          <t>Outubro/2022</t>
        </is>
      </c>
      <c r="J108" s="144" t="inlineStr">
        <is>
          <t>1 Growatt de 50 KW e 1 de 60 KW</t>
        </is>
      </c>
      <c r="K108" s="66" t="inlineStr">
        <is>
          <t>247 de 550W</t>
        </is>
      </c>
      <c r="L108" s="140" t="n"/>
      <c r="M108" s="145" t="inlineStr">
        <is>
          <t>Janeiro/2024</t>
        </is>
      </c>
      <c r="N108" s="145" t="inlineStr">
        <is>
          <t>01/01/2024 a 01/02/2024</t>
        </is>
      </c>
      <c r="O108" s="331" t="n">
        <v>1948.16</v>
      </c>
      <c r="P108" s="331" t="n">
        <v>0</v>
      </c>
      <c r="Q108" s="331" t="n">
        <v>947.79</v>
      </c>
      <c r="R108" s="147" t="n"/>
      <c r="S108" s="331" t="n">
        <v>1.74</v>
      </c>
      <c r="T108" s="331" t="n">
        <v>46.39</v>
      </c>
      <c r="U108" s="331" t="n">
        <v>15.32</v>
      </c>
      <c r="V108" s="331" t="n">
        <v>0</v>
      </c>
      <c r="W108" s="331" t="n">
        <v>0</v>
      </c>
      <c r="X108" s="331" t="n"/>
      <c r="Y108" s="331" t="n"/>
      <c r="Z108" s="331" t="n">
        <v>-388.93</v>
      </c>
      <c r="AA108" s="331" t="n"/>
      <c r="AB108" s="332" t="n">
        <v>2.496337</v>
      </c>
      <c r="AC108" s="332" t="n">
        <v>0.458898</v>
      </c>
      <c r="AD108" s="143" t="n">
        <v>31.44</v>
      </c>
      <c r="AE108" s="173" t="n">
        <v>15102.34</v>
      </c>
      <c r="AF108" s="143" t="n">
        <v>1.31</v>
      </c>
      <c r="AG108" s="143">
        <f>SUM(AD108:AF108)</f>
        <v/>
      </c>
      <c r="AH108" s="143">
        <f>(AD108*AB108)+((AE108+AF108)*AC108)</f>
        <v/>
      </c>
      <c r="AI108" s="143">
        <f>AD108-AS108</f>
        <v/>
      </c>
      <c r="AJ108" s="143">
        <f>AE108-AT108</f>
        <v/>
      </c>
      <c r="AK108" s="143">
        <f>AF108-AU108</f>
        <v/>
      </c>
      <c r="AL108" s="208">
        <f>SUM(AI108:AK108)</f>
        <v/>
      </c>
      <c r="AM108" s="336">
        <f>(AI108*AB108)+((AJ108+AK108)*AC108)</f>
        <v/>
      </c>
      <c r="AN108" s="124" t="n">
        <v>146.6</v>
      </c>
      <c r="AO108" s="124" t="n">
        <v>538.74</v>
      </c>
      <c r="AP108" s="124" t="n">
        <v>416.97</v>
      </c>
      <c r="AQ108" s="124">
        <f>SUM(AN108:AP108)</f>
        <v/>
      </c>
      <c r="AR108" s="321">
        <f>(AN108*AB108)+((AO108+AP108)*AC108)</f>
        <v/>
      </c>
      <c r="AS108" s="124" t="n">
        <v>6.79</v>
      </c>
      <c r="AT108" s="124" t="n">
        <v>11213.28</v>
      </c>
      <c r="AU108" s="124" t="n">
        <v>0</v>
      </c>
      <c r="AV108" s="124">
        <f>SUM(AS108:AU108)</f>
        <v/>
      </c>
      <c r="AW108" s="124" t="n">
        <v>146.6</v>
      </c>
      <c r="AX108" s="124" t="n">
        <v>538.74</v>
      </c>
      <c r="AY108" s="124" t="n">
        <v>416.97</v>
      </c>
      <c r="AZ108" s="124">
        <f>SUM(AW108:AY108)</f>
        <v/>
      </c>
      <c r="BA108" s="335">
        <f>(AW108*AB108)+((AX108+AY108)*AC108)</f>
        <v/>
      </c>
      <c r="BB108" s="122">
        <f>AN108-AW108</f>
        <v/>
      </c>
      <c r="BC108" s="141">
        <f>BB108*AB108</f>
        <v/>
      </c>
      <c r="BD108" s="122">
        <f>AO108-AX108</f>
        <v/>
      </c>
      <c r="BE108" s="122">
        <f>BD108*AC108</f>
        <v/>
      </c>
      <c r="BF108" s="122">
        <f>AP108-AY108</f>
        <v/>
      </c>
      <c r="BG108" s="122">
        <f>BF108*AC108</f>
        <v/>
      </c>
      <c r="BH108" s="122">
        <f>BB108+BD108+BF108</f>
        <v/>
      </c>
      <c r="BI108" s="122">
        <f>BC108+BE108+BG108</f>
        <v/>
      </c>
      <c r="BJ108" s="324">
        <f>BL108+BS108+BV108+BY108+CB108+CE108+CH108+CK108</f>
        <v/>
      </c>
      <c r="BK108" s="320">
        <f>((AI108+AW108)*AB108)+((AJ108+AK108+AX108+AY108)*AC108)</f>
        <v/>
      </c>
      <c r="BL108" s="132">
        <f>BM108+BN108+AL108</f>
        <v/>
      </c>
      <c r="BM108" s="133">
        <f>AW108</f>
        <v/>
      </c>
      <c r="BN108" s="133">
        <f>AX108+AY108</f>
        <v/>
      </c>
      <c r="BO108" s="322" t="n">
        <v>2.496337</v>
      </c>
      <c r="BP108" s="322" t="n">
        <v>0.458898</v>
      </c>
      <c r="BQ108" s="320">
        <f>BM108*BO108</f>
        <v/>
      </c>
      <c r="BR108" s="320">
        <f>BN108*BP108</f>
        <v/>
      </c>
      <c r="BS108" s="124" t="n">
        <v>2429.78</v>
      </c>
      <c r="BT108" s="356" t="n">
        <v>0.71063</v>
      </c>
      <c r="BU108" s="320">
        <f>BS108*BT108</f>
        <v/>
      </c>
      <c r="BV108" s="124" t="n">
        <v>3037.22</v>
      </c>
      <c r="BW108" s="322" t="n">
        <v>0.71063</v>
      </c>
      <c r="BX108" s="320">
        <f>BV108*BW108</f>
        <v/>
      </c>
      <c r="BY108" s="124" t="n">
        <v>4252.11</v>
      </c>
      <c r="BZ108" s="322" t="n">
        <v>0.71063</v>
      </c>
      <c r="CA108" s="124">
        <f>BY108*BZ108</f>
        <v/>
      </c>
      <c r="CB108" s="124" t="n"/>
      <c r="CC108" s="320" t="n"/>
      <c r="CD108" s="124" t="n"/>
      <c r="CE108" s="124" t="n"/>
      <c r="CF108" s="320" t="n"/>
      <c r="CG108" s="124" t="n"/>
      <c r="CH108" s="124" t="n"/>
      <c r="CI108" s="320" t="n"/>
      <c r="CJ108" s="124" t="n"/>
      <c r="CK108" s="124" t="n"/>
      <c r="CL108" s="320" t="n"/>
      <c r="CM108" s="124" t="n"/>
      <c r="CN108" s="320">
        <f>BK108+BU108+BX108+CA108+CD108+CG108+CJ108+CM108</f>
        <v/>
      </c>
      <c r="CO108" s="141">
        <f>(AV108-(AZ108+BV108+BY108+CB108+CE108+CH108+CK108+BS108)+CO107)</f>
        <v/>
      </c>
      <c r="CP108" s="320">
        <f>CR108*G108</f>
        <v/>
      </c>
      <c r="CQ108" s="124">
        <f>AL108+AZ108+AQ108</f>
        <v/>
      </c>
      <c r="CR108" s="159">
        <f>AV108-AZ108-BS108-BV108-BY108-CB108</f>
        <v/>
      </c>
      <c r="CS108" s="355" t="n"/>
      <c r="CT108" s="180" t="n"/>
      <c r="CU108" s="177" t="n"/>
      <c r="CV108" s="177" t="n"/>
      <c r="CW108" s="325" t="n"/>
    </row>
    <row r="109" ht="18.75" customFormat="1" customHeight="1" s="67">
      <c r="A109" s="233" t="inlineStr">
        <is>
          <t>Casa do Pica-Pau</t>
        </is>
      </c>
      <c r="B109" s="66" t="n">
        <v>10025013856</v>
      </c>
      <c r="C109" s="233" t="inlineStr">
        <is>
          <t>Vianópolis</t>
        </is>
      </c>
      <c r="D109" s="140" t="inlineStr">
        <is>
          <t>Vianópolis</t>
        </is>
      </c>
      <c r="E109" s="140" t="inlineStr">
        <is>
          <t>Outubro/2022</t>
        </is>
      </c>
      <c r="F109" s="141" t="n">
        <v>17716</v>
      </c>
      <c r="G109" s="326" t="n">
        <v>0.6879999999999999</v>
      </c>
      <c r="H109" s="173">
        <f>F109*G109</f>
        <v/>
      </c>
      <c r="I109" s="140" t="inlineStr">
        <is>
          <t>Outubro/2022</t>
        </is>
      </c>
      <c r="J109" s="144" t="inlineStr">
        <is>
          <t>1 Growatt de 50 KW e 1 de 60 KW</t>
        </is>
      </c>
      <c r="K109" s="66" t="inlineStr">
        <is>
          <t>247 de 550W</t>
        </is>
      </c>
      <c r="L109" s="140" t="n"/>
      <c r="M109" s="126" t="inlineStr">
        <is>
          <t>Fevereiro/2024</t>
        </is>
      </c>
      <c r="N109" s="145" t="inlineStr">
        <is>
          <t>01/02/2024 a 01/03/2024</t>
        </is>
      </c>
      <c r="O109" s="331" t="n">
        <v>2336.06</v>
      </c>
      <c r="P109" s="331" t="n">
        <v>0</v>
      </c>
      <c r="Q109" s="331" t="n">
        <v>967.05</v>
      </c>
      <c r="R109" s="147" t="n"/>
      <c r="S109" s="331" t="n">
        <v>0.89</v>
      </c>
      <c r="T109" s="331" t="n">
        <v>0</v>
      </c>
      <c r="U109" s="331" t="n">
        <v>15.32</v>
      </c>
      <c r="V109" s="331" t="n">
        <v>0</v>
      </c>
      <c r="W109" s="331" t="n">
        <v>0</v>
      </c>
      <c r="X109" s="331" t="n"/>
      <c r="Y109" s="331" t="n"/>
      <c r="Z109" s="331" t="n"/>
      <c r="AA109" s="331" t="n"/>
      <c r="AB109" s="332" t="n">
        <v>2.547084</v>
      </c>
      <c r="AC109" s="332" t="n">
        <v>0.468225</v>
      </c>
      <c r="AD109" s="143" t="n">
        <v>15.86</v>
      </c>
      <c r="AE109" s="173" t="n">
        <v>14212.88</v>
      </c>
      <c r="AF109" s="143" t="n">
        <v>0.01</v>
      </c>
      <c r="AG109" s="143">
        <f>SUM(AD109:AF109)</f>
        <v/>
      </c>
      <c r="AH109" s="143">
        <f>(AD109*AB109)+((AE109+AF109)*AC109)</f>
        <v/>
      </c>
      <c r="AI109" s="143">
        <f>AD109-AS109</f>
        <v/>
      </c>
      <c r="AJ109" s="143">
        <f>AE109-AT109</f>
        <v/>
      </c>
      <c r="AK109" s="143">
        <f>AF109-AU109</f>
        <v/>
      </c>
      <c r="AL109" s="208">
        <f>SUM(AI109:AK109)</f>
        <v/>
      </c>
      <c r="AM109" s="336">
        <f>(AI109*AB109)+((AJ109+AK109)*AC109)</f>
        <v/>
      </c>
      <c r="AN109" s="124" t="n">
        <v>329.01</v>
      </c>
      <c r="AO109" s="124" t="n">
        <v>975.39</v>
      </c>
      <c r="AP109" s="124" t="n">
        <v>782.28</v>
      </c>
      <c r="AQ109" s="124">
        <f>SUM(AN109:AP109)</f>
        <v/>
      </c>
      <c r="AR109" s="321">
        <f>(AN109*AB109)+((AO109+AP109)*AC109)</f>
        <v/>
      </c>
      <c r="AS109" s="124" t="n">
        <v>0.84</v>
      </c>
      <c r="AT109" s="124" t="n">
        <v>10088.91</v>
      </c>
      <c r="AU109" s="124" t="n">
        <v>0</v>
      </c>
      <c r="AV109" s="124">
        <f>SUM(AS109:AU109)</f>
        <v/>
      </c>
      <c r="AW109" s="124" t="n">
        <v>329.01</v>
      </c>
      <c r="AX109" s="124" t="n">
        <v>975.39</v>
      </c>
      <c r="AY109" s="124" t="n">
        <v>782.28</v>
      </c>
      <c r="AZ109" s="124">
        <f>SUM(AW109:AY109)</f>
        <v/>
      </c>
      <c r="BA109" s="335">
        <f>(AW109*AB109)+((AX109+AY109)*AC109)</f>
        <v/>
      </c>
      <c r="BB109" s="122">
        <f>AN109-AW109</f>
        <v/>
      </c>
      <c r="BC109" s="141">
        <f>BB109*AB109</f>
        <v/>
      </c>
      <c r="BD109" s="122">
        <f>AO109-AX109</f>
        <v/>
      </c>
      <c r="BE109" s="122">
        <f>BD109*AC109</f>
        <v/>
      </c>
      <c r="BF109" s="122">
        <f>AP109-AY109</f>
        <v/>
      </c>
      <c r="BG109" s="122">
        <f>BF109*AC109</f>
        <v/>
      </c>
      <c r="BH109" s="122">
        <f>BB109+BD109+BF109</f>
        <v/>
      </c>
      <c r="BI109" s="122">
        <f>BC109+BE109+BG109</f>
        <v/>
      </c>
      <c r="BJ109" s="324">
        <f>BL109+BS109+BV109+BY109+CB109+CE109+CH109+CK109</f>
        <v/>
      </c>
      <c r="BK109" s="320">
        <f>((AI109+AW109)*AB109)+((AJ109+AK109+AX109+AY109)*AC109)</f>
        <v/>
      </c>
      <c r="BL109" s="132">
        <f>BM109+BN109+AL109</f>
        <v/>
      </c>
      <c r="BM109" s="133">
        <f>AW109</f>
        <v/>
      </c>
      <c r="BN109" s="133">
        <f>AX109+AY109</f>
        <v/>
      </c>
      <c r="BO109" s="332" t="n">
        <v>2.547084</v>
      </c>
      <c r="BP109" s="332" t="n">
        <v>0.468225</v>
      </c>
      <c r="BQ109" s="320">
        <f>BM109*BO109</f>
        <v/>
      </c>
      <c r="BR109" s="320">
        <f>BN109*BP109</f>
        <v/>
      </c>
      <c r="BS109" s="124" t="n">
        <v>2244.01</v>
      </c>
      <c r="BT109" s="356" t="n">
        <v>0.71063</v>
      </c>
      <c r="BU109" s="320">
        <f>BS109*BT109</f>
        <v/>
      </c>
      <c r="BV109" s="124" t="n">
        <v>2805.02</v>
      </c>
      <c r="BW109" s="322" t="n">
        <v>0.71063</v>
      </c>
      <c r="BX109" s="320">
        <f>BV109*BW109</f>
        <v/>
      </c>
      <c r="BY109" s="124" t="n">
        <v>7458.44</v>
      </c>
      <c r="BZ109" s="322" t="n">
        <v>0.71063</v>
      </c>
      <c r="CA109" s="124">
        <f>BY109*BZ109</f>
        <v/>
      </c>
      <c r="CB109" s="124" t="n"/>
      <c r="CC109" s="320" t="n"/>
      <c r="CD109" s="124" t="n"/>
      <c r="CE109" s="124" t="n"/>
      <c r="CF109" s="320" t="n"/>
      <c r="CG109" s="124" t="n"/>
      <c r="CH109" s="124" t="n"/>
      <c r="CI109" s="320" t="n"/>
      <c r="CJ109" s="124" t="n"/>
      <c r="CK109" s="124" t="n"/>
      <c r="CL109" s="320" t="n"/>
      <c r="CM109" s="124" t="n"/>
      <c r="CN109" s="320">
        <f>BK109+BU109+BX109+CA109+CD109+CG109+CJ109+CM109</f>
        <v/>
      </c>
      <c r="CO109" s="141">
        <f>(AV109-(AZ109+BV109+BY109+CB109+CE109+CH109+CK109+BS109)+CO108)</f>
        <v/>
      </c>
      <c r="CP109" s="320">
        <f>CR109*G109</f>
        <v/>
      </c>
      <c r="CQ109" s="124">
        <f>AL109+AZ109+AQ109</f>
        <v/>
      </c>
      <c r="CR109" s="159">
        <f>AV109-AZ109-BS109-BV109-BY109-CB109</f>
        <v/>
      </c>
      <c r="CS109" s="355" t="n"/>
      <c r="CT109" s="180" t="n"/>
      <c r="CU109" s="177" t="n"/>
      <c r="CV109" s="177" t="n"/>
      <c r="CW109" s="325" t="n"/>
    </row>
    <row r="110" ht="19.9" customFormat="1" customHeight="1" s="67">
      <c r="A110" s="120" t="inlineStr">
        <is>
          <t>Casa do Pica-Pau</t>
        </is>
      </c>
      <c r="B110" s="65" t="n">
        <v>10036302595</v>
      </c>
      <c r="C110" s="120" t="inlineStr">
        <is>
          <t>Itaberaí</t>
        </is>
      </c>
      <c r="D110" s="121" t="inlineStr">
        <is>
          <t>Itaberaí</t>
        </is>
      </c>
      <c r="E110" s="121" t="inlineStr">
        <is>
          <t>Dezembro/2022</t>
        </is>
      </c>
      <c r="F110" s="122" t="n">
        <v>3801.5</v>
      </c>
      <c r="G110" s="320" t="n">
        <v>0.96</v>
      </c>
      <c r="H110" s="124">
        <f>F110*G110</f>
        <v/>
      </c>
      <c r="I110" s="121" t="n"/>
      <c r="J110" s="125" t="inlineStr">
        <is>
          <t>1 GROWATT DE 30 KW</t>
        </is>
      </c>
      <c r="K110" s="65" t="inlineStr">
        <is>
          <t>53 de 550W</t>
        </is>
      </c>
      <c r="L110" s="121" t="n"/>
      <c r="M110" s="126" t="inlineStr">
        <is>
          <t>Dezembro/2022</t>
        </is>
      </c>
      <c r="N110" s="126" t="inlineStr">
        <is>
          <t>23/11/2022 a 23/12/2022</t>
        </is>
      </c>
      <c r="O110" s="321" t="n">
        <v>971.02</v>
      </c>
      <c r="P110" s="321" t="n">
        <v>0</v>
      </c>
      <c r="Q110" s="321" t="n">
        <v>0</v>
      </c>
      <c r="R110" s="207" t="n"/>
      <c r="S110" s="321" t="n">
        <v>0</v>
      </c>
      <c r="T110" s="321" t="n">
        <v>0</v>
      </c>
      <c r="U110" s="321" t="n">
        <v>0</v>
      </c>
      <c r="V110" s="321" t="n">
        <v>0</v>
      </c>
      <c r="W110" s="321" t="n">
        <v>0</v>
      </c>
      <c r="X110" s="321" t="n"/>
      <c r="Y110" s="321" t="n"/>
      <c r="Z110" s="321" t="n"/>
      <c r="AA110" s="321" t="n"/>
      <c r="AB110" s="322" t="n">
        <v>0.86013</v>
      </c>
      <c r="AC110" s="322" t="n">
        <v>0.86013</v>
      </c>
      <c r="AD110" s="124" t="n">
        <v>0</v>
      </c>
      <c r="AE110" s="124" t="n">
        <v>966.8</v>
      </c>
      <c r="AF110" s="124" t="n">
        <v>0</v>
      </c>
      <c r="AG110" s="124">
        <f>SUM(AD110:AF110)</f>
        <v/>
      </c>
      <c r="AH110" s="124">
        <f>(AD110*AB110)+((AE110+AF110)*AC110)</f>
        <v/>
      </c>
      <c r="AI110" s="124">
        <f>AD110-AS110</f>
        <v/>
      </c>
      <c r="AJ110" s="124">
        <f>AE110-AT110</f>
        <v/>
      </c>
      <c r="AK110" s="124">
        <f>AF110-AU110</f>
        <v/>
      </c>
      <c r="AL110" s="210">
        <f>SUM(AI110:AK110)</f>
        <v/>
      </c>
      <c r="AM110" s="337">
        <f>(AI110*AB110)+((AJ110+AK110)*AC110)</f>
        <v/>
      </c>
      <c r="AN110" s="124" t="n">
        <v>0</v>
      </c>
      <c r="AO110" s="124" t="n">
        <v>1394.92</v>
      </c>
      <c r="AP110" s="124" t="n">
        <v>0</v>
      </c>
      <c r="AQ110" s="143">
        <f>SUM(AN110:AP110)</f>
        <v/>
      </c>
      <c r="AR110" s="331">
        <f>(AN110*AB110)+((AO110+AP110)*AC110)</f>
        <v/>
      </c>
      <c r="AS110" s="124" t="n">
        <v>0</v>
      </c>
      <c r="AT110" s="124" t="n">
        <v>266</v>
      </c>
      <c r="AU110" s="124" t="n">
        <v>0</v>
      </c>
      <c r="AV110" s="124">
        <f>SUM(AS110:AU110)</f>
        <v/>
      </c>
      <c r="AW110" s="124" t="n">
        <v>0</v>
      </c>
      <c r="AX110" s="124" t="n">
        <v>266</v>
      </c>
      <c r="AY110" s="124" t="n">
        <v>0</v>
      </c>
      <c r="AZ110" s="124">
        <f>SUM(AW110:AY110)</f>
        <v/>
      </c>
      <c r="BA110" s="335">
        <f>(AW110*AB110)+((AX110+AY110)*AC110)</f>
        <v/>
      </c>
      <c r="BB110" s="122">
        <f>AN110-AW110</f>
        <v/>
      </c>
      <c r="BC110" s="141">
        <f>BB110*AB110</f>
        <v/>
      </c>
      <c r="BD110" s="122">
        <f>AO110-AX110</f>
        <v/>
      </c>
      <c r="BE110" s="122">
        <f>BD110*AC110</f>
        <v/>
      </c>
      <c r="BF110" s="122">
        <f>AP110-AY110</f>
        <v/>
      </c>
      <c r="BG110" s="122">
        <f>BF110*AC110</f>
        <v/>
      </c>
      <c r="BH110" s="122">
        <f>BB110+BD110+BF110</f>
        <v/>
      </c>
      <c r="BI110" s="122">
        <f>BC110+BE110+BG110</f>
        <v/>
      </c>
      <c r="BJ110" s="324">
        <f>BL110+BS110+BV110+BY110+CB110+CE110+CH110+CK110</f>
        <v/>
      </c>
      <c r="BK110" s="320">
        <f>((AI110+AW110)*AB110)+((AJ110+AK110+AX110+AY110)*AC110)</f>
        <v/>
      </c>
      <c r="BL110" s="132">
        <f>BM110+BN110+AL110</f>
        <v/>
      </c>
      <c r="BM110" s="133">
        <f>AW110</f>
        <v/>
      </c>
      <c r="BN110" s="133">
        <f>AX110+AY110</f>
        <v/>
      </c>
      <c r="BO110" s="320" t="n"/>
      <c r="BP110" s="357" t="n">
        <v>0.86013</v>
      </c>
      <c r="BQ110" s="320" t="n"/>
      <c r="BR110" s="320">
        <f>BN110*BP110</f>
        <v/>
      </c>
      <c r="BS110" s="124" t="n"/>
      <c r="BT110" s="344" t="n">
        <v>0.86013</v>
      </c>
      <c r="BU110" s="320">
        <f>BS110*BT110</f>
        <v/>
      </c>
      <c r="BV110" s="124" t="n"/>
      <c r="BW110" s="344" t="n">
        <v>0.80855</v>
      </c>
      <c r="BX110" s="320">
        <f>BV110*BW110</f>
        <v/>
      </c>
      <c r="BY110" s="124" t="n"/>
      <c r="BZ110" s="320" t="n"/>
      <c r="CA110" s="124">
        <f>BY110*BZ110</f>
        <v/>
      </c>
      <c r="CB110" s="124" t="n"/>
      <c r="CC110" s="320" t="n"/>
      <c r="CD110" s="124" t="n"/>
      <c r="CE110" s="124" t="n"/>
      <c r="CF110" s="320" t="n"/>
      <c r="CG110" s="124" t="n"/>
      <c r="CH110" s="124" t="n"/>
      <c r="CI110" s="320" t="n"/>
      <c r="CJ110" s="124" t="n"/>
      <c r="CK110" s="124" t="n"/>
      <c r="CL110" s="320" t="n"/>
      <c r="CM110" s="124" t="n"/>
      <c r="CN110" s="320">
        <f>BK110+BU110+BX110+CA110+CD110+CG110+CJ110+CM110</f>
        <v/>
      </c>
      <c r="CO110" s="122" t="n">
        <v>0</v>
      </c>
      <c r="CP110" s="320">
        <f>CR110*G110</f>
        <v/>
      </c>
      <c r="CQ110" s="124">
        <f>AL110+AZ110+AQ110</f>
        <v/>
      </c>
      <c r="CR110" s="159">
        <f>AV110-AZ110-BS110-BV110-BY110-CB110</f>
        <v/>
      </c>
      <c r="CS110" s="155" t="n"/>
      <c r="CT110" s="155" t="n"/>
      <c r="CU110" s="177" t="n"/>
      <c r="CV110" s="177" t="n"/>
      <c r="CW110" s="325" t="n"/>
    </row>
    <row r="111" ht="19.9" customFormat="1" customHeight="1" s="67">
      <c r="A111" s="233" t="inlineStr">
        <is>
          <t>Casa do Pica-Pau</t>
        </is>
      </c>
      <c r="B111" s="66" t="n">
        <v>10036302595</v>
      </c>
      <c r="C111" s="233" t="inlineStr">
        <is>
          <t>Itaberaí</t>
        </is>
      </c>
      <c r="D111" s="140" t="inlineStr">
        <is>
          <t>Itaberaí</t>
        </is>
      </c>
      <c r="E111" s="140" t="inlineStr">
        <is>
          <t>Dezembro/2022</t>
        </is>
      </c>
      <c r="F111" s="141" t="n">
        <v>3801.5</v>
      </c>
      <c r="G111" s="326" t="n">
        <v>0.96</v>
      </c>
      <c r="H111" s="173">
        <f>F111*G111</f>
        <v/>
      </c>
      <c r="I111" s="140" t="n"/>
      <c r="J111" s="144" t="inlineStr">
        <is>
          <t>1 GROWATT DE 30 KW</t>
        </is>
      </c>
      <c r="K111" s="66" t="inlineStr">
        <is>
          <t>53 de 550W</t>
        </is>
      </c>
      <c r="L111" s="140" t="n"/>
      <c r="M111" s="145" t="inlineStr">
        <is>
          <t>Janeiro/2023</t>
        </is>
      </c>
      <c r="N111" s="145" t="inlineStr">
        <is>
          <t>23/12/2022 a 24/01/2023</t>
        </is>
      </c>
      <c r="O111" s="331" t="n">
        <v>3943.04</v>
      </c>
      <c r="P111" s="331" t="n">
        <v>0</v>
      </c>
      <c r="Q111" s="331" t="n">
        <v>0</v>
      </c>
      <c r="R111" s="147" t="n"/>
      <c r="S111" s="331" t="n">
        <v>0</v>
      </c>
      <c r="T111" s="331" t="n">
        <v>0</v>
      </c>
      <c r="U111" s="331" t="n">
        <v>0</v>
      </c>
      <c r="V111" s="331" t="n">
        <v>0</v>
      </c>
      <c r="W111" s="331" t="n">
        <v>0</v>
      </c>
      <c r="X111" s="331" t="n"/>
      <c r="Y111" s="331" t="n"/>
      <c r="Z111" s="331" t="n"/>
      <c r="AA111" s="331" t="n"/>
      <c r="AB111" s="332" t="n">
        <v>0.83287</v>
      </c>
      <c r="AC111" s="332" t="n">
        <v>0.83287</v>
      </c>
      <c r="AD111" s="143" t="n">
        <v>0</v>
      </c>
      <c r="AE111" s="173" t="n">
        <v>4028.3</v>
      </c>
      <c r="AF111" s="143" t="n">
        <v>0</v>
      </c>
      <c r="AG111" s="143">
        <f>SUM(AD111:AF111)</f>
        <v/>
      </c>
      <c r="AH111" s="143">
        <f>(AD111*AB111)+((AE111+AF111)*AC111)</f>
        <v/>
      </c>
      <c r="AI111" s="143">
        <f>AD111-AS111</f>
        <v/>
      </c>
      <c r="AJ111" s="143">
        <f>AE111-AT111</f>
        <v/>
      </c>
      <c r="AK111" s="143">
        <f>AF111-AU111</f>
        <v/>
      </c>
      <c r="AL111" s="208">
        <f>SUM(AI111:AK111)</f>
        <v/>
      </c>
      <c r="AM111" s="336">
        <f>(AI111*AB111)+((AJ111+AK111)*AC111)</f>
        <v/>
      </c>
      <c r="AN111" s="143" t="n">
        <v>0</v>
      </c>
      <c r="AO111" s="143">
        <f>5674+274.29</f>
        <v/>
      </c>
      <c r="AP111" s="143" t="n">
        <v>0</v>
      </c>
      <c r="AQ111" s="124">
        <f>SUM(AN111:AP111)</f>
        <v/>
      </c>
      <c r="AR111" s="321">
        <f>(AN111*AB111)+((AO111+AP111)*AC111)</f>
        <v/>
      </c>
      <c r="AS111" s="143" t="n">
        <v>0</v>
      </c>
      <c r="AT111" s="143" t="n">
        <v>1214</v>
      </c>
      <c r="AU111" s="143" t="n">
        <v>0</v>
      </c>
      <c r="AV111" s="143">
        <f>SUM(AS111:AU111)</f>
        <v/>
      </c>
      <c r="AW111" s="143" t="n">
        <v>0</v>
      </c>
      <c r="AX111" s="143" t="n">
        <v>1214</v>
      </c>
      <c r="AY111" s="143" t="n">
        <v>0</v>
      </c>
      <c r="AZ111" s="143">
        <f>SUM(AW111:AY111)</f>
        <v/>
      </c>
      <c r="BA111" s="335">
        <f>(AW111*AB111)+((AX111+AY111)*AC111)</f>
        <v/>
      </c>
      <c r="BB111" s="141">
        <f>AN111-AW111</f>
        <v/>
      </c>
      <c r="BC111" s="141">
        <f>BB111*AB111</f>
        <v/>
      </c>
      <c r="BD111" s="141">
        <f>AO111-AX111</f>
        <v/>
      </c>
      <c r="BE111" s="141">
        <f>BD111*AC111</f>
        <v/>
      </c>
      <c r="BF111" s="141">
        <f>AP111-AY111</f>
        <v/>
      </c>
      <c r="BG111" s="141">
        <f>BF111*AC111</f>
        <v/>
      </c>
      <c r="BH111" s="141">
        <f>BB111+BD111+BF111</f>
        <v/>
      </c>
      <c r="BI111" s="141">
        <f>BC111+BE111+BG111</f>
        <v/>
      </c>
      <c r="BJ111" s="324">
        <f>BL111+BS111+BV111+BY111+CB111+CE111+CH111+CK111</f>
        <v/>
      </c>
      <c r="BK111" s="320">
        <f>((AI111+AW111)*AB111)+((AJ111+AK111+AX111+AY111)*AC111)</f>
        <v/>
      </c>
      <c r="BL111" s="132">
        <f>BM111+BN111+AL111</f>
        <v/>
      </c>
      <c r="BM111" s="133">
        <f>AW111</f>
        <v/>
      </c>
      <c r="BN111" s="133">
        <f>AX111+AY111</f>
        <v/>
      </c>
      <c r="BO111" s="334" t="n"/>
      <c r="BP111" s="358" t="n">
        <v>0.83287</v>
      </c>
      <c r="BQ111" s="320" t="n"/>
      <c r="BR111" s="320">
        <f>BN111*BP111</f>
        <v/>
      </c>
      <c r="BS111" s="143" t="n"/>
      <c r="BT111" s="359" t="n">
        <v>0.83287</v>
      </c>
      <c r="BU111" s="320">
        <f>BS111*BT111</f>
        <v/>
      </c>
      <c r="BV111" s="143" t="n"/>
      <c r="BW111" s="359" t="n">
        <v>0.7829199999999999</v>
      </c>
      <c r="BX111" s="320">
        <f>BV111*BW111</f>
        <v/>
      </c>
      <c r="BY111" s="143" t="n"/>
      <c r="BZ111" s="334" t="n"/>
      <c r="CA111" s="124">
        <f>BY111*BZ111</f>
        <v/>
      </c>
      <c r="CB111" s="143" t="n"/>
      <c r="CC111" s="334" t="n"/>
      <c r="CD111" s="143" t="n"/>
      <c r="CE111" s="143" t="n"/>
      <c r="CF111" s="334" t="n"/>
      <c r="CG111" s="143" t="n"/>
      <c r="CH111" s="143" t="n"/>
      <c r="CI111" s="334" t="n"/>
      <c r="CJ111" s="143" t="n"/>
      <c r="CK111" s="143" t="n"/>
      <c r="CL111" s="334" t="n"/>
      <c r="CM111" s="143" t="n"/>
      <c r="CN111" s="320">
        <f>BK111+BU111+BX111+CA111+CD111+CG111+CJ111+CM111</f>
        <v/>
      </c>
      <c r="CO111" s="141" t="n">
        <v>0</v>
      </c>
      <c r="CP111" s="320">
        <f>CR111*G111</f>
        <v/>
      </c>
      <c r="CQ111" s="124">
        <f>AL111+AZ111+AQ111</f>
        <v/>
      </c>
      <c r="CR111" s="159">
        <f>AV111-AZ111-BS111-BV111-BY111-CB111</f>
        <v/>
      </c>
      <c r="CS111" s="155" t="n"/>
      <c r="CT111" s="155" t="n"/>
      <c r="CU111" s="177" t="n"/>
      <c r="CV111" s="177" t="n"/>
      <c r="CW111" s="325" t="n"/>
    </row>
    <row r="112" ht="19.9" customFormat="1" customHeight="1" s="67">
      <c r="A112" s="120" t="inlineStr">
        <is>
          <t>Casa do Pica-Pau</t>
        </is>
      </c>
      <c r="B112" s="65" t="n">
        <v>10036302595</v>
      </c>
      <c r="C112" s="120" t="inlineStr">
        <is>
          <t>Itaberaí</t>
        </is>
      </c>
      <c r="D112" s="121" t="inlineStr">
        <is>
          <t>Itaberaí</t>
        </is>
      </c>
      <c r="E112" s="121" t="inlineStr">
        <is>
          <t>Dezembro/2022</t>
        </is>
      </c>
      <c r="F112" s="122" t="n">
        <v>3801.5</v>
      </c>
      <c r="G112" s="320" t="n">
        <v>0.96</v>
      </c>
      <c r="H112" s="124">
        <f>F112*G112</f>
        <v/>
      </c>
      <c r="I112" s="121" t="n"/>
      <c r="J112" s="125" t="inlineStr">
        <is>
          <t>1 GROWATT DE 30 KW</t>
        </is>
      </c>
      <c r="K112" s="65" t="inlineStr">
        <is>
          <t>53 de 550W</t>
        </is>
      </c>
      <c r="L112" s="121" t="n"/>
      <c r="M112" s="126" t="inlineStr">
        <is>
          <t>Fevereiro/2023</t>
        </is>
      </c>
      <c r="N112" s="126" t="inlineStr">
        <is>
          <t>24/01/2023 a 22/02/2023</t>
        </is>
      </c>
      <c r="O112" s="321" t="n">
        <v>5966.37</v>
      </c>
      <c r="P112" s="321" t="n">
        <v>0</v>
      </c>
      <c r="Q112" s="321" t="n">
        <v>0</v>
      </c>
      <c r="R112" s="207" t="n"/>
      <c r="S112" s="321" t="n">
        <v>0</v>
      </c>
      <c r="T112" s="321" t="n">
        <v>0</v>
      </c>
      <c r="U112" s="321" t="n">
        <v>0</v>
      </c>
      <c r="V112" s="321" t="n">
        <v>0</v>
      </c>
      <c r="W112" s="321" t="n">
        <v>0</v>
      </c>
      <c r="X112" s="321" t="n"/>
      <c r="Y112" s="321" t="n"/>
      <c r="Z112" s="321" t="n"/>
      <c r="AA112" s="321" t="n"/>
      <c r="AB112" s="322" t="n">
        <v>0.83219</v>
      </c>
      <c r="AC112" s="322" t="n">
        <v>0.83219</v>
      </c>
      <c r="AD112" s="124" t="n">
        <v>0</v>
      </c>
      <c r="AE112" s="124" t="n">
        <v>3558.4</v>
      </c>
      <c r="AF112" s="124" t="n">
        <v>0</v>
      </c>
      <c r="AG112" s="124">
        <f>SUM(AD112:AF112)</f>
        <v/>
      </c>
      <c r="AH112" s="124">
        <f>(AD112*AB112)+((AE112+AF112)*AC112)</f>
        <v/>
      </c>
      <c r="AI112" s="124">
        <f>AD112-AS112</f>
        <v/>
      </c>
      <c r="AJ112" s="124">
        <f>AE112-AT112</f>
        <v/>
      </c>
      <c r="AK112" s="124">
        <f>AF112-AU112</f>
        <v/>
      </c>
      <c r="AL112" s="210">
        <f>SUM(AI112:AK112)</f>
        <v/>
      </c>
      <c r="AM112" s="337">
        <f>(AI112*AB112)+((AJ112+AK112)*AC112)</f>
        <v/>
      </c>
      <c r="AN112" s="124" t="n">
        <v>0</v>
      </c>
      <c r="AO112" s="124">
        <f>7113+274.29</f>
        <v/>
      </c>
      <c r="AP112" s="124" t="n">
        <v>0</v>
      </c>
      <c r="AQ112" s="143">
        <f>SUM(AN112:AP112)</f>
        <v/>
      </c>
      <c r="AR112" s="331">
        <f>(AN112*AB112)+((AO112+AP112)*AC112)</f>
        <v/>
      </c>
      <c r="AS112" s="124" t="n">
        <v>0</v>
      </c>
      <c r="AT112" s="124" t="n">
        <v>726</v>
      </c>
      <c r="AU112" s="124" t="n">
        <v>0</v>
      </c>
      <c r="AV112" s="124">
        <f>SUM(AS112:AU112)</f>
        <v/>
      </c>
      <c r="AW112" s="124" t="n">
        <v>0</v>
      </c>
      <c r="AX112" s="124" t="n">
        <v>217.8</v>
      </c>
      <c r="AY112" s="124" t="n">
        <v>0</v>
      </c>
      <c r="AZ112" s="124">
        <f>SUM(AW112:AY112)</f>
        <v/>
      </c>
      <c r="BA112" s="335">
        <f>(AW112*AB112)+((AX112+AY112)*AC112)</f>
        <v/>
      </c>
      <c r="BB112" s="122">
        <f>AN112-AW112</f>
        <v/>
      </c>
      <c r="BC112" s="141">
        <f>BB112*AB112</f>
        <v/>
      </c>
      <c r="BD112" s="122">
        <f>AO112-AX112</f>
        <v/>
      </c>
      <c r="BE112" s="122">
        <f>BD112*AC112</f>
        <v/>
      </c>
      <c r="BF112" s="122">
        <f>AP112-AY112</f>
        <v/>
      </c>
      <c r="BG112" s="122">
        <f>BF112*AC112</f>
        <v/>
      </c>
      <c r="BH112" s="122">
        <f>BB112+BD112+BF112</f>
        <v/>
      </c>
      <c r="BI112" s="122">
        <f>BC112+BE112+BG112</f>
        <v/>
      </c>
      <c r="BJ112" s="324">
        <f>BL112+BS112+BV112+BY112+CB112+CE112+CH112+CK112</f>
        <v/>
      </c>
      <c r="BK112" s="320">
        <f>((AI112+AW112)*AB112)+((AJ112+AK112+AX112+AY112)*AC112)</f>
        <v/>
      </c>
      <c r="BL112" s="132">
        <f>BM112+BN112+AL112</f>
        <v/>
      </c>
      <c r="BM112" s="133">
        <f>AW112</f>
        <v/>
      </c>
      <c r="BN112" s="133">
        <f>AX112+AY112</f>
        <v/>
      </c>
      <c r="BO112" s="320" t="n"/>
      <c r="BP112" s="357" t="n">
        <v>0.83219</v>
      </c>
      <c r="BQ112" s="320" t="n"/>
      <c r="BR112" s="320">
        <f>BN112*BP112</f>
        <v/>
      </c>
      <c r="BS112" s="124" t="n">
        <v>372.41</v>
      </c>
      <c r="BT112" s="344" t="n">
        <v>0.83219</v>
      </c>
      <c r="BU112" s="320">
        <f>BS112*BT112</f>
        <v/>
      </c>
      <c r="BV112" s="124" t="n"/>
      <c r="BW112" s="344" t="n">
        <v>0.78227</v>
      </c>
      <c r="BX112" s="320">
        <f>BV112*BW112</f>
        <v/>
      </c>
      <c r="BY112" s="124" t="n"/>
      <c r="BZ112" s="320" t="n"/>
      <c r="CA112" s="124">
        <f>BY112*BZ112</f>
        <v/>
      </c>
      <c r="CB112" s="124" t="n"/>
      <c r="CC112" s="320" t="n"/>
      <c r="CD112" s="124" t="n"/>
      <c r="CE112" s="124" t="n"/>
      <c r="CF112" s="320" t="n"/>
      <c r="CG112" s="124" t="n"/>
      <c r="CH112" s="124" t="n"/>
      <c r="CI112" s="320" t="n"/>
      <c r="CJ112" s="124" t="n"/>
      <c r="CK112" s="124" t="n"/>
      <c r="CL112" s="320" t="n"/>
      <c r="CM112" s="124" t="n"/>
      <c r="CN112" s="320">
        <f>BK112+BU112+BX112+CA112+CD112+CG112+CJ112+CM112</f>
        <v/>
      </c>
      <c r="CO112" s="122">
        <f>AV112-(AZ112+BS112+BV112+BY112)</f>
        <v/>
      </c>
      <c r="CP112" s="320">
        <f>CR112*G112</f>
        <v/>
      </c>
      <c r="CQ112" s="124">
        <f>AL112+AZ112+AQ112</f>
        <v/>
      </c>
      <c r="CR112" s="159">
        <f>AV112-AZ112-BS112-BV112-BY112-CB112</f>
        <v/>
      </c>
      <c r="CS112" s="155" t="n"/>
      <c r="CT112" s="155" t="n"/>
      <c r="CU112" s="177" t="n"/>
      <c r="CV112" s="177" t="n"/>
      <c r="CW112" s="325" t="n"/>
    </row>
    <row r="113" ht="19.9" customFormat="1" customHeight="1" s="67">
      <c r="A113" s="233" t="inlineStr">
        <is>
          <t>Casa do Pica-Pau</t>
        </is>
      </c>
      <c r="B113" s="66" t="n">
        <v>10036302595</v>
      </c>
      <c r="C113" s="233" t="inlineStr">
        <is>
          <t>Itaberaí</t>
        </is>
      </c>
      <c r="D113" s="140" t="inlineStr">
        <is>
          <t>Itaberaí</t>
        </is>
      </c>
      <c r="E113" s="140" t="inlineStr">
        <is>
          <t>Dezembro/2022</t>
        </is>
      </c>
      <c r="F113" s="141" t="n">
        <v>3801.5</v>
      </c>
      <c r="G113" s="326" t="n">
        <v>0.96</v>
      </c>
      <c r="H113" s="173">
        <f>F113*G113</f>
        <v/>
      </c>
      <c r="I113" s="140" t="n"/>
      <c r="J113" s="144" t="inlineStr">
        <is>
          <t>1 GROWATT DE 30 KW</t>
        </is>
      </c>
      <c r="K113" s="66" t="inlineStr">
        <is>
          <t>53 de 550W</t>
        </is>
      </c>
      <c r="L113" s="140" t="n"/>
      <c r="M113" s="145" t="inlineStr">
        <is>
          <t>Março/2023</t>
        </is>
      </c>
      <c r="N113" s="145" t="inlineStr">
        <is>
          <t>22/02/2023 a 23/03/2023</t>
        </is>
      </c>
      <c r="O113" s="331" t="n">
        <v>5122.21</v>
      </c>
      <c r="P113" s="331" t="n">
        <v>0</v>
      </c>
      <c r="Q113" s="331" t="n">
        <v>0</v>
      </c>
      <c r="R113" s="147" t="n"/>
      <c r="S113" s="331" t="n">
        <v>0</v>
      </c>
      <c r="T113" s="331" t="n">
        <v>0</v>
      </c>
      <c r="U113" s="331" t="n">
        <v>0</v>
      </c>
      <c r="V113" s="331" t="n">
        <v>0</v>
      </c>
      <c r="W113" s="331" t="n">
        <v>0</v>
      </c>
      <c r="X113" s="331" t="n"/>
      <c r="Y113" s="331" t="n"/>
      <c r="Z113" s="331" t="n"/>
      <c r="AA113" s="331" t="n"/>
      <c r="AB113" s="332" t="n">
        <v>0.86587</v>
      </c>
      <c r="AC113" s="332" t="n">
        <v>0.86587</v>
      </c>
      <c r="AD113" s="143" t="n">
        <v>0</v>
      </c>
      <c r="AE113" s="173" t="n">
        <v>3196.1</v>
      </c>
      <c r="AF113" s="143" t="n">
        <v>0</v>
      </c>
      <c r="AG113" s="143">
        <f>SUM(AD113:AF113)</f>
        <v/>
      </c>
      <c r="AH113" s="143">
        <f>(AD113*AB113)+((AE113+AF113)*AC113)</f>
        <v/>
      </c>
      <c r="AI113" s="143">
        <f>AD113-AS113</f>
        <v/>
      </c>
      <c r="AJ113" s="143">
        <f>AE113-AT113</f>
        <v/>
      </c>
      <c r="AK113" s="143">
        <f>AF113-AU113</f>
        <v/>
      </c>
      <c r="AL113" s="208">
        <f>SUM(AI113:AK113)</f>
        <v/>
      </c>
      <c r="AM113" s="336">
        <f>(AI113*AB113)+((AJ113+AK113)*AC113)</f>
        <v/>
      </c>
      <c r="AN113" s="143" t="n">
        <v>0</v>
      </c>
      <c r="AO113" s="143">
        <f>5888+274.29</f>
        <v/>
      </c>
      <c r="AP113" s="143" t="n">
        <v>0</v>
      </c>
      <c r="AQ113" s="124">
        <f>SUM(AN113:AP113)</f>
        <v/>
      </c>
      <c r="AR113" s="321">
        <f>(AN113*AB113)+((AO113+AP113)*AC113)</f>
        <v/>
      </c>
      <c r="AS113" s="143" t="n">
        <v>0</v>
      </c>
      <c r="AT113" s="143" t="n">
        <v>822</v>
      </c>
      <c r="AU113" s="143" t="n">
        <v>0</v>
      </c>
      <c r="AV113" s="143">
        <f>SUM(AS113:AU113)</f>
        <v/>
      </c>
      <c r="AW113" s="143" t="n">
        <v>0</v>
      </c>
      <c r="AX113" s="143" t="n">
        <v>246.6</v>
      </c>
      <c r="AY113" s="143" t="n">
        <v>0</v>
      </c>
      <c r="AZ113" s="143">
        <f>SUM(AW113:AY113)</f>
        <v/>
      </c>
      <c r="BA113" s="335">
        <f>(AW113*AB113)+((AX113+AY113)*AC113)</f>
        <v/>
      </c>
      <c r="BB113" s="141">
        <f>AN113-AW113</f>
        <v/>
      </c>
      <c r="BC113" s="141">
        <f>BB113*AB113</f>
        <v/>
      </c>
      <c r="BD113" s="141">
        <f>AO113-AX113</f>
        <v/>
      </c>
      <c r="BE113" s="141">
        <f>BD113*AC113</f>
        <v/>
      </c>
      <c r="BF113" s="141">
        <f>AP113-AY113</f>
        <v/>
      </c>
      <c r="BG113" s="141">
        <f>BF113*AC113</f>
        <v/>
      </c>
      <c r="BH113" s="141">
        <f>BB113+BD113+BF113</f>
        <v/>
      </c>
      <c r="BI113" s="141">
        <f>BC113+BE113+BG113</f>
        <v/>
      </c>
      <c r="BJ113" s="324">
        <f>BL113+BS113+BV113+BY113+CB113+CE113+CH113+CK113</f>
        <v/>
      </c>
      <c r="BK113" s="320">
        <f>((AI113+AW113)*AB113)+((AJ113+AK113+AX113+AY113)*AC113)</f>
        <v/>
      </c>
      <c r="BL113" s="132">
        <f>BM113+BN113+AL113</f>
        <v/>
      </c>
      <c r="BM113" s="133">
        <f>AW113</f>
        <v/>
      </c>
      <c r="BN113" s="133">
        <f>AX113+AY113</f>
        <v/>
      </c>
      <c r="BO113" s="334" t="n"/>
      <c r="BP113" s="358" t="n">
        <v>0.86587</v>
      </c>
      <c r="BQ113" s="320" t="n"/>
      <c r="BR113" s="320">
        <f>BN113*BP113</f>
        <v/>
      </c>
      <c r="BS113" s="143" t="n">
        <v>549</v>
      </c>
      <c r="BT113" s="359" t="n">
        <v>0.86587</v>
      </c>
      <c r="BU113" s="320">
        <f>BS113*BT113</f>
        <v/>
      </c>
      <c r="BV113" s="143" t="n"/>
      <c r="BW113" s="359" t="n">
        <v>0.81393</v>
      </c>
      <c r="BX113" s="320">
        <f>BV113*BW113</f>
        <v/>
      </c>
      <c r="BY113" s="143" t="n"/>
      <c r="BZ113" s="334" t="n"/>
      <c r="CA113" s="124">
        <f>BY113*BZ113</f>
        <v/>
      </c>
      <c r="CB113" s="143" t="n"/>
      <c r="CC113" s="334" t="n"/>
      <c r="CD113" s="143" t="n"/>
      <c r="CE113" s="143" t="n"/>
      <c r="CF113" s="334" t="n"/>
      <c r="CG113" s="143" t="n"/>
      <c r="CH113" s="143" t="n"/>
      <c r="CI113" s="334" t="n"/>
      <c r="CJ113" s="143" t="n"/>
      <c r="CK113" s="143" t="n"/>
      <c r="CL113" s="334" t="n"/>
      <c r="CM113" s="143" t="n"/>
      <c r="CN113" s="320">
        <f>BK113+BU113+BX113+CA113+CD113+CG113+CJ113+CM113</f>
        <v/>
      </c>
      <c r="CO113" s="141">
        <f>(AV113-(AZ113+BV113+BY80+CB113+CE113+CH113+CK113+BS113)+CO112)</f>
        <v/>
      </c>
      <c r="CP113" s="320">
        <f>CR113*G113</f>
        <v/>
      </c>
      <c r="CQ113" s="124">
        <f>AL113+AZ113+AQ113</f>
        <v/>
      </c>
      <c r="CR113" s="159">
        <f>AV113-AZ113-BS113-BV113-BY113-CB113</f>
        <v/>
      </c>
      <c r="CS113" s="155" t="n"/>
      <c r="CT113" s="155" t="n"/>
      <c r="CU113" s="177" t="n"/>
      <c r="CV113" s="177" t="n"/>
      <c r="CW113" s="325" t="n"/>
    </row>
    <row r="114" ht="19.9" customFormat="1" customHeight="1" s="67">
      <c r="A114" s="120" t="inlineStr">
        <is>
          <t>Casa do Pica-Pau</t>
        </is>
      </c>
      <c r="B114" s="65" t="n">
        <v>10036302595</v>
      </c>
      <c r="C114" s="120" t="inlineStr">
        <is>
          <t>Itaberaí</t>
        </is>
      </c>
      <c r="D114" s="121" t="inlineStr">
        <is>
          <t>Itaberaí</t>
        </is>
      </c>
      <c r="E114" s="121" t="inlineStr">
        <is>
          <t>Dezembro/2022</t>
        </is>
      </c>
      <c r="F114" s="122" t="n">
        <v>3801.5</v>
      </c>
      <c r="G114" s="320" t="n">
        <v>0.96</v>
      </c>
      <c r="H114" s="124">
        <f>F114*G114</f>
        <v/>
      </c>
      <c r="I114" s="121" t="n"/>
      <c r="J114" s="125" t="inlineStr">
        <is>
          <t>1 GROWATT DE 30 KW</t>
        </is>
      </c>
      <c r="K114" s="65" t="inlineStr">
        <is>
          <t>53 de 550W</t>
        </is>
      </c>
      <c r="L114" s="121" t="n"/>
      <c r="M114" s="126" t="inlineStr">
        <is>
          <t>Abril/2023</t>
        </is>
      </c>
      <c r="N114" s="126" t="inlineStr">
        <is>
          <t>23/03/2023 a 24/04/2023</t>
        </is>
      </c>
      <c r="O114" s="321" t="n">
        <v>2014.99</v>
      </c>
      <c r="P114" s="321" t="n">
        <v>0</v>
      </c>
      <c r="Q114" s="321" t="n">
        <v>0</v>
      </c>
      <c r="R114" s="207" t="n"/>
      <c r="S114" s="321" t="n">
        <v>0</v>
      </c>
      <c r="T114" s="321" t="n">
        <v>0</v>
      </c>
      <c r="U114" s="321" t="n">
        <v>0</v>
      </c>
      <c r="V114" s="321" t="n">
        <v>0</v>
      </c>
      <c r="W114" s="321" t="n">
        <v>0</v>
      </c>
      <c r="X114" s="321" t="n"/>
      <c r="Y114" s="321" t="n"/>
      <c r="Z114" s="321" t="n"/>
      <c r="AA114" s="321" t="n"/>
      <c r="AB114" s="322" t="n">
        <v>0.86064</v>
      </c>
      <c r="AC114" s="322" t="n">
        <v>0.86064</v>
      </c>
      <c r="AD114" s="124" t="n">
        <v>0</v>
      </c>
      <c r="AE114" s="124" t="n">
        <v>3968.9</v>
      </c>
      <c r="AF114" s="124" t="n">
        <v>0</v>
      </c>
      <c r="AG114" s="124">
        <f>SUM(AD114:AF114)</f>
        <v/>
      </c>
      <c r="AH114" s="124">
        <f>(AD114*AB114)+((AE114+AF114)*AC114)</f>
        <v/>
      </c>
      <c r="AI114" s="124">
        <f>AD114-AS114</f>
        <v/>
      </c>
      <c r="AJ114" s="124">
        <f>AE114-AT114</f>
        <v/>
      </c>
      <c r="AK114" s="124">
        <f>AF114-AU114</f>
        <v/>
      </c>
      <c r="AL114" s="210">
        <f>SUM(AI114:AK114)</f>
        <v/>
      </c>
      <c r="AM114" s="337">
        <f>(AI114*AB114)+((AJ114+AK114)*AC114)</f>
        <v/>
      </c>
      <c r="AN114" s="124" t="n">
        <v>0</v>
      </c>
      <c r="AO114" s="124">
        <f>2066.99+274.29</f>
        <v/>
      </c>
      <c r="AP114" s="124" t="n">
        <v>0</v>
      </c>
      <c r="AQ114" s="143">
        <f>SUM(AN114:AP114)</f>
        <v/>
      </c>
      <c r="AR114" s="331">
        <f>(AN114*AB114)+((AO114+AP114)*AC114)</f>
        <v/>
      </c>
      <c r="AS114" s="124" t="n">
        <v>0</v>
      </c>
      <c r="AT114" s="124" t="n">
        <v>0</v>
      </c>
      <c r="AU114" s="124" t="n">
        <v>0</v>
      </c>
      <c r="AV114" s="124">
        <f>SUM(AS114:AU114)</f>
        <v/>
      </c>
      <c r="AW114" s="124" t="n">
        <v>0</v>
      </c>
      <c r="AX114" s="124" t="n">
        <v>0</v>
      </c>
      <c r="AY114" s="124" t="n">
        <v>0</v>
      </c>
      <c r="AZ114" s="124">
        <f>SUM(AW114:AY114)</f>
        <v/>
      </c>
      <c r="BA114" s="335">
        <f>(AW114*AB114)+((AX114+AY114)*AC114)</f>
        <v/>
      </c>
      <c r="BB114" s="122">
        <f>AN114-AW114</f>
        <v/>
      </c>
      <c r="BC114" s="141">
        <f>BB114*AB114</f>
        <v/>
      </c>
      <c r="BD114" s="122">
        <f>AO114-AX114</f>
        <v/>
      </c>
      <c r="BE114" s="122">
        <f>BD114*AC114</f>
        <v/>
      </c>
      <c r="BF114" s="122">
        <f>AP114-AY114</f>
        <v/>
      </c>
      <c r="BG114" s="122">
        <f>BF114*AC114</f>
        <v/>
      </c>
      <c r="BH114" s="122">
        <f>BB114+BD114+BF114</f>
        <v/>
      </c>
      <c r="BI114" s="122">
        <f>BC114+BE114+BG114</f>
        <v/>
      </c>
      <c r="BJ114" s="324">
        <f>BL114+BS114+BV114+BY114+CB114+CE114+CH114+CK114</f>
        <v/>
      </c>
      <c r="BK114" s="320">
        <f>((AI114+AW114)*AB114)+((AJ114+AK114+AX114+AY114)*AC114)</f>
        <v/>
      </c>
      <c r="BL114" s="132">
        <f>BM114+BN114+AL114</f>
        <v/>
      </c>
      <c r="BM114" s="133">
        <f>AW114</f>
        <v/>
      </c>
      <c r="BN114" s="133">
        <f>AX114+AY114</f>
        <v/>
      </c>
      <c r="BO114" s="320" t="n"/>
      <c r="BP114" s="357" t="n">
        <v>0.86064</v>
      </c>
      <c r="BQ114" s="320" t="n"/>
      <c r="BR114" s="320">
        <f>BN114*BP114</f>
        <v/>
      </c>
      <c r="BS114" s="124" t="n">
        <v>7.39</v>
      </c>
      <c r="BT114" s="344" t="n">
        <v>0.86064</v>
      </c>
      <c r="BU114" s="320">
        <f>BS114*BT114</f>
        <v/>
      </c>
      <c r="BV114" s="124" t="n"/>
      <c r="BW114" s="344" t="n">
        <v>0.80901</v>
      </c>
      <c r="BX114" s="320">
        <f>BV114*BW114</f>
        <v/>
      </c>
      <c r="BY114" s="124" t="n"/>
      <c r="BZ114" s="320" t="n"/>
      <c r="CA114" s="124">
        <f>BY114*BZ114</f>
        <v/>
      </c>
      <c r="CB114" s="124" t="n"/>
      <c r="CC114" s="320" t="n"/>
      <c r="CD114" s="124" t="n"/>
      <c r="CE114" s="124" t="n"/>
      <c r="CF114" s="320" t="n"/>
      <c r="CG114" s="124" t="n"/>
      <c r="CH114" s="124" t="n"/>
      <c r="CI114" s="320" t="n"/>
      <c r="CJ114" s="124" t="n"/>
      <c r="CK114" s="124" t="n"/>
      <c r="CL114" s="320" t="n"/>
      <c r="CM114" s="124" t="n"/>
      <c r="CN114" s="320">
        <f>BK114+BU114+BX114+CA114+CD114+CG114+CJ114+CM114</f>
        <v/>
      </c>
      <c r="CO114" s="141">
        <f>(AV114-(AZ114+BV114+BY81+CB114+CE114+CH114+CK114+BS114)+CO113)</f>
        <v/>
      </c>
      <c r="CP114" s="320">
        <f>CR114*G114</f>
        <v/>
      </c>
      <c r="CQ114" s="124">
        <f>AL114+AZ114+AQ114</f>
        <v/>
      </c>
      <c r="CR114" s="159">
        <f>AV114-AZ114-BS114-BV114-BY114-CB114</f>
        <v/>
      </c>
      <c r="CS114" s="155" t="n"/>
      <c r="CT114" s="155" t="n"/>
      <c r="CU114" s="177" t="n"/>
      <c r="CV114" s="177" t="n"/>
      <c r="CW114" s="325" t="n"/>
    </row>
    <row r="115" ht="19.9" customFormat="1" customHeight="1" s="67">
      <c r="A115" s="233" t="inlineStr">
        <is>
          <t>Casa do Pica-Pau</t>
        </is>
      </c>
      <c r="B115" s="66" t="n">
        <v>10036302595</v>
      </c>
      <c r="C115" s="233" t="inlineStr">
        <is>
          <t>Itaberaí</t>
        </is>
      </c>
      <c r="D115" s="140" t="inlineStr">
        <is>
          <t>Itaberaí</t>
        </is>
      </c>
      <c r="E115" s="140" t="inlineStr">
        <is>
          <t>Dezembro/2022</t>
        </is>
      </c>
      <c r="F115" s="141" t="n">
        <v>3801.5</v>
      </c>
      <c r="G115" s="326" t="n">
        <v>0.96</v>
      </c>
      <c r="H115" s="173">
        <f>F115*G115</f>
        <v/>
      </c>
      <c r="I115" s="140" t="n"/>
      <c r="J115" s="144" t="inlineStr">
        <is>
          <t>1 GROWATT DE 30 KW</t>
        </is>
      </c>
      <c r="K115" s="66" t="inlineStr">
        <is>
          <t>53 de 550W</t>
        </is>
      </c>
      <c r="L115" s="140" t="n"/>
      <c r="M115" s="145" t="inlineStr">
        <is>
          <t>Maio/2023</t>
        </is>
      </c>
      <c r="N115" s="145" t="inlineStr">
        <is>
          <t>24/04/2023 a 23/05/2023</t>
        </is>
      </c>
      <c r="O115" s="331" t="n">
        <v>4785.97</v>
      </c>
      <c r="P115" s="331" t="n">
        <v>0</v>
      </c>
      <c r="Q115" s="331" t="n">
        <v>0</v>
      </c>
      <c r="R115" s="147" t="n"/>
      <c r="S115" s="331" t="n">
        <v>0</v>
      </c>
      <c r="T115" s="331" t="n">
        <v>0</v>
      </c>
      <c r="U115" s="331" t="n">
        <v>0</v>
      </c>
      <c r="V115" s="331" t="n">
        <v>0</v>
      </c>
      <c r="W115" s="331" t="n">
        <v>0</v>
      </c>
      <c r="X115" s="331" t="n"/>
      <c r="Y115" s="331" t="n"/>
      <c r="Z115" s="331" t="n"/>
      <c r="AA115" s="331" t="n"/>
      <c r="AB115" s="332" t="n">
        <v>0.864042</v>
      </c>
      <c r="AC115" s="332" t="n">
        <v>0.864042</v>
      </c>
      <c r="AD115" s="143" t="n">
        <v>0</v>
      </c>
      <c r="AE115" s="173" t="n">
        <v>3229.8</v>
      </c>
      <c r="AF115" s="143" t="n">
        <v>0</v>
      </c>
      <c r="AG115" s="143">
        <f>SUM(AD115:AF115)</f>
        <v/>
      </c>
      <c r="AH115" s="143">
        <f>(AD115*AB115)+((AE115+AF115)*AC115)</f>
        <v/>
      </c>
      <c r="AI115" s="143">
        <f>AD115-AS115</f>
        <v/>
      </c>
      <c r="AJ115" s="143">
        <f>AE115-AT115</f>
        <v/>
      </c>
      <c r="AK115" s="143">
        <f>AF115-AU115</f>
        <v/>
      </c>
      <c r="AL115" s="208">
        <f>SUM(AI115:AK115)</f>
        <v/>
      </c>
      <c r="AM115" s="336">
        <f>(AI115*AB115)+((AJ115+AK115)*AC115)</f>
        <v/>
      </c>
      <c r="AN115" s="143" t="n">
        <v>0</v>
      </c>
      <c r="AO115" s="143">
        <f>5942.45+274.29</f>
        <v/>
      </c>
      <c r="AP115" s="143" t="n">
        <v>0</v>
      </c>
      <c r="AQ115" s="124">
        <f>SUM(AN115:AP115)</f>
        <v/>
      </c>
      <c r="AR115" s="321">
        <f>(AN115*AB115)+((AO115+AP115)*AC115)</f>
        <v/>
      </c>
      <c r="AS115" s="143" t="n">
        <v>0</v>
      </c>
      <c r="AT115" s="143" t="n">
        <v>2259</v>
      </c>
      <c r="AU115" s="143" t="n">
        <v>0</v>
      </c>
      <c r="AV115" s="143">
        <f>SUM(AS115:AU115)</f>
        <v/>
      </c>
      <c r="AW115" s="143" t="n">
        <v>0</v>
      </c>
      <c r="AX115" s="143" t="n">
        <v>677.7</v>
      </c>
      <c r="AY115" s="143" t="n">
        <v>0</v>
      </c>
      <c r="AZ115" s="143">
        <f>SUM(AW115:AY115)</f>
        <v/>
      </c>
      <c r="BA115" s="335">
        <f>(AW115*AB115)+((AX115+AY115)*AC115)</f>
        <v/>
      </c>
      <c r="BB115" s="141">
        <f>AN115-AW115</f>
        <v/>
      </c>
      <c r="BC115" s="141">
        <f>BB115*AB115</f>
        <v/>
      </c>
      <c r="BD115" s="141">
        <f>AO115-AX115</f>
        <v/>
      </c>
      <c r="BE115" s="141">
        <f>BD115*AC115</f>
        <v/>
      </c>
      <c r="BF115" s="141">
        <f>AP115-AY115</f>
        <v/>
      </c>
      <c r="BG115" s="141">
        <f>BF115*AC115</f>
        <v/>
      </c>
      <c r="BH115" s="141">
        <f>BB115+BD115+BF115</f>
        <v/>
      </c>
      <c r="BI115" s="141">
        <f>BC115+BE115+BG115</f>
        <v/>
      </c>
      <c r="BJ115" s="324">
        <f>BL115+BS115+BV115+BY115+CB115+CE115+CH115+CK115</f>
        <v/>
      </c>
      <c r="BK115" s="320">
        <f>((AI115+AW115)*AB115)+((AJ115+AK115+AX115+AY115)*AC115)</f>
        <v/>
      </c>
      <c r="BL115" s="132">
        <f>BM115+BN115+AL115</f>
        <v/>
      </c>
      <c r="BM115" s="133">
        <f>AW115</f>
        <v/>
      </c>
      <c r="BN115" s="133">
        <f>AX115+AY115</f>
        <v/>
      </c>
      <c r="BO115" s="334" t="n"/>
      <c r="BP115" s="358" t="n">
        <v>0.864042</v>
      </c>
      <c r="BQ115" s="320" t="n"/>
      <c r="BR115" s="320">
        <f>BN115*BP115</f>
        <v/>
      </c>
      <c r="BS115" s="143" t="n">
        <v>643</v>
      </c>
      <c r="BT115" s="359" t="n">
        <v>0.864042</v>
      </c>
      <c r="BU115" s="320">
        <f>BS115*BT115</f>
        <v/>
      </c>
      <c r="BV115" s="143" t="n"/>
      <c r="BW115" s="359" t="n">
        <v>0.812212</v>
      </c>
      <c r="BX115" s="320">
        <f>BV115*BW115</f>
        <v/>
      </c>
      <c r="BY115" s="143" t="n"/>
      <c r="BZ115" s="334" t="n"/>
      <c r="CA115" s="124">
        <f>BY115*BZ115</f>
        <v/>
      </c>
      <c r="CB115" s="143" t="n"/>
      <c r="CC115" s="334" t="n"/>
      <c r="CD115" s="143" t="n"/>
      <c r="CE115" s="143" t="n"/>
      <c r="CF115" s="334" t="n"/>
      <c r="CG115" s="143" t="n"/>
      <c r="CH115" s="143" t="n"/>
      <c r="CI115" s="334" t="n"/>
      <c r="CJ115" s="143" t="n"/>
      <c r="CK115" s="143" t="n"/>
      <c r="CL115" s="334" t="n"/>
      <c r="CM115" s="143" t="n"/>
      <c r="CN115" s="320">
        <f>BK115+BU115+BX115+CA115+CD115+CG115+CJ115+CM115</f>
        <v/>
      </c>
      <c r="CO115" s="141">
        <f>(AV115-(AZ115+BV115+BY82+CB115+CE115+CH115+CK115+BS115)+CO114)</f>
        <v/>
      </c>
      <c r="CP115" s="320">
        <f>CR115*G115</f>
        <v/>
      </c>
      <c r="CQ115" s="124">
        <f>AL115+AZ115+AQ115</f>
        <v/>
      </c>
      <c r="CR115" s="159">
        <f>AV115-AZ115-BS115-BV115-BY115-CB115</f>
        <v/>
      </c>
      <c r="CS115" s="155" t="n"/>
      <c r="CT115" s="155" t="n"/>
      <c r="CU115" s="177" t="n"/>
      <c r="CV115" s="177" t="n"/>
      <c r="CW115" s="325" t="n"/>
    </row>
    <row r="116" ht="19.9" customFormat="1" customHeight="1" s="67">
      <c r="A116" s="120" t="inlineStr">
        <is>
          <t>Casa do Pica-Pau</t>
        </is>
      </c>
      <c r="B116" s="65" t="n">
        <v>10036302595</v>
      </c>
      <c r="C116" s="120" t="inlineStr">
        <is>
          <t>Itaberaí</t>
        </is>
      </c>
      <c r="D116" s="121" t="inlineStr">
        <is>
          <t>Itaberaí</t>
        </is>
      </c>
      <c r="E116" s="121" t="inlineStr">
        <is>
          <t>Dezembro/2022</t>
        </is>
      </c>
      <c r="F116" s="122" t="n">
        <v>3801.5</v>
      </c>
      <c r="G116" s="320" t="n">
        <v>0.96</v>
      </c>
      <c r="H116" s="124">
        <f>F116*G116</f>
        <v/>
      </c>
      <c r="I116" s="121" t="n"/>
      <c r="J116" s="125" t="inlineStr">
        <is>
          <t>1 GROWATT DE 30 KW</t>
        </is>
      </c>
      <c r="K116" s="65" t="inlineStr">
        <is>
          <t>53 de 550W</t>
        </is>
      </c>
      <c r="L116" s="121" t="n"/>
      <c r="M116" s="126" t="inlineStr">
        <is>
          <t>Junho/2023</t>
        </is>
      </c>
      <c r="N116" s="126" t="inlineStr">
        <is>
          <t>23/05/2023 a 23/06/2023</t>
        </is>
      </c>
      <c r="O116" s="321" t="n">
        <v>8337.450000000001</v>
      </c>
      <c r="P116" s="321" t="n">
        <v>0</v>
      </c>
      <c r="Q116" s="321" t="n">
        <v>0</v>
      </c>
      <c r="R116" s="207" t="n"/>
      <c r="S116" s="321" t="n">
        <v>0</v>
      </c>
      <c r="T116" s="321" t="n">
        <v>0</v>
      </c>
      <c r="U116" s="321" t="n">
        <v>0</v>
      </c>
      <c r="V116" s="321" t="n">
        <v>0</v>
      </c>
      <c r="W116" s="321" t="n">
        <v>0</v>
      </c>
      <c r="X116" s="321" t="n"/>
      <c r="Y116" s="321" t="n"/>
      <c r="Z116" s="321" t="n"/>
      <c r="AA116" s="321" t="n"/>
      <c r="AB116" s="322" t="n">
        <v>0.824586</v>
      </c>
      <c r="AC116" s="322" t="n">
        <v>0.824586</v>
      </c>
      <c r="AD116" s="124" t="n">
        <v>0</v>
      </c>
      <c r="AE116" s="124" t="n">
        <v>2946</v>
      </c>
      <c r="AF116" s="124" t="n">
        <v>0</v>
      </c>
      <c r="AG116" s="124">
        <f>SUM(AD116:AF116)</f>
        <v/>
      </c>
      <c r="AH116" s="124">
        <f>(AD116*AB116)+((AE116+AF116)*AC116)</f>
        <v/>
      </c>
      <c r="AI116" s="124">
        <f>AD116-AS116</f>
        <v/>
      </c>
      <c r="AJ116" s="124">
        <f>AE116-AT116</f>
        <v/>
      </c>
      <c r="AK116" s="124">
        <f>AF116-AU116</f>
        <v/>
      </c>
      <c r="AL116" s="210">
        <f>SUM(AI116:AK116)</f>
        <v/>
      </c>
      <c r="AM116" s="337">
        <f>(AI116*AB116)+((AJ116+AK116)*AC116)</f>
        <v/>
      </c>
      <c r="AN116" s="124" t="n">
        <v>0</v>
      </c>
      <c r="AO116" s="124">
        <f>8118+2036.78+274.29</f>
        <v/>
      </c>
      <c r="AP116" s="124" t="n">
        <v>0</v>
      </c>
      <c r="AQ116" s="143">
        <f>SUM(AN116:AP116)</f>
        <v/>
      </c>
      <c r="AR116" s="331">
        <f>(AN116*AB116)+((AO116+AP116)*AC116)</f>
        <v/>
      </c>
      <c r="AS116" s="124" t="n">
        <v>0</v>
      </c>
      <c r="AT116" s="124" t="n">
        <v>1060</v>
      </c>
      <c r="AU116" s="124" t="n">
        <v>0</v>
      </c>
      <c r="AV116" s="124">
        <f>SUM(AS116:AU116)</f>
        <v/>
      </c>
      <c r="AW116" s="124" t="n">
        <v>0</v>
      </c>
      <c r="AX116" s="124" t="n">
        <v>318</v>
      </c>
      <c r="AY116" s="124" t="n">
        <v>0</v>
      </c>
      <c r="AZ116" s="124">
        <f>SUM(AW116:AY116)</f>
        <v/>
      </c>
      <c r="BA116" s="335">
        <f>(AW116*AB116)+((AX116+AY116)*AC116)</f>
        <v/>
      </c>
      <c r="BB116" s="122">
        <f>AN116-AW116</f>
        <v/>
      </c>
      <c r="BC116" s="141">
        <f>BB116*AB116</f>
        <v/>
      </c>
      <c r="BD116" s="122">
        <f>AO116-AX116</f>
        <v/>
      </c>
      <c r="BE116" s="122">
        <f>BD116*AC116</f>
        <v/>
      </c>
      <c r="BF116" s="122">
        <f>AP116-AY116</f>
        <v/>
      </c>
      <c r="BG116" s="122">
        <f>BF116*AC116</f>
        <v/>
      </c>
      <c r="BH116" s="122">
        <f>BB116+BD116+BF116</f>
        <v/>
      </c>
      <c r="BI116" s="122">
        <f>BC116+BE116+BG116</f>
        <v/>
      </c>
      <c r="BJ116" s="324">
        <f>BL116+BS116+BV116+BY116+CB116+CE116+CH116+CK116</f>
        <v/>
      </c>
      <c r="BK116" s="320">
        <f>((AI116+AW116)*AB116)+((AJ116+AK116+AX116+AY116)*AC116)</f>
        <v/>
      </c>
      <c r="BL116" s="132">
        <f>BM116+BN116+AL116</f>
        <v/>
      </c>
      <c r="BM116" s="133">
        <f>AW116</f>
        <v/>
      </c>
      <c r="BN116" s="133">
        <f>AX116+AY116</f>
        <v/>
      </c>
      <c r="BO116" s="320" t="n"/>
      <c r="BP116" s="357" t="n">
        <v>0.824586</v>
      </c>
      <c r="BQ116" s="320" t="n"/>
      <c r="BR116" s="320">
        <f>BN116*BP116</f>
        <v/>
      </c>
      <c r="BS116" s="124" t="n">
        <v>564</v>
      </c>
      <c r="BT116" s="344" t="n">
        <v>0.824586</v>
      </c>
      <c r="BU116" s="320">
        <f>BS116*BT116</f>
        <v/>
      </c>
      <c r="BV116" s="124" t="n"/>
      <c r="BW116" s="344" t="n">
        <v>0.775122</v>
      </c>
      <c r="BX116" s="320">
        <f>BV116*BW116</f>
        <v/>
      </c>
      <c r="BY116" s="124" t="n"/>
      <c r="BZ116" s="320" t="n"/>
      <c r="CA116" s="124">
        <f>BY116*BZ116</f>
        <v/>
      </c>
      <c r="CB116" s="124" t="n"/>
      <c r="CC116" s="320" t="n"/>
      <c r="CD116" s="124" t="n"/>
      <c r="CE116" s="124" t="n"/>
      <c r="CF116" s="320" t="n"/>
      <c r="CG116" s="124" t="n"/>
      <c r="CH116" s="124" t="n"/>
      <c r="CI116" s="320" t="n"/>
      <c r="CJ116" s="124" t="n"/>
      <c r="CK116" s="124" t="n"/>
      <c r="CL116" s="320" t="n"/>
      <c r="CM116" s="124" t="n"/>
      <c r="CN116" s="320">
        <f>BK116+BU116+BX116+CA116+CD116+CG116+CJ116+CM116</f>
        <v/>
      </c>
      <c r="CO116" s="141">
        <f>(AV116-(AZ116+BV116+BY83+CB116+CE116+CH116+CK116+BS116)+CO115)</f>
        <v/>
      </c>
      <c r="CP116" s="320">
        <f>CR116*G116</f>
        <v/>
      </c>
      <c r="CQ116" s="124">
        <f>AL116+AZ116+AQ116</f>
        <v/>
      </c>
      <c r="CR116" s="159">
        <f>AV116-AZ116-BS116-BV116-BY116-CB116</f>
        <v/>
      </c>
      <c r="CS116" s="155" t="n"/>
      <c r="CT116" s="155" t="n"/>
      <c r="CU116" s="177" t="n"/>
      <c r="CV116" s="177" t="n"/>
      <c r="CW116" s="325" t="n"/>
    </row>
    <row r="117" ht="19.9" customFormat="1" customHeight="1" s="67">
      <c r="A117" s="233" t="inlineStr">
        <is>
          <t>Casa do Pica-Pau</t>
        </is>
      </c>
      <c r="B117" s="66" t="n">
        <v>10036302595</v>
      </c>
      <c r="C117" s="233" t="inlineStr">
        <is>
          <t>Itaberaí</t>
        </is>
      </c>
      <c r="D117" s="140" t="inlineStr">
        <is>
          <t>Itaberaí</t>
        </is>
      </c>
      <c r="E117" s="140" t="inlineStr">
        <is>
          <t>Dezembro/2022</t>
        </is>
      </c>
      <c r="F117" s="141" t="n">
        <v>3801.5</v>
      </c>
      <c r="G117" s="326" t="n">
        <v>0.96</v>
      </c>
      <c r="H117" s="173">
        <f>F117*G117</f>
        <v/>
      </c>
      <c r="I117" s="140" t="n"/>
      <c r="J117" s="144" t="inlineStr">
        <is>
          <t>1 GROWATT DE 30 KW</t>
        </is>
      </c>
      <c r="K117" s="66" t="inlineStr">
        <is>
          <t>53 de 550W</t>
        </is>
      </c>
      <c r="L117" s="140" t="n"/>
      <c r="M117" s="145" t="inlineStr">
        <is>
          <t>Julho/2023</t>
        </is>
      </c>
      <c r="N117" s="145" t="inlineStr">
        <is>
          <t>23/06/2023 a 25/07/2023</t>
        </is>
      </c>
      <c r="O117" s="331" t="n">
        <v>7796.04</v>
      </c>
      <c r="P117" s="331" t="n">
        <v>0</v>
      </c>
      <c r="Q117" s="331" t="n">
        <v>0</v>
      </c>
      <c r="R117" s="147" t="n"/>
      <c r="S117" s="331" t="n">
        <v>0</v>
      </c>
      <c r="T117" s="331" t="n">
        <v>0</v>
      </c>
      <c r="U117" s="331" t="n">
        <v>0</v>
      </c>
      <c r="V117" s="331" t="n">
        <v>0</v>
      </c>
      <c r="W117" s="331" t="n">
        <v>0</v>
      </c>
      <c r="X117" s="331" t="n"/>
      <c r="Y117" s="331" t="n"/>
      <c r="Z117" s="331" t="n"/>
      <c r="AA117" s="331" t="n"/>
      <c r="AB117" s="332" t="n">
        <v>0.835099</v>
      </c>
      <c r="AC117" s="332" t="n">
        <v>0.835099</v>
      </c>
      <c r="AD117" s="143" t="n">
        <v>0</v>
      </c>
      <c r="AE117" s="173" t="n">
        <v>3182</v>
      </c>
      <c r="AF117" s="143" t="n">
        <v>0</v>
      </c>
      <c r="AG117" s="143">
        <f>SUM(AD117:AF117)</f>
        <v/>
      </c>
      <c r="AH117" s="143">
        <f>(AD117*AB117)+((AE117+AF117)*AC117)</f>
        <v/>
      </c>
      <c r="AI117" s="143">
        <f>AD117-AS117</f>
        <v/>
      </c>
      <c r="AJ117" s="143">
        <f>AE117-AT117</f>
        <v/>
      </c>
      <c r="AK117" s="143">
        <f>AF117-AU117</f>
        <v/>
      </c>
      <c r="AL117" s="208">
        <f>SUM(AI117:AK117)</f>
        <v/>
      </c>
      <c r="AM117" s="336">
        <f>(AI117*AB117)+((AJ117+AK117)*AC117)</f>
        <v/>
      </c>
      <c r="AN117" s="143" t="n">
        <v>0</v>
      </c>
      <c r="AO117" s="143">
        <f>7409+274.29+2036.78</f>
        <v/>
      </c>
      <c r="AP117" s="143" t="n">
        <v>0</v>
      </c>
      <c r="AQ117" s="124">
        <f>SUM(AN117:AP117)</f>
        <v/>
      </c>
      <c r="AR117" s="321">
        <f>(AN117*AB117)+((AO117+AP117)*AC117)</f>
        <v/>
      </c>
      <c r="AS117" s="143" t="n">
        <v>0</v>
      </c>
      <c r="AT117" s="143" t="n">
        <v>1282</v>
      </c>
      <c r="AU117" s="143" t="n">
        <v>0</v>
      </c>
      <c r="AV117" s="143">
        <f>SUM(AS117:AU117)</f>
        <v/>
      </c>
      <c r="AW117" s="143" t="n">
        <v>0</v>
      </c>
      <c r="AX117" s="143" t="n">
        <v>384.6</v>
      </c>
      <c r="AY117" s="143" t="n">
        <v>0</v>
      </c>
      <c r="AZ117" s="143">
        <f>SUM(AW117:AY117)</f>
        <v/>
      </c>
      <c r="BA117" s="335">
        <f>(AW117*AB117)+((AX117+AY117)*AC117)</f>
        <v/>
      </c>
      <c r="BB117" s="141">
        <f>AN117-AW117</f>
        <v/>
      </c>
      <c r="BC117" s="141">
        <f>BB117*AB117</f>
        <v/>
      </c>
      <c r="BD117" s="141">
        <f>AO117-AX117</f>
        <v/>
      </c>
      <c r="BE117" s="141">
        <f>BD117*AC117</f>
        <v/>
      </c>
      <c r="BF117" s="141">
        <f>AP117-AY117</f>
        <v/>
      </c>
      <c r="BG117" s="141">
        <f>BF117*AC117</f>
        <v/>
      </c>
      <c r="BH117" s="141">
        <f>BB117+BD117+BF117</f>
        <v/>
      </c>
      <c r="BI117" s="141">
        <f>BC117+BE117+BG117</f>
        <v/>
      </c>
      <c r="BJ117" s="324">
        <f>BL117+BS117+BV117+BY117+CB117+CE117+CH117+CK117</f>
        <v/>
      </c>
      <c r="BK117" s="320">
        <f>((AI117+AW117)*AB117)+((AJ117+AK117+AX117+AY117)*AC117)</f>
        <v/>
      </c>
      <c r="BL117" s="132">
        <f>BM117+BN117+AL117</f>
        <v/>
      </c>
      <c r="BM117" s="133">
        <f>AW117</f>
        <v/>
      </c>
      <c r="BN117" s="133">
        <f>AX117+AY117</f>
        <v/>
      </c>
      <c r="BO117" s="334" t="n"/>
      <c r="BP117" s="358" t="n">
        <v>0.835099</v>
      </c>
      <c r="BQ117" s="320" t="n"/>
      <c r="BR117" s="320">
        <f>BN117*BP117</f>
        <v/>
      </c>
      <c r="BS117" s="143" t="n">
        <v>699</v>
      </c>
      <c r="BT117" s="359" t="n">
        <v>0.835099</v>
      </c>
      <c r="BU117" s="320">
        <f>BS117*BT117</f>
        <v/>
      </c>
      <c r="BV117" s="143" t="n">
        <v>486.7</v>
      </c>
      <c r="BW117" s="359" t="n">
        <v>0.785004</v>
      </c>
      <c r="BX117" s="320">
        <f>BV117*BW117</f>
        <v/>
      </c>
      <c r="BY117" s="143" t="n"/>
      <c r="BZ117" s="334" t="n"/>
      <c r="CA117" s="124">
        <f>BY117*BZ117</f>
        <v/>
      </c>
      <c r="CB117" s="143" t="n"/>
      <c r="CC117" s="334" t="n"/>
      <c r="CD117" s="143" t="n"/>
      <c r="CE117" s="143" t="n"/>
      <c r="CF117" s="334" t="n"/>
      <c r="CG117" s="143" t="n"/>
      <c r="CH117" s="143" t="n"/>
      <c r="CI117" s="334" t="n"/>
      <c r="CJ117" s="143" t="n"/>
      <c r="CK117" s="143" t="n"/>
      <c r="CL117" s="334" t="n"/>
      <c r="CM117" s="143" t="n"/>
      <c r="CN117" s="320">
        <f>BK117+BU117+BX117+CA117+CD117+CG117+CJ117+CM117</f>
        <v/>
      </c>
      <c r="CO117" s="141">
        <f>(AV117-(AZ117+BV117+BY84+CB117+CE117+CH117+CK117+BS117)+CO116)</f>
        <v/>
      </c>
      <c r="CP117" s="320">
        <f>CR117*G117</f>
        <v/>
      </c>
      <c r="CQ117" s="124">
        <f>AL117+AZ117+AQ117</f>
        <v/>
      </c>
      <c r="CR117" s="159">
        <f>AV117-AZ117-BS117-BV117-BY117-CB117</f>
        <v/>
      </c>
      <c r="CS117" s="155" t="n"/>
      <c r="CT117" s="155" t="n"/>
      <c r="CU117" s="177" t="n"/>
      <c r="CV117" s="177" t="n"/>
      <c r="CW117" s="325" t="n"/>
    </row>
    <row r="118" ht="19.9" customFormat="1" customHeight="1" s="67">
      <c r="A118" s="120" t="inlineStr">
        <is>
          <t>Casa do Pica-Pau</t>
        </is>
      </c>
      <c r="B118" s="65" t="n">
        <v>10036302595</v>
      </c>
      <c r="C118" s="120" t="inlineStr">
        <is>
          <t>Itaberaí</t>
        </is>
      </c>
      <c r="D118" s="121" t="inlineStr">
        <is>
          <t>Itaberaí</t>
        </is>
      </c>
      <c r="E118" s="121" t="inlineStr">
        <is>
          <t>Dezembro/2022</t>
        </is>
      </c>
      <c r="F118" s="122" t="n">
        <v>3801.5</v>
      </c>
      <c r="G118" s="320" t="n">
        <v>0.96</v>
      </c>
      <c r="H118" s="124">
        <f>F118*G118</f>
        <v/>
      </c>
      <c r="I118" s="121" t="n"/>
      <c r="J118" s="125" t="inlineStr">
        <is>
          <t>1 GROWATT DE 30 KW</t>
        </is>
      </c>
      <c r="K118" s="65" t="inlineStr">
        <is>
          <t>53 de 550W</t>
        </is>
      </c>
      <c r="L118" s="121" t="n"/>
      <c r="M118" s="126" t="inlineStr">
        <is>
          <t>Agosto/2023</t>
        </is>
      </c>
      <c r="N118" s="126" t="inlineStr">
        <is>
          <t>25/07/2023 a 24/08/2023</t>
        </is>
      </c>
      <c r="O118" s="321" t="n">
        <v>7547.85</v>
      </c>
      <c r="P118" s="321" t="n">
        <v>0</v>
      </c>
      <c r="Q118" s="321" t="n">
        <v>0</v>
      </c>
      <c r="R118" s="207" t="n"/>
      <c r="S118" s="321" t="n">
        <v>0</v>
      </c>
      <c r="T118" s="321" t="n">
        <v>0</v>
      </c>
      <c r="U118" s="321" t="n">
        <v>0</v>
      </c>
      <c r="V118" s="321" t="n">
        <v>0</v>
      </c>
      <c r="W118" s="321" t="n">
        <v>0</v>
      </c>
      <c r="X118" s="321" t="n"/>
      <c r="Y118" s="321" t="n"/>
      <c r="Z118" s="321" t="n"/>
      <c r="AA118" s="321" t="n"/>
      <c r="AB118" s="322" t="n">
        <v>0.844714</v>
      </c>
      <c r="AC118" s="322" t="n">
        <v>0.844714</v>
      </c>
      <c r="AD118" s="124" t="n">
        <v>0</v>
      </c>
      <c r="AE118" s="124" t="n">
        <v>2827.9</v>
      </c>
      <c r="AF118" s="124" t="n">
        <v>0</v>
      </c>
      <c r="AG118" s="124">
        <f>SUM(AD118:AF118)</f>
        <v/>
      </c>
      <c r="AH118" s="124">
        <f>(AD118*AB118)+((AE118+AF118)*AC118)</f>
        <v/>
      </c>
      <c r="AI118" s="124">
        <f>AD118-AS118</f>
        <v/>
      </c>
      <c r="AJ118" s="124">
        <f>AE118-AT118</f>
        <v/>
      </c>
      <c r="AK118" s="124">
        <f>AF118-AU118</f>
        <v/>
      </c>
      <c r="AL118" s="210">
        <f>SUM(AI118:AK118)</f>
        <v/>
      </c>
      <c r="AM118" s="337">
        <f>(AI118*AB118)+((AJ118+AK118)*AC118)</f>
        <v/>
      </c>
      <c r="AN118" s="124" t="n">
        <v>0</v>
      </c>
      <c r="AO118" s="124">
        <f>8842+274.29</f>
        <v/>
      </c>
      <c r="AP118" s="124" t="n">
        <v>0</v>
      </c>
      <c r="AQ118" s="143">
        <f>SUM(AN118:AP118)</f>
        <v/>
      </c>
      <c r="AR118" s="331">
        <f>(AN118*AB118)+((AO118+AP118)*AC118)</f>
        <v/>
      </c>
      <c r="AS118" s="124" t="n">
        <v>0</v>
      </c>
      <c r="AT118" s="124" t="n">
        <v>603</v>
      </c>
      <c r="AU118" s="124" t="n">
        <v>0</v>
      </c>
      <c r="AV118" s="124">
        <f>SUM(AS118:AU118)</f>
        <v/>
      </c>
      <c r="AW118" s="124" t="n">
        <v>0</v>
      </c>
      <c r="AX118" s="124" t="n">
        <v>180.9</v>
      </c>
      <c r="AY118" s="124" t="n">
        <v>0</v>
      </c>
      <c r="AZ118" s="124">
        <f>SUM(AW118:AY118)</f>
        <v/>
      </c>
      <c r="BA118" s="335">
        <f>(AW118*AB118)+((AX118+AY118)*AC118)</f>
        <v/>
      </c>
      <c r="BB118" s="122">
        <f>AN118-AW118</f>
        <v/>
      </c>
      <c r="BC118" s="141">
        <f>BB118*AB118</f>
        <v/>
      </c>
      <c r="BD118" s="122">
        <f>AO118-AX118</f>
        <v/>
      </c>
      <c r="BE118" s="122">
        <f>BD118*AC118</f>
        <v/>
      </c>
      <c r="BF118" s="122">
        <f>AP118-AY118</f>
        <v/>
      </c>
      <c r="BG118" s="122">
        <f>BF118*AC118</f>
        <v/>
      </c>
      <c r="BH118" s="122">
        <f>BB118+BD118+BF118</f>
        <v/>
      </c>
      <c r="BI118" s="122">
        <f>BC118+BE118+BG118</f>
        <v/>
      </c>
      <c r="BJ118" s="324">
        <f>BL118+BS118+BV118+BY118+CB118+CE118+CH118+CK118</f>
        <v/>
      </c>
      <c r="BK118" s="320">
        <f>((AI118+AW118)*AB118)+((AJ118+AK118+AX118+AY118)*AC118)</f>
        <v/>
      </c>
      <c r="BL118" s="132">
        <f>BM118+BN118+AL118</f>
        <v/>
      </c>
      <c r="BM118" s="133">
        <f>AW118</f>
        <v/>
      </c>
      <c r="BN118" s="133">
        <f>AX118+AY118</f>
        <v/>
      </c>
      <c r="BO118" s="320" t="n"/>
      <c r="BP118" s="357" t="n">
        <v>0.844714</v>
      </c>
      <c r="BQ118" s="320" t="n"/>
      <c r="BR118" s="320">
        <f>BN118*BP118</f>
        <v/>
      </c>
      <c r="BS118" s="124" t="n">
        <v>1216.4</v>
      </c>
      <c r="BT118" s="344" t="n">
        <v>0.844714</v>
      </c>
      <c r="BU118" s="320">
        <f>BS118*BT118</f>
        <v/>
      </c>
      <c r="BV118" s="124" t="n">
        <v>128.2</v>
      </c>
      <c r="BW118" s="344" t="n">
        <v>0.7940430000000001</v>
      </c>
      <c r="BX118" s="320">
        <f>BV118*BW118</f>
        <v/>
      </c>
      <c r="BY118" s="124" t="n"/>
      <c r="BZ118" s="320" t="n"/>
      <c r="CA118" s="124">
        <f>BY118*BZ118</f>
        <v/>
      </c>
      <c r="CB118" s="124" t="n"/>
      <c r="CC118" s="320" t="n"/>
      <c r="CD118" s="124" t="n"/>
      <c r="CE118" s="124" t="n"/>
      <c r="CF118" s="320" t="n"/>
      <c r="CG118" s="124" t="n"/>
      <c r="CH118" s="124" t="n"/>
      <c r="CI118" s="320" t="n"/>
      <c r="CJ118" s="124" t="n"/>
      <c r="CK118" s="124" t="n"/>
      <c r="CL118" s="320" t="n"/>
      <c r="CM118" s="124" t="n"/>
      <c r="CN118" s="320">
        <f>BK118+BU118+BX118+CA118+CD118+CG118+CJ118+CM118</f>
        <v/>
      </c>
      <c r="CO118" s="141">
        <f>(AV118-(AZ118+BV118+BY85+CB118+CE118+CH118+CK118+BS118)+CO117)</f>
        <v/>
      </c>
      <c r="CP118" s="320">
        <f>CR118*G118</f>
        <v/>
      </c>
      <c r="CQ118" s="124">
        <f>AL118+AZ118+AQ118</f>
        <v/>
      </c>
      <c r="CR118" s="159">
        <f>AV118-AZ118-BS118-BV118-BY118-CB118</f>
        <v/>
      </c>
      <c r="CS118" s="155" t="n"/>
      <c r="CT118" s="155" t="n"/>
      <c r="CU118" s="177" t="n"/>
      <c r="CV118" s="177" t="n"/>
      <c r="CW118" s="325" t="n"/>
    </row>
    <row r="119" ht="19.9" customFormat="1" customHeight="1" s="67">
      <c r="A119" s="233" t="inlineStr">
        <is>
          <t>Casa do Pica-Pau</t>
        </is>
      </c>
      <c r="B119" s="66" t="n">
        <v>10036302595</v>
      </c>
      <c r="C119" s="233" t="inlineStr">
        <is>
          <t>Itaberaí</t>
        </is>
      </c>
      <c r="D119" s="140" t="inlineStr">
        <is>
          <t>Itaberaí</t>
        </is>
      </c>
      <c r="E119" s="140" t="inlineStr">
        <is>
          <t>Dezembro/2022</t>
        </is>
      </c>
      <c r="F119" s="141" t="n">
        <v>3801.5</v>
      </c>
      <c r="G119" s="326" t="n">
        <v>0.96</v>
      </c>
      <c r="H119" s="173">
        <f>F119*G119</f>
        <v/>
      </c>
      <c r="I119" s="140" t="n"/>
      <c r="J119" s="144" t="inlineStr">
        <is>
          <t>1 GROWATT DE 30 KW</t>
        </is>
      </c>
      <c r="K119" s="66" t="inlineStr">
        <is>
          <t>53 de 550W</t>
        </is>
      </c>
      <c r="L119" s="140" t="n"/>
      <c r="M119" s="145" t="inlineStr">
        <is>
          <t>Setembro/2023</t>
        </is>
      </c>
      <c r="N119" s="145" t="inlineStr">
        <is>
          <t>24/08/2023 a 21/09/2023</t>
        </is>
      </c>
      <c r="O119" s="331" t="n">
        <v>7565.29</v>
      </c>
      <c r="P119" s="331" t="n">
        <v>0</v>
      </c>
      <c r="Q119" s="331" t="n">
        <v>0</v>
      </c>
      <c r="R119" s="147" t="n"/>
      <c r="S119" s="331" t="n">
        <v>0</v>
      </c>
      <c r="T119" s="331" t="n">
        <v>0</v>
      </c>
      <c r="U119" s="331" t="n">
        <v>0</v>
      </c>
      <c r="V119" s="331" t="n">
        <v>0</v>
      </c>
      <c r="W119" s="331" t="n">
        <v>0</v>
      </c>
      <c r="X119" s="331" t="n"/>
      <c r="Y119" s="331" t="n"/>
      <c r="Z119" s="331" t="n"/>
      <c r="AA119" s="331" t="n"/>
      <c r="AB119" s="332" t="n">
        <v>0.8221377</v>
      </c>
      <c r="AC119" s="332" t="n">
        <v>0.8221377</v>
      </c>
      <c r="AD119" s="143" t="n">
        <v>0</v>
      </c>
      <c r="AE119" s="173" t="n">
        <v>2893.6</v>
      </c>
      <c r="AF119" s="143" t="n">
        <v>0</v>
      </c>
      <c r="AG119" s="143">
        <f>SUM(AD119:AF119)</f>
        <v/>
      </c>
      <c r="AH119" s="143">
        <f>(AD119*AB119)+((AE119+AF119)*AC119)</f>
        <v/>
      </c>
      <c r="AI119" s="143">
        <f>AD119-AS119</f>
        <v/>
      </c>
      <c r="AJ119" s="143">
        <f>AE119-AT119</f>
        <v/>
      </c>
      <c r="AK119" s="143">
        <f>AF119-AU119</f>
        <v/>
      </c>
      <c r="AL119" s="208">
        <f>SUM(AI119:AK119)</f>
        <v/>
      </c>
      <c r="AM119" s="336">
        <f>(AI119*AB119)+((AJ119+AK119)*AC119)</f>
        <v/>
      </c>
      <c r="AN119" s="143" t="n">
        <v>0</v>
      </c>
      <c r="AO119" s="143">
        <f>9060+274.29</f>
        <v/>
      </c>
      <c r="AP119" s="143" t="n">
        <v>0</v>
      </c>
      <c r="AQ119" s="124">
        <f>SUM(AN119:AP119)</f>
        <v/>
      </c>
      <c r="AR119" s="321">
        <f>(AN119*AB119)+((AO119+AP119)*AC119)</f>
        <v/>
      </c>
      <c r="AS119" s="143" t="n">
        <v>0</v>
      </c>
      <c r="AT119" s="143" t="n">
        <v>441</v>
      </c>
      <c r="AU119" s="143" t="n">
        <v>0</v>
      </c>
      <c r="AV119" s="143">
        <f>SUM(AS119:AU119)</f>
        <v/>
      </c>
      <c r="AW119" s="143" t="n">
        <v>0</v>
      </c>
      <c r="AX119" s="143" t="n">
        <v>132.3</v>
      </c>
      <c r="AY119" s="143" t="n">
        <v>0</v>
      </c>
      <c r="AZ119" s="143">
        <f>SUM(AW119:AY119)</f>
        <v/>
      </c>
      <c r="BA119" s="335">
        <f>(AW119*AB119)+((AX119+AY119)*AC119)</f>
        <v/>
      </c>
      <c r="BB119" s="141">
        <f>AN119-AW119</f>
        <v/>
      </c>
      <c r="BC119" s="141">
        <f>BB119*AB119</f>
        <v/>
      </c>
      <c r="BD119" s="141">
        <f>AO119-AX119</f>
        <v/>
      </c>
      <c r="BE119" s="141">
        <f>BD119*AC119</f>
        <v/>
      </c>
      <c r="BF119" s="141">
        <f>AP119-AY119</f>
        <v/>
      </c>
      <c r="BG119" s="141">
        <f>BF119*AC119</f>
        <v/>
      </c>
      <c r="BH119" s="141">
        <f>BB119+BD119+BF119</f>
        <v/>
      </c>
      <c r="BI119" s="141">
        <f>BC119+BE119+BG119</f>
        <v/>
      </c>
      <c r="BJ119" s="324">
        <f>BL119+BS119+BV119+BY119+CB119+CE119+CH119+CK119</f>
        <v/>
      </c>
      <c r="BK119" s="320">
        <f>((AI119+AW119)*AB119)+((AJ119+AK119+AX119+AY119)*AC119)</f>
        <v/>
      </c>
      <c r="BL119" s="132">
        <f>BM119+BN119+AL119</f>
        <v/>
      </c>
      <c r="BM119" s="133">
        <f>AW119</f>
        <v/>
      </c>
      <c r="BN119" s="133">
        <f>AX119+AY119</f>
        <v/>
      </c>
      <c r="BO119" s="334" t="n"/>
      <c r="BP119" s="358" t="n">
        <v>0.8221377</v>
      </c>
      <c r="BQ119" s="320" t="n"/>
      <c r="BR119" s="320">
        <f>BN119*BP119</f>
        <v/>
      </c>
      <c r="BS119" s="143" t="n">
        <v>264.6</v>
      </c>
      <c r="BT119" s="359" t="n">
        <v>0.822137</v>
      </c>
      <c r="BU119" s="320">
        <f>BS119*BT119</f>
        <v/>
      </c>
      <c r="BV119" s="143" t="n">
        <v>60.3</v>
      </c>
      <c r="BW119" s="359" t="n">
        <v>0.77282</v>
      </c>
      <c r="BX119" s="320">
        <f>BV119*BW119</f>
        <v/>
      </c>
      <c r="BY119" s="143" t="n"/>
      <c r="BZ119" s="334" t="n"/>
      <c r="CA119" s="124">
        <f>BY119*BZ119</f>
        <v/>
      </c>
      <c r="CB119" s="143" t="n"/>
      <c r="CC119" s="334" t="n"/>
      <c r="CD119" s="143" t="n"/>
      <c r="CE119" s="143" t="n"/>
      <c r="CF119" s="334" t="n"/>
      <c r="CG119" s="143" t="n"/>
      <c r="CH119" s="143" t="n"/>
      <c r="CI119" s="334" t="n"/>
      <c r="CJ119" s="143" t="n"/>
      <c r="CK119" s="143" t="n"/>
      <c r="CL119" s="334" t="n"/>
      <c r="CM119" s="143" t="n"/>
      <c r="CN119" s="320">
        <f>BK119+BU119+BX119+CA119+CD119+CG119+CJ119+CM119</f>
        <v/>
      </c>
      <c r="CO119" s="141">
        <f>(AV119-(AZ119+BV119+BY86+CB119+CE119+CH119+CK119+BS119)+CO118)</f>
        <v/>
      </c>
      <c r="CP119" s="320">
        <f>CR119*G119</f>
        <v/>
      </c>
      <c r="CQ119" s="124">
        <f>AL119+AZ119+AQ119</f>
        <v/>
      </c>
      <c r="CR119" s="159">
        <f>AV119-AZ119-BS119-BV119-BY119-CB119</f>
        <v/>
      </c>
      <c r="CS119" s="155" t="n"/>
      <c r="CT119" s="155" t="n"/>
      <c r="CU119" s="177" t="n"/>
      <c r="CV119" s="177" t="n"/>
      <c r="CW119" s="325" t="n"/>
    </row>
    <row r="120" ht="19.9" customFormat="1" customHeight="1" s="67">
      <c r="A120" s="120" t="inlineStr">
        <is>
          <t>Casa do Pica-Pau</t>
        </is>
      </c>
      <c r="B120" s="65" t="n">
        <v>10036302595</v>
      </c>
      <c r="C120" s="120" t="inlineStr">
        <is>
          <t>Itaberaí</t>
        </is>
      </c>
      <c r="D120" s="121" t="inlineStr">
        <is>
          <t>Itaberaí</t>
        </is>
      </c>
      <c r="E120" s="121" t="inlineStr">
        <is>
          <t>Dezembro/2022</t>
        </is>
      </c>
      <c r="F120" s="122" t="n">
        <v>3801.5</v>
      </c>
      <c r="G120" s="320" t="n">
        <v>0.96</v>
      </c>
      <c r="H120" s="124">
        <f>F120*G120</f>
        <v/>
      </c>
      <c r="I120" s="121" t="n"/>
      <c r="J120" s="125" t="inlineStr">
        <is>
          <t>1 GROWATT DE 30 KW</t>
        </is>
      </c>
      <c r="K120" s="65" t="inlineStr">
        <is>
          <t>53 de 550W</t>
        </is>
      </c>
      <c r="L120" s="121" t="n"/>
      <c r="M120" s="126" t="inlineStr">
        <is>
          <t>Outubro/2023</t>
        </is>
      </c>
      <c r="N120" s="126" t="inlineStr">
        <is>
          <t>21/09/2023 a 21/10/2023</t>
        </is>
      </c>
      <c r="O120" s="321" t="n">
        <v>9096.74</v>
      </c>
      <c r="P120" s="321" t="n">
        <v>0</v>
      </c>
      <c r="Q120" s="321" t="n">
        <v>0</v>
      </c>
      <c r="R120" s="207" t="n"/>
      <c r="S120" s="321" t="n">
        <v>0</v>
      </c>
      <c r="T120" s="321" t="n">
        <v>0</v>
      </c>
      <c r="U120" s="321" t="n">
        <v>0</v>
      </c>
      <c r="V120" s="321" t="n">
        <v>0</v>
      </c>
      <c r="W120" s="321" t="n">
        <v>0</v>
      </c>
      <c r="X120" s="321" t="n"/>
      <c r="Y120" s="321" t="n"/>
      <c r="Z120" s="321" t="n"/>
      <c r="AA120" s="321" t="n"/>
      <c r="AB120" s="322" t="n">
        <v>0.8394</v>
      </c>
      <c r="AC120" s="322" t="n">
        <v>0.8394</v>
      </c>
      <c r="AD120" s="124" t="n">
        <v>0</v>
      </c>
      <c r="AE120" s="124" t="n">
        <v>3615.1</v>
      </c>
      <c r="AF120" s="124" t="n">
        <v>0</v>
      </c>
      <c r="AG120" s="124">
        <f>SUM(AD120:AF120)</f>
        <v/>
      </c>
      <c r="AH120" s="124">
        <f>(AD120*AB120)+((AE120+AF120)*AC120)</f>
        <v/>
      </c>
      <c r="AI120" s="124">
        <f>AD120-AS120</f>
        <v/>
      </c>
      <c r="AJ120" s="124">
        <f>AE120-AT120</f>
        <v/>
      </c>
      <c r="AK120" s="124">
        <f>AF120-AU120</f>
        <v/>
      </c>
      <c r="AL120" s="210">
        <f>SUM(AI120:AK120)</f>
        <v/>
      </c>
      <c r="AM120" s="337">
        <f>(AI120*AB120)+((AJ120+AK120)*AC120)</f>
        <v/>
      </c>
      <c r="AN120" s="143" t="n">
        <v>0</v>
      </c>
      <c r="AO120" s="143">
        <f>10583+274.29</f>
        <v/>
      </c>
      <c r="AP120" s="143" t="n">
        <v>0</v>
      </c>
      <c r="AQ120" s="143">
        <f>SUM(AN120:AP120)</f>
        <v/>
      </c>
      <c r="AR120" s="331">
        <f>(AN120*AB120)+((AO120+AP120)*AC120)</f>
        <v/>
      </c>
      <c r="AS120" s="143" t="n">
        <v>0</v>
      </c>
      <c r="AT120" s="143" t="n">
        <v>67</v>
      </c>
      <c r="AU120" s="143" t="n">
        <v>0</v>
      </c>
      <c r="AV120" s="143">
        <f>SUM(AS120:AU120)</f>
        <v/>
      </c>
      <c r="AW120" s="143" t="n">
        <v>0</v>
      </c>
      <c r="AX120" s="143" t="n">
        <v>20.1</v>
      </c>
      <c r="AY120" s="143" t="n">
        <v>0</v>
      </c>
      <c r="AZ120" s="143">
        <f>SUM(AW120:AY120)</f>
        <v/>
      </c>
      <c r="BA120" s="335">
        <f>(AW120*AB120)+((AX120+AY120)*AC120)</f>
        <v/>
      </c>
      <c r="BB120" s="141">
        <f>AN120-AW120</f>
        <v/>
      </c>
      <c r="BC120" s="141">
        <f>BB120*AB120</f>
        <v/>
      </c>
      <c r="BD120" s="141">
        <f>AO120-AX120</f>
        <v/>
      </c>
      <c r="BE120" s="141">
        <f>BD120*AC120</f>
        <v/>
      </c>
      <c r="BF120" s="141">
        <f>AP120-AY120</f>
        <v/>
      </c>
      <c r="BG120" s="141">
        <f>BF120*AC120</f>
        <v/>
      </c>
      <c r="BH120" s="141">
        <f>BB120+BD120+BF120</f>
        <v/>
      </c>
      <c r="BI120" s="141">
        <f>BC120+BE120+BG120</f>
        <v/>
      </c>
      <c r="BJ120" s="324">
        <f>BL120+BS120+BV120+BY120+CB120+CE120+CH120+CK120</f>
        <v/>
      </c>
      <c r="BK120" s="320">
        <f>((AI120+AW120)*AB120)+((AJ120+AK120+AX120+AY120)*AC120)</f>
        <v/>
      </c>
      <c r="BL120" s="132">
        <f>BM120+BN120+AL120</f>
        <v/>
      </c>
      <c r="BM120" s="133">
        <f>AW120</f>
        <v/>
      </c>
      <c r="BN120" s="133">
        <f>AX120+AY120</f>
        <v/>
      </c>
      <c r="BO120" s="334" t="n"/>
      <c r="BP120" s="358" t="n">
        <v>0.8394</v>
      </c>
      <c r="BQ120" s="320" t="n"/>
      <c r="BR120" s="320">
        <f>BN120*BP120</f>
        <v/>
      </c>
      <c r="BS120" s="143" t="n">
        <v>40.2</v>
      </c>
      <c r="BT120" s="359" t="n">
        <v>0.847664</v>
      </c>
      <c r="BU120" s="320">
        <f>BS120*BT120</f>
        <v/>
      </c>
      <c r="BV120" s="143" t="n">
        <v>44.1</v>
      </c>
      <c r="BW120" s="359" t="n">
        <v>0.789048</v>
      </c>
      <c r="BX120" s="320">
        <f>BV120*BW120</f>
        <v/>
      </c>
      <c r="BY120" s="143" t="n"/>
      <c r="BZ120" s="334" t="n"/>
      <c r="CA120" s="124">
        <f>BY120*BZ120</f>
        <v/>
      </c>
      <c r="CB120" s="143" t="n"/>
      <c r="CC120" s="334" t="n"/>
      <c r="CD120" s="143" t="n"/>
      <c r="CE120" s="143" t="n"/>
      <c r="CF120" s="334" t="n"/>
      <c r="CG120" s="143" t="n"/>
      <c r="CH120" s="143" t="n"/>
      <c r="CI120" s="334" t="n"/>
      <c r="CJ120" s="143" t="n"/>
      <c r="CK120" s="143" t="n"/>
      <c r="CL120" s="334" t="n"/>
      <c r="CM120" s="143" t="n"/>
      <c r="CN120" s="320">
        <f>BK120+BU120+BX120+CA120+CD120+CG120+CJ120+CM120</f>
        <v/>
      </c>
      <c r="CO120" s="141">
        <f>(AV120-(AZ120+BV120+BY87+CB120+CE120+CH120+CK120+BS120)+CO119)</f>
        <v/>
      </c>
      <c r="CP120" s="320">
        <f>CR120*G120</f>
        <v/>
      </c>
      <c r="CQ120" s="124">
        <f>AL120+AZ120+AQ120</f>
        <v/>
      </c>
      <c r="CR120" s="159">
        <f>AV120-AZ120-BS120-BV120-BY120-CB120</f>
        <v/>
      </c>
      <c r="CS120" s="155" t="n"/>
      <c r="CT120" s="155" t="n"/>
      <c r="CU120" s="177" t="n"/>
      <c r="CV120" s="177" t="n"/>
      <c r="CW120" s="325" t="n"/>
    </row>
    <row r="121" ht="19.9" customFormat="1" customHeight="1" s="67">
      <c r="A121" s="233" t="inlineStr">
        <is>
          <t>Casa do Pica-Pau</t>
        </is>
      </c>
      <c r="B121" s="66" t="n">
        <v>10036302595</v>
      </c>
      <c r="C121" s="233" t="inlineStr">
        <is>
          <t>Itaberaí</t>
        </is>
      </c>
      <c r="D121" s="140" t="inlineStr">
        <is>
          <t>Itaberaí</t>
        </is>
      </c>
      <c r="E121" s="140" t="inlineStr">
        <is>
          <t>Dezembro/2022</t>
        </is>
      </c>
      <c r="F121" s="141" t="n">
        <v>3801.5</v>
      </c>
      <c r="G121" s="326" t="n">
        <v>0.96</v>
      </c>
      <c r="H121" s="173">
        <f>F121*G121</f>
        <v/>
      </c>
      <c r="I121" s="140" t="n"/>
      <c r="J121" s="144" t="inlineStr">
        <is>
          <t>1 GROWATT DE 30 KW</t>
        </is>
      </c>
      <c r="K121" s="66" t="inlineStr">
        <is>
          <t>53 de 550W</t>
        </is>
      </c>
      <c r="L121" s="140" t="n"/>
      <c r="M121" s="145" t="inlineStr">
        <is>
          <t>Novembro/2023</t>
        </is>
      </c>
      <c r="N121" s="145" t="inlineStr">
        <is>
          <t>21/10/2023 a 23/11/2023</t>
        </is>
      </c>
      <c r="O121" s="331" t="n">
        <v>11355.58</v>
      </c>
      <c r="P121" s="331" t="n">
        <v>0</v>
      </c>
      <c r="Q121" s="331" t="n">
        <v>0</v>
      </c>
      <c r="R121" s="147" t="n"/>
      <c r="S121" s="331" t="n">
        <v>0</v>
      </c>
      <c r="T121" s="331" t="n">
        <v>0</v>
      </c>
      <c r="U121" s="331" t="n">
        <v>0</v>
      </c>
      <c r="V121" s="331" t="n">
        <v>0</v>
      </c>
      <c r="W121" s="331" t="n">
        <v>0</v>
      </c>
      <c r="X121" s="331" t="n"/>
      <c r="Y121" s="331" t="n"/>
      <c r="Z121" s="331" t="n"/>
      <c r="AA121" s="331" t="n"/>
      <c r="AB121" s="332" t="n">
        <v>0.899595</v>
      </c>
      <c r="AC121" s="332" t="n">
        <v>0.899595</v>
      </c>
      <c r="AD121" s="143" t="n">
        <v>0</v>
      </c>
      <c r="AE121" s="173" t="n">
        <v>3158.4</v>
      </c>
      <c r="AF121" s="143" t="n">
        <v>0</v>
      </c>
      <c r="AG121" s="143">
        <f>SUM(AD121:AF121)</f>
        <v/>
      </c>
      <c r="AH121" s="143">
        <f>(AD121*AB121)+((AE121+AF121)*AC121)</f>
        <v/>
      </c>
      <c r="AI121" s="143">
        <f>AD121-AS121</f>
        <v/>
      </c>
      <c r="AJ121" s="143">
        <f>AE121-AT121</f>
        <v/>
      </c>
      <c r="AK121" s="143">
        <f>AF121-AU121</f>
        <v/>
      </c>
      <c r="AL121" s="208">
        <f>SUM(AI121:AK121)</f>
        <v/>
      </c>
      <c r="AM121" s="336">
        <f>(AI121*AB121)+((AJ121+AK121)*AC121)</f>
        <v/>
      </c>
      <c r="AN121" s="143" t="n">
        <v>0</v>
      </c>
      <c r="AO121" s="143" t="n">
        <v>12689.29</v>
      </c>
      <c r="AP121" s="143" t="n">
        <v>0</v>
      </c>
      <c r="AQ121" s="124">
        <f>SUM(AN121:AP121)</f>
        <v/>
      </c>
      <c r="AR121" s="321">
        <f>(AN121*AB121)+((AO121+AP121)*AC121)</f>
        <v/>
      </c>
      <c r="AS121" s="143" t="n">
        <v>0</v>
      </c>
      <c r="AT121" s="143" t="n">
        <v>221</v>
      </c>
      <c r="AU121" s="143" t="n">
        <v>0</v>
      </c>
      <c r="AV121" s="143">
        <f>SUM(AS121:AU121)</f>
        <v/>
      </c>
      <c r="AW121" s="143" t="n">
        <v>0</v>
      </c>
      <c r="AX121" s="143" t="n">
        <v>66.3</v>
      </c>
      <c r="AY121" s="143" t="n">
        <v>0</v>
      </c>
      <c r="AZ121" s="143">
        <f>SUM(AW121:AY121)</f>
        <v/>
      </c>
      <c r="BA121" s="335">
        <f>(AW121*AB121)+((AX121+AY121)*AC121)</f>
        <v/>
      </c>
      <c r="BB121" s="141">
        <f>AN121-AW121</f>
        <v/>
      </c>
      <c r="BC121" s="141">
        <f>BB121*AB121</f>
        <v/>
      </c>
      <c r="BD121" s="141">
        <f>AO121-AX121</f>
        <v/>
      </c>
      <c r="BE121" s="141">
        <f>BD121*AC121</f>
        <v/>
      </c>
      <c r="BF121" s="141">
        <f>AP121-AY121</f>
        <v/>
      </c>
      <c r="BG121" s="141">
        <f>BF121*AC121</f>
        <v/>
      </c>
      <c r="BH121" s="141">
        <f>BB121+BD121+BF121</f>
        <v/>
      </c>
      <c r="BI121" s="141">
        <f>BC121+BE121+BG121</f>
        <v/>
      </c>
      <c r="BJ121" s="324">
        <f>BL121+BS121+BV121+BY121+CB121+CE121+CH121+CK121</f>
        <v/>
      </c>
      <c r="BK121" s="320">
        <f>((AI121+AW121)*AB121)+((AJ121+AK121+AX121+AY121)*AC121)</f>
        <v/>
      </c>
      <c r="BL121" s="132">
        <f>BM121+BN121+AL121</f>
        <v/>
      </c>
      <c r="BM121" s="133">
        <f>AW121</f>
        <v/>
      </c>
      <c r="BN121" s="133">
        <f>AX121+AY121</f>
        <v/>
      </c>
      <c r="BO121" s="334" t="n"/>
      <c r="BP121" s="360" t="n">
        <v>0.899595</v>
      </c>
      <c r="BQ121" s="320" t="n"/>
      <c r="BR121" s="320">
        <f>BN121*BP121</f>
        <v/>
      </c>
      <c r="BS121" s="143" t="n">
        <v>132.6</v>
      </c>
      <c r="BT121" s="359" t="n">
        <v>0.899595</v>
      </c>
      <c r="BU121" s="320">
        <f>BS121*BT121</f>
        <v/>
      </c>
      <c r="BV121" s="143" t="n">
        <v>6.7</v>
      </c>
      <c r="BW121" s="359" t="n">
        <v>0.8865459999999999</v>
      </c>
      <c r="BX121" s="320">
        <f>BV121*BW121</f>
        <v/>
      </c>
      <c r="BY121" s="143" t="n"/>
      <c r="BZ121" s="334" t="n"/>
      <c r="CA121" s="124">
        <f>BY121*BZ121</f>
        <v/>
      </c>
      <c r="CB121" s="143" t="n"/>
      <c r="CC121" s="334" t="n"/>
      <c r="CD121" s="143" t="n"/>
      <c r="CE121" s="143" t="n"/>
      <c r="CF121" s="334" t="n"/>
      <c r="CG121" s="143" t="n"/>
      <c r="CH121" s="143" t="n"/>
      <c r="CI121" s="334" t="n"/>
      <c r="CJ121" s="143" t="n"/>
      <c r="CK121" s="143" t="n"/>
      <c r="CL121" s="334" t="n"/>
      <c r="CM121" s="143" t="n"/>
      <c r="CN121" s="320">
        <f>BK121+BU121+BX121+CA121+CD121+CG121+CJ121+CM121</f>
        <v/>
      </c>
      <c r="CO121" s="141">
        <f>(AV121-(AZ121+BV121+BY88+CB121+CE121+CH121+CK121+BS121)+CO120)</f>
        <v/>
      </c>
      <c r="CP121" s="320">
        <f>CR121*G121</f>
        <v/>
      </c>
      <c r="CQ121" s="124">
        <f>AL121+AZ121+AQ121</f>
        <v/>
      </c>
      <c r="CR121" s="159">
        <f>AV121-AZ121-BS121-BV121-BY121-CB121</f>
        <v/>
      </c>
      <c r="CS121" s="155" t="n"/>
      <c r="CT121" s="155" t="n"/>
      <c r="CU121" s="177" t="n"/>
      <c r="CV121" s="177" t="n"/>
      <c r="CW121" s="325" t="n"/>
    </row>
    <row r="122" ht="19.9" customFormat="1" customHeight="1" s="67">
      <c r="A122" s="120" t="inlineStr">
        <is>
          <t>Casa do Pica-Pau</t>
        </is>
      </c>
      <c r="B122" s="65" t="n">
        <v>10036302595</v>
      </c>
      <c r="C122" s="120" t="inlineStr">
        <is>
          <t>Itaberaí</t>
        </is>
      </c>
      <c r="D122" s="121" t="inlineStr">
        <is>
          <t>Itaberaí</t>
        </is>
      </c>
      <c r="E122" s="121" t="inlineStr">
        <is>
          <t>Dezembro/2022</t>
        </is>
      </c>
      <c r="F122" s="122" t="n">
        <v>3801.5</v>
      </c>
      <c r="G122" s="320" t="n">
        <v>0.96</v>
      </c>
      <c r="H122" s="124">
        <f>F122*G122</f>
        <v/>
      </c>
      <c r="I122" s="121" t="n"/>
      <c r="J122" s="125" t="inlineStr">
        <is>
          <t>1 GROWATT DE 30 KW</t>
        </is>
      </c>
      <c r="K122" s="65" t="inlineStr">
        <is>
          <t>53 de 550W</t>
        </is>
      </c>
      <c r="L122" s="121" t="n"/>
      <c r="M122" s="126" t="inlineStr">
        <is>
          <t>Dezembro/2023</t>
        </is>
      </c>
      <c r="N122" s="126" t="inlineStr">
        <is>
          <t>23/11/2023 a 26/12/2023</t>
        </is>
      </c>
      <c r="O122" s="321" t="n">
        <v>9556.07</v>
      </c>
      <c r="P122" s="321" t="n">
        <v>0</v>
      </c>
      <c r="Q122" s="321" t="n">
        <v>0</v>
      </c>
      <c r="R122" s="207" t="n"/>
      <c r="S122" s="321" t="n">
        <v>0</v>
      </c>
      <c r="T122" s="321" t="n">
        <v>0</v>
      </c>
      <c r="U122" s="321" t="n">
        <v>0</v>
      </c>
      <c r="V122" s="321" t="n">
        <v>0</v>
      </c>
      <c r="W122" s="321" t="n">
        <v>0</v>
      </c>
      <c r="X122" s="321" t="n"/>
      <c r="Y122" s="321" t="n"/>
      <c r="Z122" s="321" t="n"/>
      <c r="AA122" s="321" t="n"/>
      <c r="AB122" s="322" t="n">
        <v>0.905265</v>
      </c>
      <c r="AC122" s="322" t="n">
        <v>0.905265</v>
      </c>
      <c r="AD122" s="124" t="n">
        <v>0</v>
      </c>
      <c r="AE122" s="124" t="n">
        <v>3315.7</v>
      </c>
      <c r="AF122" s="124" t="n">
        <v>0</v>
      </c>
      <c r="AG122" s="124">
        <f>SUM(AD122:AF122)</f>
        <v/>
      </c>
      <c r="AH122" s="124">
        <f>(AD122*AB122)+((AE122+AF122)*AC122)</f>
        <v/>
      </c>
      <c r="AI122" s="124">
        <f>AD122-AS122</f>
        <v/>
      </c>
      <c r="AJ122" s="124">
        <f>AE122-AT122</f>
        <v/>
      </c>
      <c r="AK122" s="124">
        <f>AF122-AU122</f>
        <v/>
      </c>
      <c r="AL122" s="210">
        <f>SUM(AI122:AK122)</f>
        <v/>
      </c>
      <c r="AM122" s="337">
        <f>(AI122*AB122)+((AJ122+AK122)*AC122)</f>
        <v/>
      </c>
      <c r="AN122" s="143" t="n">
        <v>0</v>
      </c>
      <c r="AO122" s="143" t="n">
        <v>10674.29</v>
      </c>
      <c r="AP122" s="143" t="n">
        <v>0</v>
      </c>
      <c r="AQ122" s="143">
        <f>SUM(AN122:AP122)</f>
        <v/>
      </c>
      <c r="AR122" s="331">
        <f>(AN122*AB122)+((AO122+AP122)*AC122)</f>
        <v/>
      </c>
      <c r="AS122" s="143" t="n">
        <v>0</v>
      </c>
      <c r="AT122" s="143" t="n">
        <v>394</v>
      </c>
      <c r="AU122" s="143" t="n">
        <v>0</v>
      </c>
      <c r="AV122" s="143">
        <f>SUM(AS122:AU122)</f>
        <v/>
      </c>
      <c r="AW122" s="143" t="n">
        <v>0</v>
      </c>
      <c r="AX122" s="143" t="n">
        <v>118.2</v>
      </c>
      <c r="AY122" s="143" t="n">
        <v>0</v>
      </c>
      <c r="AZ122" s="143">
        <f>SUM(AW122:AY122)</f>
        <v/>
      </c>
      <c r="BA122" s="335">
        <f>(AW122*AB122)+((AX122+AY122)*AC122)</f>
        <v/>
      </c>
      <c r="BB122" s="141">
        <f>AN122-AW122</f>
        <v/>
      </c>
      <c r="BC122" s="141">
        <f>BB122*AB122</f>
        <v/>
      </c>
      <c r="BD122" s="141">
        <f>AO122-AX122</f>
        <v/>
      </c>
      <c r="BE122" s="141">
        <f>BD122*AC122</f>
        <v/>
      </c>
      <c r="BF122" s="141">
        <f>AP122-AY122</f>
        <v/>
      </c>
      <c r="BG122" s="141">
        <f>BF122*AC122</f>
        <v/>
      </c>
      <c r="BH122" s="141">
        <f>BB122+BD122+BF122</f>
        <v/>
      </c>
      <c r="BI122" s="141">
        <f>BC122+BE122+BG122</f>
        <v/>
      </c>
      <c r="BJ122" s="324">
        <f>BL122+BS122+BV122+BY122+CB122+CE122+CH122+CK122</f>
        <v/>
      </c>
      <c r="BK122" s="320">
        <f>((AI122+AW122)*AB122)+((AJ122+AK122+AX122+AY122)*AC122)</f>
        <v/>
      </c>
      <c r="BL122" s="132">
        <f>BM122+BN122+AL122</f>
        <v/>
      </c>
      <c r="BM122" s="133">
        <f>AW122</f>
        <v/>
      </c>
      <c r="BN122" s="133">
        <f>AX122+AY122</f>
        <v/>
      </c>
      <c r="BO122" s="334" t="n"/>
      <c r="BP122" s="360" t="n">
        <v>0.905265</v>
      </c>
      <c r="BQ122" s="320" t="n"/>
      <c r="BR122" s="320">
        <f>BN122*BP122</f>
        <v/>
      </c>
      <c r="BS122" s="124" t="n">
        <v>236.4</v>
      </c>
      <c r="BT122" s="359" t="n">
        <v>0.905265</v>
      </c>
      <c r="BU122" s="320">
        <f>BS122*BT122</f>
        <v/>
      </c>
      <c r="BV122" s="143" t="n">
        <v>22.1</v>
      </c>
      <c r="BW122" s="359" t="n">
        <v>0.905265</v>
      </c>
      <c r="BX122" s="320">
        <f>BV122*BW122</f>
        <v/>
      </c>
      <c r="BY122" s="143" t="n"/>
      <c r="BZ122" s="334" t="n"/>
      <c r="CA122" s="124">
        <f>BY122*BZ122</f>
        <v/>
      </c>
      <c r="CB122" s="143" t="n"/>
      <c r="CC122" s="334" t="n"/>
      <c r="CD122" s="143" t="n"/>
      <c r="CE122" s="143" t="n"/>
      <c r="CF122" s="334" t="n"/>
      <c r="CG122" s="143" t="n"/>
      <c r="CH122" s="143" t="n"/>
      <c r="CI122" s="334" t="n"/>
      <c r="CJ122" s="143" t="n"/>
      <c r="CK122" s="143" t="n"/>
      <c r="CL122" s="334" t="n"/>
      <c r="CM122" s="143" t="n"/>
      <c r="CN122" s="320">
        <f>BK122+BU122+BX122+CA122+CD122+CG122+CJ122+CM122</f>
        <v/>
      </c>
      <c r="CO122" s="141">
        <f>(AV122-(AZ122+BV122+BY89+CB122+CE122+CH122+CK122+BS122)+CO121)</f>
        <v/>
      </c>
      <c r="CP122" s="320">
        <f>CR122*G122</f>
        <v/>
      </c>
      <c r="CQ122" s="124">
        <f>AL122+AZ122+AQ122</f>
        <v/>
      </c>
      <c r="CR122" s="159">
        <f>AV122-AZ122-BS122-BV122-BY122-CB122</f>
        <v/>
      </c>
      <c r="CS122" s="155" t="n"/>
      <c r="CT122" s="155" t="n"/>
      <c r="CU122" s="177" t="n"/>
      <c r="CV122" s="177" t="n"/>
      <c r="CW122" s="325" t="n"/>
    </row>
    <row r="123" ht="19.9" customFormat="1" customHeight="1" s="67">
      <c r="A123" s="233" t="inlineStr">
        <is>
          <t>Casa do Pica-Pau</t>
        </is>
      </c>
      <c r="B123" s="66" t="n">
        <v>10036302595</v>
      </c>
      <c r="C123" s="233" t="inlineStr">
        <is>
          <t>Itaberaí</t>
        </is>
      </c>
      <c r="D123" s="140" t="inlineStr">
        <is>
          <t>Itaberaí</t>
        </is>
      </c>
      <c r="E123" s="140" t="inlineStr">
        <is>
          <t>Dezembro/2022</t>
        </is>
      </c>
      <c r="F123" s="141" t="n">
        <v>3801.5</v>
      </c>
      <c r="G123" s="326" t="n">
        <v>0.96</v>
      </c>
      <c r="H123" s="173">
        <f>F123*G123</f>
        <v/>
      </c>
      <c r="I123" s="140" t="n"/>
      <c r="J123" s="144" t="inlineStr">
        <is>
          <t>1 GROWATT DE 30 KW</t>
        </is>
      </c>
      <c r="K123" s="66" t="inlineStr">
        <is>
          <t>53 de 550W</t>
        </is>
      </c>
      <c r="L123" s="140" t="n"/>
      <c r="M123" s="145" t="inlineStr">
        <is>
          <t>Janeiro/2024</t>
        </is>
      </c>
      <c r="N123" s="145" t="inlineStr">
        <is>
          <t>26/12/2023 a 24/01/2024</t>
        </is>
      </c>
      <c r="O123" s="331" t="n">
        <v>6599.94</v>
      </c>
      <c r="P123" s="331" t="n">
        <v>0</v>
      </c>
      <c r="Q123" s="331" t="n">
        <v>0</v>
      </c>
      <c r="R123" s="147" t="n">
        <v>0</v>
      </c>
      <c r="S123" s="331" t="n">
        <v>0</v>
      </c>
      <c r="T123" s="331" t="n">
        <v>0</v>
      </c>
      <c r="U123" s="331" t="n">
        <v>0</v>
      </c>
      <c r="V123" s="331" t="n">
        <v>0</v>
      </c>
      <c r="W123" s="331" t="n">
        <v>0</v>
      </c>
      <c r="X123" s="331" t="n"/>
      <c r="Y123" s="331" t="n"/>
      <c r="Z123" s="331" t="n">
        <v>-1710.61</v>
      </c>
      <c r="AA123" s="331" t="n"/>
      <c r="AB123" s="332" t="n">
        <v>0.8925999999999999</v>
      </c>
      <c r="AC123" s="332" t="n">
        <v>0.8925999999999999</v>
      </c>
      <c r="AD123" s="143" t="n">
        <v>0</v>
      </c>
      <c r="AE123" s="173" t="n">
        <v>3493.4</v>
      </c>
      <c r="AF123" s="143" t="n">
        <v>0</v>
      </c>
      <c r="AG123" s="143">
        <f>SUM(AD123:AF123)</f>
        <v/>
      </c>
      <c r="AH123" s="143">
        <f>(AD123*AB123)+((AE123+AF123)*AC123)</f>
        <v/>
      </c>
      <c r="AI123" s="143">
        <f>AD123-AS123</f>
        <v/>
      </c>
      <c r="AJ123" s="143">
        <f>AE123-AT123</f>
        <v/>
      </c>
      <c r="AK123" s="143">
        <f>AF123-AU123</f>
        <v/>
      </c>
      <c r="AL123" s="208">
        <f>SUM(AI123:AK123)</f>
        <v/>
      </c>
      <c r="AM123" s="336">
        <f>(AI123*AB123)+((AJ123+AK123)*AC123)</f>
        <v/>
      </c>
      <c r="AN123" s="143" t="n">
        <v>0</v>
      </c>
      <c r="AO123" s="143" t="n">
        <v>9420</v>
      </c>
      <c r="AP123" s="143" t="n">
        <v>0</v>
      </c>
      <c r="AQ123" s="143">
        <f>SUM(AN123:AP123)</f>
        <v/>
      </c>
      <c r="AR123" s="331">
        <f>(AN123*AB123)+((AO123+AP123)*AC123)</f>
        <v/>
      </c>
      <c r="AS123" s="143" t="n">
        <v>0</v>
      </c>
      <c r="AT123" s="143" t="n">
        <v>365</v>
      </c>
      <c r="AU123" s="143" t="n">
        <v>0</v>
      </c>
      <c r="AV123" s="143">
        <f>SUM(AS123:AU123)</f>
        <v/>
      </c>
      <c r="AW123" s="143" t="n">
        <v>0</v>
      </c>
      <c r="AX123" s="143" t="n">
        <v>109.5</v>
      </c>
      <c r="AY123" s="143" t="n">
        <v>0</v>
      </c>
      <c r="AZ123" s="143">
        <f>SUM(AW123:AY123)</f>
        <v/>
      </c>
      <c r="BA123" s="335">
        <f>(AW123*AB123)+((AX123+AY123)*AC123)</f>
        <v/>
      </c>
      <c r="BB123" s="141">
        <f>AN123-AW123</f>
        <v/>
      </c>
      <c r="BC123" s="141">
        <f>BB123*AB123</f>
        <v/>
      </c>
      <c r="BD123" s="141">
        <f>AO123-AX123</f>
        <v/>
      </c>
      <c r="BE123" s="141">
        <f>BD123*AC123</f>
        <v/>
      </c>
      <c r="BF123" s="141">
        <f>AP123-AY123</f>
        <v/>
      </c>
      <c r="BG123" s="141">
        <f>BF123*AC123</f>
        <v/>
      </c>
      <c r="BH123" s="141">
        <f>BB123+BD123+BF123</f>
        <v/>
      </c>
      <c r="BI123" s="141">
        <f>BC123+BE123+BG123</f>
        <v/>
      </c>
      <c r="BJ123" s="324">
        <f>BL123+BS123+BV123+BY123+CB123+CE123+CH123+CK123</f>
        <v/>
      </c>
      <c r="BK123" s="320">
        <f>((AI123+AW123)*AB123)+((AJ123+AK123+AX123+AY123)*AC123)</f>
        <v/>
      </c>
      <c r="BL123" s="132">
        <f>BM123+BN123+AL123</f>
        <v/>
      </c>
      <c r="BM123" s="133">
        <f>AW123</f>
        <v/>
      </c>
      <c r="BN123" s="133">
        <f>AX123+AY123</f>
        <v/>
      </c>
      <c r="BO123" s="334" t="n"/>
      <c r="BP123" s="332" t="n">
        <v>0.8925999999999999</v>
      </c>
      <c r="BQ123" s="320" t="n"/>
      <c r="BR123" s="320">
        <f>BN123*BP123</f>
        <v/>
      </c>
      <c r="BS123" s="124" t="n">
        <v>219</v>
      </c>
      <c r="BT123" s="359" t="n">
        <v>0.8925999999999999</v>
      </c>
      <c r="BU123" s="320">
        <f>BS123*BT123</f>
        <v/>
      </c>
      <c r="BV123" s="143" t="n">
        <v>39.4</v>
      </c>
      <c r="BW123" s="359" t="n">
        <v>0.8925999999999999</v>
      </c>
      <c r="BX123" s="320">
        <f>BV123*BW123</f>
        <v/>
      </c>
      <c r="BY123" s="143" t="n"/>
      <c r="BZ123" s="334" t="n"/>
      <c r="CA123" s="124" t="n"/>
      <c r="CB123" s="143" t="n"/>
      <c r="CC123" s="334" t="n"/>
      <c r="CD123" s="143" t="n"/>
      <c r="CE123" s="143" t="n"/>
      <c r="CF123" s="334" t="n"/>
      <c r="CG123" s="143" t="n"/>
      <c r="CH123" s="143" t="n"/>
      <c r="CI123" s="334" t="n"/>
      <c r="CJ123" s="143" t="n"/>
      <c r="CK123" s="143" t="n"/>
      <c r="CL123" s="334" t="n"/>
      <c r="CM123" s="143" t="n"/>
      <c r="CN123" s="320">
        <f>BK123+BU123+BX123+CA123+CD123+CG123+CJ123+CM123</f>
        <v/>
      </c>
      <c r="CO123" s="141">
        <f>(AV123-(AZ123+BV123+BY90+CB123+CE123+CH123+CK123+BS123)+CO122)</f>
        <v/>
      </c>
      <c r="CP123" s="320">
        <f>CR123*G123</f>
        <v/>
      </c>
      <c r="CQ123" s="124">
        <f>AL123+AZ123+AQ123</f>
        <v/>
      </c>
      <c r="CR123" s="159">
        <f>AV123-AZ123-BS123-BV123-BY123-CB123</f>
        <v/>
      </c>
      <c r="CS123" s="155" t="n"/>
      <c r="CT123" s="155" t="n"/>
      <c r="CU123" s="177" t="n"/>
      <c r="CV123" s="177" t="n"/>
      <c r="CW123" s="325" t="n"/>
    </row>
    <row r="124" ht="19.9" customFormat="1" customHeight="1" s="67">
      <c r="A124" s="120" t="inlineStr">
        <is>
          <t>Casa do Pica-Pau</t>
        </is>
      </c>
      <c r="B124" s="65" t="n">
        <v>10036302595</v>
      </c>
      <c r="C124" s="120" t="inlineStr">
        <is>
          <t>Itaberaí</t>
        </is>
      </c>
      <c r="D124" s="121" t="inlineStr">
        <is>
          <t>Itaberaí</t>
        </is>
      </c>
      <c r="E124" s="121" t="inlineStr">
        <is>
          <t>Dezembro/2022</t>
        </is>
      </c>
      <c r="F124" s="122" t="n">
        <v>3801.5</v>
      </c>
      <c r="G124" s="320" t="n">
        <v>0.96</v>
      </c>
      <c r="H124" s="124">
        <f>F124*G124</f>
        <v/>
      </c>
      <c r="I124" s="121" t="n"/>
      <c r="J124" s="125" t="inlineStr">
        <is>
          <t>1 GROWATT DE 30 KW</t>
        </is>
      </c>
      <c r="K124" s="65" t="inlineStr">
        <is>
          <t>53 de 550W</t>
        </is>
      </c>
      <c r="L124" s="140" t="n"/>
      <c r="M124" s="145" t="inlineStr">
        <is>
          <t>Fevereiro/2024</t>
        </is>
      </c>
      <c r="N124" s="145" t="inlineStr">
        <is>
          <t>24/01/2024 a 23/02/2024</t>
        </is>
      </c>
      <c r="O124" s="331" t="n">
        <v>10780.31</v>
      </c>
      <c r="P124" s="331" t="n">
        <v>0</v>
      </c>
      <c r="Q124" s="331" t="n">
        <v>0</v>
      </c>
      <c r="R124" s="147" t="n">
        <v>0</v>
      </c>
      <c r="S124" s="331" t="n">
        <v>0</v>
      </c>
      <c r="T124" s="331" t="n">
        <v>0</v>
      </c>
      <c r="U124" s="331" t="n">
        <v>0</v>
      </c>
      <c r="V124" s="331" t="n">
        <v>0</v>
      </c>
      <c r="W124" s="331" t="n">
        <v>0</v>
      </c>
      <c r="X124" s="331" t="n"/>
      <c r="Y124" s="331" t="n"/>
      <c r="Z124" s="331" t="n"/>
      <c r="AA124" s="331" t="n"/>
      <c r="AB124" s="332" t="n">
        <v>0.890199</v>
      </c>
      <c r="AC124" s="332" t="n">
        <v>0.890199</v>
      </c>
      <c r="AD124" s="143" t="n">
        <v>0</v>
      </c>
      <c r="AE124" s="173" t="n">
        <v>0</v>
      </c>
      <c r="AF124" s="143" t="n">
        <v>0</v>
      </c>
      <c r="AG124" s="143">
        <f>SUM(AD124:AF124)</f>
        <v/>
      </c>
      <c r="AH124" s="143">
        <f>(AD124*AB124)+((AE124+AF124)*AC124)</f>
        <v/>
      </c>
      <c r="AI124" s="143">
        <f>AD124-AS124</f>
        <v/>
      </c>
      <c r="AJ124" s="143">
        <f>AE124-AT124</f>
        <v/>
      </c>
      <c r="AK124" s="143">
        <f>AF124-AU124</f>
        <v/>
      </c>
      <c r="AL124" s="208">
        <f>SUM(AI124:AK124)</f>
        <v/>
      </c>
      <c r="AM124" s="336">
        <f>(AI124*AB124)+((AJ124+AK124)*AC124)</f>
        <v/>
      </c>
      <c r="AN124" s="143" t="n">
        <v>0</v>
      </c>
      <c r="AO124" s="143" t="n">
        <v>12110</v>
      </c>
      <c r="AP124" s="143" t="n">
        <v>0</v>
      </c>
      <c r="AQ124" s="143">
        <f>SUM(AN124:AP124)</f>
        <v/>
      </c>
      <c r="AR124" s="331">
        <f>(AN124*AB124)+((AO124+AP124)*AC124)</f>
        <v/>
      </c>
      <c r="AS124" s="143" t="n">
        <v>0</v>
      </c>
      <c r="AT124" s="143" t="n">
        <v>0</v>
      </c>
      <c r="AU124" s="143" t="n">
        <v>0</v>
      </c>
      <c r="AV124" s="143">
        <f>SUM(AS124:AU124)</f>
        <v/>
      </c>
      <c r="AW124" s="143" t="n">
        <v>0</v>
      </c>
      <c r="AX124" s="143" t="n">
        <v>0</v>
      </c>
      <c r="AY124" s="143" t="n">
        <v>0</v>
      </c>
      <c r="AZ124" s="143">
        <f>SUM(AW124:AY124)</f>
        <v/>
      </c>
      <c r="BA124" s="335">
        <f>(AW124*AB124)+((AX124+AY124)*AC124)</f>
        <v/>
      </c>
      <c r="BB124" s="141">
        <f>AN124-AW124</f>
        <v/>
      </c>
      <c r="BC124" s="141">
        <f>BB124*AB124</f>
        <v/>
      </c>
      <c r="BD124" s="141">
        <f>AO124-AX124</f>
        <v/>
      </c>
      <c r="BE124" s="141">
        <f>BD124*AC124</f>
        <v/>
      </c>
      <c r="BF124" s="141">
        <f>AP124-AY124</f>
        <v/>
      </c>
      <c r="BG124" s="141">
        <f>BF124*AC124</f>
        <v/>
      </c>
      <c r="BH124" s="141">
        <f>BB124+BD124+BF124</f>
        <v/>
      </c>
      <c r="BI124" s="141">
        <f>BC124+BE124+BG124</f>
        <v/>
      </c>
      <c r="BJ124" s="324">
        <f>BL124+BS124+BV124+BY124+CB124+CE124+CH124+CK124</f>
        <v/>
      </c>
      <c r="BK124" s="320">
        <f>((AI124+AW124)*AB124)+((AJ124+AK124+AX124+AY124)*AC124)</f>
        <v/>
      </c>
      <c r="BL124" s="132">
        <f>BM124+BN124+AL124</f>
        <v/>
      </c>
      <c r="BM124" s="133">
        <f>AW124</f>
        <v/>
      </c>
      <c r="BN124" s="133">
        <f>AX124+AY124</f>
        <v/>
      </c>
      <c r="BO124" s="334" t="n"/>
      <c r="BP124" s="332" t="n">
        <v>0.890199</v>
      </c>
      <c r="BQ124" s="332" t="n"/>
      <c r="BR124" s="320">
        <f>BN124*BP124</f>
        <v/>
      </c>
      <c r="BS124" s="124" t="n">
        <v>0</v>
      </c>
      <c r="BT124" s="359" t="n">
        <v>0.8919899999999999</v>
      </c>
      <c r="BU124" s="320">
        <f>BS124*BT124</f>
        <v/>
      </c>
      <c r="BV124" s="143" t="n">
        <v>36.5</v>
      </c>
      <c r="BW124" s="359" t="n">
        <v>0.890199</v>
      </c>
      <c r="BX124" s="320">
        <f>BV124*BW124</f>
        <v/>
      </c>
      <c r="BY124" s="143" t="n"/>
      <c r="BZ124" s="334" t="n"/>
      <c r="CA124" s="124" t="n"/>
      <c r="CB124" s="143" t="n"/>
      <c r="CC124" s="334" t="n"/>
      <c r="CD124" s="143" t="n"/>
      <c r="CE124" s="143" t="n"/>
      <c r="CF124" s="334" t="n"/>
      <c r="CG124" s="143" t="n"/>
      <c r="CH124" s="143" t="n"/>
      <c r="CI124" s="334" t="n"/>
      <c r="CJ124" s="143" t="n"/>
      <c r="CK124" s="143" t="n"/>
      <c r="CL124" s="334" t="n"/>
      <c r="CM124" s="143" t="n"/>
      <c r="CN124" s="320" t="n"/>
      <c r="CO124" s="141" t="n"/>
      <c r="CP124" s="320">
        <f>CR124*G124</f>
        <v/>
      </c>
      <c r="CQ124" s="124" t="n"/>
      <c r="CR124" s="159">
        <f>AV124-AZ124-BS124-BV124-BY124-CB124</f>
        <v/>
      </c>
      <c r="CS124" s="155" t="n"/>
      <c r="CT124" s="155" t="n"/>
      <c r="CU124" s="177" t="n"/>
      <c r="CV124" s="177" t="n"/>
      <c r="CW124" s="325" t="n"/>
    </row>
    <row r="125" ht="19.9" customFormat="1" customHeight="1" s="67">
      <c r="A125" s="120" t="inlineStr">
        <is>
          <t>Grupo Alucentro</t>
        </is>
      </c>
      <c r="B125" s="65" t="n">
        <v>10078058</v>
      </c>
      <c r="C125" s="120" t="inlineStr">
        <is>
          <t>Alucentro Independência</t>
        </is>
      </c>
      <c r="D125" s="121" t="inlineStr">
        <is>
          <t xml:space="preserve">Goiânia </t>
        </is>
      </c>
      <c r="E125" s="121" t="inlineStr">
        <is>
          <t>Setembro/2022</t>
        </is>
      </c>
      <c r="F125" s="122" t="n">
        <v>7656</v>
      </c>
      <c r="G125" s="320" t="n"/>
      <c r="H125" s="124">
        <f>F125*G125</f>
        <v/>
      </c>
      <c r="I125" s="121" t="n"/>
      <c r="J125" s="125" t="n"/>
      <c r="K125" s="65" t="inlineStr">
        <is>
          <t>145 de 440W</t>
        </is>
      </c>
      <c r="L125" s="121" t="n"/>
      <c r="M125" s="126" t="inlineStr">
        <is>
          <t>Dezembro/2022</t>
        </is>
      </c>
      <c r="N125" s="126" t="inlineStr">
        <is>
          <t>24/12/2022 a 24/01/2023</t>
        </is>
      </c>
      <c r="O125" s="321" t="n">
        <v>99.62</v>
      </c>
      <c r="P125" s="321" t="n">
        <v>0</v>
      </c>
      <c r="Q125" s="321" t="n">
        <v>0</v>
      </c>
      <c r="R125" s="207" t="n"/>
      <c r="S125" s="321" t="n">
        <v>0</v>
      </c>
      <c r="T125" s="321" t="n">
        <v>0</v>
      </c>
      <c r="U125" s="321" t="n">
        <v>16.34</v>
      </c>
      <c r="V125" s="321" t="n">
        <v>0</v>
      </c>
      <c r="W125" s="321" t="n">
        <v>0</v>
      </c>
      <c r="X125" s="321" t="n"/>
      <c r="Y125" s="321" t="n"/>
      <c r="Z125" s="321" t="n"/>
      <c r="AA125" s="321" t="n"/>
      <c r="AB125" s="322" t="n">
        <v>0.83287</v>
      </c>
      <c r="AC125" s="322" t="n">
        <v>0.83287</v>
      </c>
      <c r="AD125" s="124" t="n">
        <v>0</v>
      </c>
      <c r="AE125" s="124" t="n">
        <v>5929.199999999999</v>
      </c>
      <c r="AF125" s="124" t="n">
        <v>0</v>
      </c>
      <c r="AG125" s="124">
        <f>SUM(AD125:AF125)</f>
        <v/>
      </c>
      <c r="AH125" s="124">
        <f>(AD125*AB125)+((AE125+AF125)*AC125)</f>
        <v/>
      </c>
      <c r="AI125" s="124">
        <f>AD125-AS125</f>
        <v/>
      </c>
      <c r="AJ125" s="124">
        <f>AE125-AT125</f>
        <v/>
      </c>
      <c r="AK125" s="124">
        <f>AF125-AU125</f>
        <v/>
      </c>
      <c r="AL125" s="210">
        <f>SUM(AI125:AK125)</f>
        <v/>
      </c>
      <c r="AM125" s="337">
        <f>(AI125*AB125)+((AJ125+AK125)*AC125)</f>
        <v/>
      </c>
      <c r="AN125" s="143" t="n">
        <v>0</v>
      </c>
      <c r="AO125" s="143" t="n">
        <v>128</v>
      </c>
      <c r="AP125" s="143" t="n">
        <v>0</v>
      </c>
      <c r="AQ125" s="124">
        <f>SUM(AN125:AP125)</f>
        <v/>
      </c>
      <c r="AR125" s="321">
        <f>(AN125*AB125)+((AO125+AP125)*AC125)</f>
        <v/>
      </c>
      <c r="AS125" s="143" t="n">
        <v>0</v>
      </c>
      <c r="AT125" s="143" t="n">
        <v>5488</v>
      </c>
      <c r="AU125" s="143" t="n">
        <v>0</v>
      </c>
      <c r="AV125" s="143">
        <f>SUM(AS125:AU125)</f>
        <v/>
      </c>
      <c r="AW125" s="143" t="n">
        <v>0</v>
      </c>
      <c r="AX125" s="143" t="n">
        <v>28</v>
      </c>
      <c r="AY125" s="143" t="n">
        <v>0</v>
      </c>
      <c r="AZ125" s="143">
        <f>SUM(AW125:AY125)</f>
        <v/>
      </c>
      <c r="BA125" s="335">
        <f>(AW125*AB125)+((AX125+AY125)*AC125)</f>
        <v/>
      </c>
      <c r="BB125" s="141">
        <f>AN125-AW125</f>
        <v/>
      </c>
      <c r="BC125" s="141">
        <f>BB125*AB125</f>
        <v/>
      </c>
      <c r="BD125" s="141">
        <f>AO125-AX125</f>
        <v/>
      </c>
      <c r="BE125" s="141">
        <f>BD125*AC125</f>
        <v/>
      </c>
      <c r="BF125" s="141">
        <f>AP125-AY125</f>
        <v/>
      </c>
      <c r="BG125" s="141">
        <f>BF125*AC125</f>
        <v/>
      </c>
      <c r="BH125" s="141">
        <f>BB125+BD125+BF125</f>
        <v/>
      </c>
      <c r="BI125" s="141">
        <f>BC125+BE125+BG125</f>
        <v/>
      </c>
      <c r="BJ125" s="324">
        <f>BL125+BS125+BV125+BY125+CB125+CE125+CH125+CK125</f>
        <v/>
      </c>
      <c r="BK125" s="320">
        <f>((AI125+AW125)*AB125)+((AJ125+AK125+AX125+AY125)*AC125)</f>
        <v/>
      </c>
      <c r="BL125" s="132">
        <f>BM125+BN125+AL125</f>
        <v/>
      </c>
      <c r="BM125" s="133">
        <f>AW125</f>
        <v/>
      </c>
      <c r="BN125" s="133">
        <f>AX125+AY125</f>
        <v/>
      </c>
      <c r="BO125" s="334" t="n"/>
      <c r="BP125" s="334" t="n"/>
      <c r="BQ125" s="334" t="n"/>
      <c r="BR125" s="334" t="n"/>
      <c r="BS125" s="143" t="n">
        <v>274.4</v>
      </c>
      <c r="BT125" s="322" t="n">
        <v>0.83287</v>
      </c>
      <c r="BU125" s="320">
        <f>BS125*BT125</f>
        <v/>
      </c>
      <c r="BV125" s="143" t="n">
        <v>1843.52</v>
      </c>
      <c r="BW125" s="334" t="n">
        <v>0.78291</v>
      </c>
      <c r="BX125" s="320">
        <f>BV125*BW125</f>
        <v/>
      </c>
      <c r="BY125" s="143" t="n">
        <v>1008.2</v>
      </c>
      <c r="BZ125" s="334" t="n">
        <v>0.78291</v>
      </c>
      <c r="CA125" s="124">
        <f>BY125*BZ125</f>
        <v/>
      </c>
      <c r="CB125" s="143" t="n">
        <v>172.83</v>
      </c>
      <c r="CC125" s="334" t="n">
        <v>0.83287</v>
      </c>
      <c r="CD125" s="333">
        <f>CB125*CC125</f>
        <v/>
      </c>
      <c r="CE125" s="143" t="n">
        <v>1036.98</v>
      </c>
      <c r="CF125" s="334" t="n">
        <v>0.78291</v>
      </c>
      <c r="CG125" s="143" t="n"/>
      <c r="CH125" s="143" t="n"/>
      <c r="CI125" s="334" t="n"/>
      <c r="CJ125" s="143" t="n"/>
      <c r="CK125" s="143" t="n"/>
      <c r="CL125" s="334" t="n"/>
      <c r="CM125" s="143" t="n"/>
      <c r="CN125" s="320">
        <f>BK125+BU125+BX125+CA125+CD125+CG125+CJ125+CM125</f>
        <v/>
      </c>
      <c r="CO125" s="141">
        <f>617.94</f>
        <v/>
      </c>
      <c r="CP125" s="320">
        <f>CR125*G125</f>
        <v/>
      </c>
      <c r="CQ125" s="124">
        <f>AL125+AZ125+AQ125</f>
        <v/>
      </c>
      <c r="CR125" s="159">
        <f>AV125-AZ125-BS125-BV125-BY125-CB125</f>
        <v/>
      </c>
      <c r="CS125" s="155" t="n"/>
      <c r="CT125" s="155" t="n"/>
      <c r="CU125" s="177" t="n"/>
      <c r="CV125" s="177" t="n"/>
      <c r="CW125" s="325" t="n"/>
    </row>
    <row r="126" ht="19.9" customFormat="1" customHeight="1" s="67">
      <c r="A126" s="233" t="inlineStr">
        <is>
          <t>Grupo Alucentro</t>
        </is>
      </c>
      <c r="B126" s="66" t="n">
        <v>10078058</v>
      </c>
      <c r="C126" s="233" t="inlineStr">
        <is>
          <t>Alucentro Independência</t>
        </is>
      </c>
      <c r="D126" s="140" t="inlineStr">
        <is>
          <t xml:space="preserve">Goiânia </t>
        </is>
      </c>
      <c r="E126" s="140" t="inlineStr">
        <is>
          <t>Setembro/2022</t>
        </is>
      </c>
      <c r="F126" s="141" t="n">
        <v>7656</v>
      </c>
      <c r="G126" s="334" t="n"/>
      <c r="H126" s="143">
        <f>F126*G126</f>
        <v/>
      </c>
      <c r="I126" s="140" t="n"/>
      <c r="J126" s="144" t="n"/>
      <c r="K126" s="66" t="inlineStr">
        <is>
          <t>145 de 440W</t>
        </is>
      </c>
      <c r="L126" s="140" t="n"/>
      <c r="M126" s="145" t="inlineStr">
        <is>
          <t>Janeiro/2023</t>
        </is>
      </c>
      <c r="N126" s="145" t="inlineStr">
        <is>
          <t>24/01/2023 a 22/02/2023</t>
        </is>
      </c>
      <c r="O126" s="331" t="n">
        <v>96.89</v>
      </c>
      <c r="P126" s="331" t="n">
        <v>0</v>
      </c>
      <c r="Q126" s="331" t="n">
        <v>0</v>
      </c>
      <c r="R126" s="147" t="n"/>
      <c r="S126" s="331" t="n">
        <v>0</v>
      </c>
      <c r="T126" s="331" t="n">
        <v>0</v>
      </c>
      <c r="U126" s="331" t="n">
        <v>13.67</v>
      </c>
      <c r="V126" s="331" t="n">
        <v>0</v>
      </c>
      <c r="W126" s="331" t="n">
        <v>0</v>
      </c>
      <c r="X126" s="331" t="n"/>
      <c r="Y126" s="331" t="n"/>
      <c r="Z126" s="331" t="n"/>
      <c r="AA126" s="331" t="n"/>
      <c r="AB126" s="332" t="n">
        <v>0.83219</v>
      </c>
      <c r="AC126" s="332" t="n">
        <v>0.83219</v>
      </c>
      <c r="AD126" s="143" t="n">
        <v>0</v>
      </c>
      <c r="AE126" s="173" t="n">
        <v>6257.700000000001</v>
      </c>
      <c r="AF126" s="143" t="n">
        <v>0</v>
      </c>
      <c r="AG126" s="143">
        <f>SUM(AD126:AF126)</f>
        <v/>
      </c>
      <c r="AH126" s="143">
        <f>(AD126*AB126)+((AE126+AF126)*AC126)</f>
        <v/>
      </c>
      <c r="AI126" s="143">
        <f>AD126-AS126</f>
        <v/>
      </c>
      <c r="AJ126" s="143">
        <f>AE126-AT126</f>
        <v/>
      </c>
      <c r="AK126" s="143">
        <f>AF126-AU126</f>
        <v/>
      </c>
      <c r="AL126" s="208">
        <f>SUM(AI126:AK126)</f>
        <v/>
      </c>
      <c r="AM126" s="336">
        <f>(AI126*AB126)+((AJ126+AK126)*AC126)</f>
        <v/>
      </c>
      <c r="AN126" s="124" t="n">
        <v>0</v>
      </c>
      <c r="AO126" s="124" t="n">
        <v>125</v>
      </c>
      <c r="AP126" s="124" t="n">
        <v>0</v>
      </c>
      <c r="AQ126" s="143">
        <f>SUM(AN126:AP126)</f>
        <v/>
      </c>
      <c r="AR126" s="331">
        <f>(AN126*AB126)+((AO126+AP126)*AC126)</f>
        <v/>
      </c>
      <c r="AS126" s="124" t="n">
        <v>0</v>
      </c>
      <c r="AT126" s="124" t="n">
        <v>5845</v>
      </c>
      <c r="AU126" s="124" t="n">
        <v>0</v>
      </c>
      <c r="AV126" s="124">
        <f>SUM(AS126:AU126)</f>
        <v/>
      </c>
      <c r="AW126" s="124" t="n">
        <v>0</v>
      </c>
      <c r="AX126" s="124" t="n">
        <v>25</v>
      </c>
      <c r="AY126" s="124" t="n">
        <v>0</v>
      </c>
      <c r="AZ126" s="124">
        <f>SUM(AW126:AY126)</f>
        <v/>
      </c>
      <c r="BA126" s="335">
        <f>(AW126*AB126)+((AX126+AY126)*AC126)</f>
        <v/>
      </c>
      <c r="BB126" s="122">
        <f>AN126-AW126</f>
        <v/>
      </c>
      <c r="BC126" s="141">
        <f>BB126*AB126</f>
        <v/>
      </c>
      <c r="BD126" s="122">
        <f>AO126-AX126</f>
        <v/>
      </c>
      <c r="BE126" s="122">
        <f>BD126*AC126</f>
        <v/>
      </c>
      <c r="BF126" s="122">
        <f>AP126-AY126</f>
        <v/>
      </c>
      <c r="BG126" s="122">
        <f>BF126*AC126</f>
        <v/>
      </c>
      <c r="BH126" s="122">
        <f>BB126+BD126+BF126</f>
        <v/>
      </c>
      <c r="BI126" s="122">
        <f>BC126+BE126+BG126</f>
        <v/>
      </c>
      <c r="BJ126" s="324">
        <f>BL126+BS126+BV126+BY126+CB126+CE126+CH126+CK126</f>
        <v/>
      </c>
      <c r="BK126" s="320">
        <f>((AI126+AW126)*AB126)+((AJ126+AK126+AX126+AY126)*AC126)</f>
        <v/>
      </c>
      <c r="BL126" s="132">
        <f>BM126+BN126+AL126</f>
        <v/>
      </c>
      <c r="BM126" s="133">
        <f>AW126</f>
        <v/>
      </c>
      <c r="BN126" s="133">
        <f>AX126+AY126</f>
        <v/>
      </c>
      <c r="BO126" s="320" t="n"/>
      <c r="BP126" s="320" t="n"/>
      <c r="BQ126" s="320" t="n">
        <v>0</v>
      </c>
      <c r="BR126" s="320" t="n"/>
      <c r="BS126" s="124" t="n">
        <v>292.25</v>
      </c>
      <c r="BT126" s="332" t="n">
        <v>0.83219</v>
      </c>
      <c r="BU126" s="320">
        <f>BS126*BT126</f>
        <v/>
      </c>
      <c r="BV126" s="124" t="n">
        <v>1756.16</v>
      </c>
      <c r="BW126" s="320" t="n">
        <v>0.78227</v>
      </c>
      <c r="BX126" s="320">
        <f>BV126*BW126</f>
        <v/>
      </c>
      <c r="BY126" s="124" t="n">
        <v>2420.93</v>
      </c>
      <c r="BZ126" s="320" t="n">
        <v>0.78227</v>
      </c>
      <c r="CA126" s="124">
        <f>BY126*BZ126</f>
        <v/>
      </c>
      <c r="CB126" s="124" t="n">
        <v>164.64</v>
      </c>
      <c r="CC126" s="320" t="n">
        <v>0.83219</v>
      </c>
      <c r="CD126" s="333">
        <f>CB126*CC126</f>
        <v/>
      </c>
      <c r="CE126" s="124" t="n">
        <v>646.91</v>
      </c>
      <c r="CF126" s="320" t="n">
        <v>0.78227</v>
      </c>
      <c r="CG126" s="124" t="n"/>
      <c r="CH126" s="124" t="n"/>
      <c r="CI126" s="320" t="n"/>
      <c r="CJ126" s="124" t="n"/>
      <c r="CK126" s="124" t="n"/>
      <c r="CL126" s="320" t="n"/>
      <c r="CM126" s="124" t="n"/>
      <c r="CN126" s="320">
        <f>BK126+BU126+BX126+CA126+CD126+CG126+CJ126+CM126</f>
        <v/>
      </c>
      <c r="CO126" s="122">
        <f>AV126-AZ126+CO125</f>
        <v/>
      </c>
      <c r="CP126" s="320">
        <f>CR126*G126</f>
        <v/>
      </c>
      <c r="CQ126" s="124">
        <f>AL126+AZ126+AQ126</f>
        <v/>
      </c>
      <c r="CR126" s="159">
        <f>AV126-AZ126-BS126-BV126-BY126-CB126</f>
        <v/>
      </c>
      <c r="CS126" s="155" t="n"/>
      <c r="CT126" s="155" t="n"/>
      <c r="CU126" s="177" t="n"/>
      <c r="CV126" s="177" t="n"/>
      <c r="CW126" s="325" t="n"/>
    </row>
    <row r="127" ht="19.9" customFormat="1" customHeight="1" s="67">
      <c r="A127" s="120" t="inlineStr">
        <is>
          <t>Grupo Alucentro</t>
        </is>
      </c>
      <c r="B127" s="65" t="n">
        <v>10078058</v>
      </c>
      <c r="C127" s="120" t="inlineStr">
        <is>
          <t>Alucentro Independência</t>
        </is>
      </c>
      <c r="D127" s="121" t="inlineStr">
        <is>
          <t xml:space="preserve">Goiânia </t>
        </is>
      </c>
      <c r="E127" s="121" t="inlineStr">
        <is>
          <t>Setembro/2022</t>
        </is>
      </c>
      <c r="F127" s="122" t="n">
        <v>7656</v>
      </c>
      <c r="G127" s="320" t="n"/>
      <c r="H127" s="124">
        <f>F127*G127</f>
        <v/>
      </c>
      <c r="I127" s="121" t="n"/>
      <c r="J127" s="125" t="n"/>
      <c r="K127" s="65" t="inlineStr">
        <is>
          <t>145 de 440W</t>
        </is>
      </c>
      <c r="L127" s="121" t="n"/>
      <c r="M127" s="126" t="inlineStr">
        <is>
          <t>Fevereiro/2023</t>
        </is>
      </c>
      <c r="N127" s="126" t="inlineStr">
        <is>
          <t>22/02/2023 a 23/03/2023</t>
        </is>
      </c>
      <c r="O127" s="321" t="n">
        <v>97.51000000000001</v>
      </c>
      <c r="P127" s="321" t="n">
        <v>0</v>
      </c>
      <c r="Q127" s="321" t="n">
        <v>0</v>
      </c>
      <c r="R127" s="207" t="n"/>
      <c r="S127" s="321" t="n">
        <v>0</v>
      </c>
      <c r="T127" s="321" t="n">
        <v>0</v>
      </c>
      <c r="U127" s="321" t="n">
        <v>10.92</v>
      </c>
      <c r="V127" s="321" t="n">
        <v>0</v>
      </c>
      <c r="W127" s="321" t="n">
        <v>0</v>
      </c>
      <c r="X127" s="321" t="n"/>
      <c r="Y127" s="321" t="n"/>
      <c r="Z127" s="321" t="n"/>
      <c r="AA127" s="321" t="n"/>
      <c r="AB127" s="322" t="n">
        <v>0.86587</v>
      </c>
      <c r="AC127" s="322" t="n">
        <v>0.86587</v>
      </c>
      <c r="AD127" s="124" t="n">
        <v>0</v>
      </c>
      <c r="AE127" s="124" t="n">
        <v>4752.3</v>
      </c>
      <c r="AF127" s="124" t="n">
        <v>0</v>
      </c>
      <c r="AG127" s="124">
        <f>SUM(AD127:AF127)</f>
        <v/>
      </c>
      <c r="AH127" s="124">
        <f>(AD127*AB127)+((AE127+AF127)*AC127)</f>
        <v/>
      </c>
      <c r="AI127" s="124">
        <f>AD127-AS127</f>
        <v/>
      </c>
      <c r="AJ127" s="124">
        <f>AE127-AT127</f>
        <v/>
      </c>
      <c r="AK127" s="124">
        <f>AF127-AU127</f>
        <v/>
      </c>
      <c r="AL127" s="210">
        <f>SUM(AI127:AK127)</f>
        <v/>
      </c>
      <c r="AM127" s="337">
        <f>(AI127*AB127)+((AJ127+AK127)*AC127)</f>
        <v/>
      </c>
      <c r="AN127" s="143" t="n">
        <v>0</v>
      </c>
      <c r="AO127" s="143" t="n">
        <v>140</v>
      </c>
      <c r="AP127" s="143" t="n">
        <v>0</v>
      </c>
      <c r="AQ127" s="124">
        <f>SUM(AN127:AP127)</f>
        <v/>
      </c>
      <c r="AR127" s="321">
        <f>(AN127*AB127)+((AO127+AP127)*AC127)</f>
        <v/>
      </c>
      <c r="AS127" s="143" t="n">
        <v>0</v>
      </c>
      <c r="AT127" s="143" t="n">
        <v>4723</v>
      </c>
      <c r="AU127" s="143" t="n">
        <v>0</v>
      </c>
      <c r="AV127" s="143">
        <f>SUM(AS127:AU127)</f>
        <v/>
      </c>
      <c r="AW127" s="143" t="n">
        <v>0</v>
      </c>
      <c r="AX127" s="143" t="n">
        <v>40</v>
      </c>
      <c r="AY127" s="143" t="n">
        <v>0</v>
      </c>
      <c r="AZ127" s="143">
        <f>SUM(AW127:AY127)</f>
        <v/>
      </c>
      <c r="BA127" s="335">
        <f>(AW127*AB127)+((AX127+AY127)*AC127)</f>
        <v/>
      </c>
      <c r="BB127" s="141">
        <f>AN127-AW127</f>
        <v/>
      </c>
      <c r="BC127" s="141">
        <f>BB127*AB127</f>
        <v/>
      </c>
      <c r="BD127" s="141">
        <f>AO127-AX127</f>
        <v/>
      </c>
      <c r="BE127" s="141">
        <f>BD127*AC127</f>
        <v/>
      </c>
      <c r="BF127" s="141">
        <f>AP127-AY127</f>
        <v/>
      </c>
      <c r="BG127" s="141">
        <f>BF127*AC127</f>
        <v/>
      </c>
      <c r="BH127" s="141">
        <f>BB127+BD127+BF127</f>
        <v/>
      </c>
      <c r="BI127" s="141">
        <f>BC127+BE127+BG127</f>
        <v/>
      </c>
      <c r="BJ127" s="324">
        <f>BL127+BS127+BV127+BY127+CB127+CE127+CH127+CK127</f>
        <v/>
      </c>
      <c r="BK127" s="320">
        <f>((AI127+AW127)*AB127)+((AJ127+AK127+AX127+AY127)*AC127)</f>
        <v/>
      </c>
      <c r="BL127" s="132">
        <f>BM127+BN127+AL127</f>
        <v/>
      </c>
      <c r="BM127" s="133">
        <f>AW127</f>
        <v/>
      </c>
      <c r="BN127" s="133">
        <f>AX127+AY127</f>
        <v/>
      </c>
      <c r="BO127" s="334" t="n"/>
      <c r="BP127" s="334" t="n"/>
      <c r="BQ127" s="334" t="n">
        <v>0</v>
      </c>
      <c r="BR127" s="334" t="n"/>
      <c r="BS127" s="143" t="n">
        <v>236.15</v>
      </c>
      <c r="BT127" s="322" t="n">
        <v>0.86587</v>
      </c>
      <c r="BU127" s="320">
        <f>BS127*BT127</f>
        <v/>
      </c>
      <c r="BV127" s="143" t="n">
        <v>1870.4</v>
      </c>
      <c r="BW127" s="334" t="n">
        <v>0.81393</v>
      </c>
      <c r="BX127" s="320">
        <f>BV127*BW127</f>
        <v/>
      </c>
      <c r="BY127" s="143" t="n">
        <v>2429.73</v>
      </c>
      <c r="BZ127" s="334" t="n">
        <v>0.81393</v>
      </c>
      <c r="CA127" s="124">
        <f>BY127*BZ127</f>
        <v/>
      </c>
      <c r="CB127" s="143" t="n">
        <v>175.35</v>
      </c>
      <c r="CC127" s="334" t="n">
        <v>0.86587</v>
      </c>
      <c r="CD127" s="333">
        <f>CB127*CC127</f>
        <v/>
      </c>
      <c r="CE127" s="143" t="n">
        <v>1273.91</v>
      </c>
      <c r="CF127" s="334" t="n">
        <v>0.81393</v>
      </c>
      <c r="CG127" s="143" t="n"/>
      <c r="CH127" s="143" t="n"/>
      <c r="CI127" s="334" t="n"/>
      <c r="CJ127" s="143" t="n"/>
      <c r="CK127" s="143" t="n"/>
      <c r="CL127" s="334" t="n"/>
      <c r="CM127" s="143" t="n"/>
      <c r="CN127" s="320">
        <f>BK127+BU127+BX127+CA127+CD127+CG127+CJ127+CM127</f>
        <v/>
      </c>
      <c r="CO127" s="141" t="n"/>
      <c r="CP127" s="320">
        <f>CR127*G127</f>
        <v/>
      </c>
      <c r="CQ127" s="124">
        <f>AL127+AZ127+AQ127</f>
        <v/>
      </c>
      <c r="CR127" s="159">
        <f>AV127-AZ127-BS127-BV127-BY127-CB127</f>
        <v/>
      </c>
      <c r="CS127" s="155" t="n"/>
      <c r="CT127" s="155" t="n"/>
      <c r="CU127" s="177" t="n"/>
      <c r="CV127" s="177" t="n"/>
      <c r="CW127" s="325" t="n"/>
    </row>
    <row r="128" ht="19.9" customFormat="1" customHeight="1" s="67">
      <c r="A128" s="139" t="inlineStr">
        <is>
          <t>Grupo Alucentro</t>
        </is>
      </c>
      <c r="B128" s="66" t="n">
        <v>10078058</v>
      </c>
      <c r="C128" s="139" t="inlineStr">
        <is>
          <t>Alucentro Independência</t>
        </is>
      </c>
      <c r="D128" s="140" t="inlineStr">
        <is>
          <t xml:space="preserve">Goiânia </t>
        </is>
      </c>
      <c r="E128" s="140" t="inlineStr">
        <is>
          <t>Setembro/2022</t>
        </is>
      </c>
      <c r="F128" s="141" t="n">
        <v>7656</v>
      </c>
      <c r="G128" s="334" t="n"/>
      <c r="H128" s="143">
        <f>F128*G128</f>
        <v/>
      </c>
      <c r="I128" s="140" t="n"/>
      <c r="J128" s="144" t="n"/>
      <c r="K128" s="66" t="inlineStr">
        <is>
          <t>145 de 440W</t>
        </is>
      </c>
      <c r="L128" s="140" t="n"/>
      <c r="M128" s="145" t="inlineStr">
        <is>
          <t>Março/2023</t>
        </is>
      </c>
      <c r="N128" s="145" t="inlineStr">
        <is>
          <t>23/03/2023 a 24/04/2023</t>
        </is>
      </c>
      <c r="O128" s="331" t="n">
        <v>96.87</v>
      </c>
      <c r="P128" s="331" t="n">
        <v>0</v>
      </c>
      <c r="Q128" s="331" t="n">
        <v>0</v>
      </c>
      <c r="R128" s="147" t="n"/>
      <c r="S128" s="331" t="n">
        <v>0</v>
      </c>
      <c r="T128" s="331" t="n">
        <v>0</v>
      </c>
      <c r="U128" s="331" t="n">
        <v>10.8</v>
      </c>
      <c r="V128" s="331" t="n">
        <v>0</v>
      </c>
      <c r="W128" s="331" t="n">
        <v>0</v>
      </c>
      <c r="X128" s="331" t="n"/>
      <c r="Y128" s="331" t="n"/>
      <c r="Z128" s="331" t="n"/>
      <c r="AA128" s="331" t="n"/>
      <c r="AB128" s="332" t="n">
        <v>0.86064</v>
      </c>
      <c r="AC128" s="332" t="n">
        <v>0.86064</v>
      </c>
      <c r="AD128" s="143" t="n">
        <v>0</v>
      </c>
      <c r="AE128" s="173" t="n">
        <v>6104.599999999999</v>
      </c>
      <c r="AF128" s="143" t="n">
        <v>0</v>
      </c>
      <c r="AG128" s="143">
        <f>SUM(AD128:AF128)</f>
        <v/>
      </c>
      <c r="AH128" s="143">
        <f>(AD128*AB128)+((AE128+AF128)*AC128)</f>
        <v/>
      </c>
      <c r="AI128" s="143">
        <f>AD128-AS128</f>
        <v/>
      </c>
      <c r="AJ128" s="143">
        <f>AE128-AT128</f>
        <v/>
      </c>
      <c r="AK128" s="143">
        <f>AF128-AU128</f>
        <v/>
      </c>
      <c r="AL128" s="208">
        <f>SUM(AI128:AK128)</f>
        <v/>
      </c>
      <c r="AM128" s="336">
        <f>(AI128*AB128)+((AJ128+AK128)*AC128)</f>
        <v/>
      </c>
      <c r="AN128" s="124" t="n">
        <v>0</v>
      </c>
      <c r="AO128" s="124" t="n">
        <v>158</v>
      </c>
      <c r="AP128" s="124" t="n">
        <v>0</v>
      </c>
      <c r="AQ128" s="143">
        <f>SUM(AN128:AP128)</f>
        <v/>
      </c>
      <c r="AR128" s="331">
        <f>(AN128*AB128)+((AO128+AP128)*AC128)</f>
        <v/>
      </c>
      <c r="AS128" s="124" t="n">
        <v>0</v>
      </c>
      <c r="AT128" s="124" t="n">
        <v>6223</v>
      </c>
      <c r="AU128" s="124" t="n">
        <v>0</v>
      </c>
      <c r="AV128" s="124">
        <f>SUM(AS128:AU128)</f>
        <v/>
      </c>
      <c r="AW128" s="124" t="n">
        <v>0</v>
      </c>
      <c r="AX128" s="124" t="n">
        <v>58</v>
      </c>
      <c r="AY128" s="124" t="n">
        <v>0</v>
      </c>
      <c r="AZ128" s="124">
        <f>SUM(AW128:AY128)</f>
        <v/>
      </c>
      <c r="BA128" s="335">
        <f>(AW128*AB128)+((AX128+AY128)*AC128)</f>
        <v/>
      </c>
      <c r="BB128" s="122">
        <f>AN128-AW128</f>
        <v/>
      </c>
      <c r="BC128" s="141">
        <f>BB128*AB128</f>
        <v/>
      </c>
      <c r="BD128" s="122">
        <f>AO128-AX128</f>
        <v/>
      </c>
      <c r="BE128" s="122">
        <f>BD128*AC128</f>
        <v/>
      </c>
      <c r="BF128" s="122">
        <f>AP128-AY128</f>
        <v/>
      </c>
      <c r="BG128" s="122">
        <f>BF128*AC128</f>
        <v/>
      </c>
      <c r="BH128" s="122">
        <f>BB128+BD128+BF128</f>
        <v/>
      </c>
      <c r="BI128" s="122">
        <f>BC128+BE128+BG128</f>
        <v/>
      </c>
      <c r="BJ128" s="324">
        <f>BL128+BS128+BV128+BY128+CB128+CE128+CH128+CK128</f>
        <v/>
      </c>
      <c r="BK128" s="320">
        <f>((AI128+AW128)*AB128)+((AJ128+AK128+AX128+AY128)*AC128)</f>
        <v/>
      </c>
      <c r="BL128" s="132">
        <f>BM128+BN128+AL128</f>
        <v/>
      </c>
      <c r="BM128" s="133">
        <f>AW128</f>
        <v/>
      </c>
      <c r="BN128" s="133">
        <f>AX128+AY128</f>
        <v/>
      </c>
      <c r="BO128" s="320" t="n"/>
      <c r="BP128" s="320" t="n"/>
      <c r="BQ128" s="320" t="n">
        <v>0</v>
      </c>
      <c r="BR128" s="320" t="n"/>
      <c r="BS128" s="124" t="n">
        <v>311.15</v>
      </c>
      <c r="BT128" s="332" t="n">
        <v>0.86064</v>
      </c>
      <c r="BU128" s="320">
        <f>BS128*BT128</f>
        <v/>
      </c>
      <c r="BV128" s="124" t="n">
        <v>1511.36</v>
      </c>
      <c r="BW128" s="320" t="n">
        <v>0.80901</v>
      </c>
      <c r="BX128" s="320">
        <f>BV128*BW128</f>
        <v/>
      </c>
      <c r="BY128" s="124" t="n">
        <v>1995.26</v>
      </c>
      <c r="BZ128" s="320" t="n">
        <v>0.80901</v>
      </c>
      <c r="CA128" s="124">
        <f>BY128*BZ128</f>
        <v/>
      </c>
      <c r="CB128" s="124" t="n">
        <v>141.69</v>
      </c>
      <c r="CC128" s="320" t="n">
        <v>0.86064</v>
      </c>
      <c r="CD128" s="333">
        <f>CB128*CC128</f>
        <v/>
      </c>
      <c r="CE128" s="124" t="n">
        <v>969.26</v>
      </c>
      <c r="CF128" s="320" t="n">
        <v>0.80901</v>
      </c>
      <c r="CG128" s="124" t="n"/>
      <c r="CH128" s="124" t="n"/>
      <c r="CI128" s="320" t="n"/>
      <c r="CJ128" s="124" t="n"/>
      <c r="CK128" s="124" t="n"/>
      <c r="CL128" s="320" t="n"/>
      <c r="CM128" s="124" t="n"/>
      <c r="CN128" s="320">
        <f>BK128+BU128+BX128+CA128+CD128+CG128+CJ128+CM128</f>
        <v/>
      </c>
      <c r="CO128" s="122" t="n"/>
      <c r="CP128" s="320">
        <f>CR128*G128</f>
        <v/>
      </c>
      <c r="CQ128" s="124">
        <f>AL128+AZ128+AQ128</f>
        <v/>
      </c>
      <c r="CR128" s="159">
        <f>AV128-AZ128-BS128-BV128-BY128-CB128</f>
        <v/>
      </c>
      <c r="CS128" s="155" t="n"/>
      <c r="CT128" s="155" t="n"/>
      <c r="CU128" s="177" t="n"/>
      <c r="CV128" s="177" t="n"/>
      <c r="CW128" s="325" t="n"/>
    </row>
    <row r="129" ht="19.9" customFormat="1" customHeight="1" s="67">
      <c r="A129" s="120" t="inlineStr">
        <is>
          <t>Grupo Alucentro</t>
        </is>
      </c>
      <c r="B129" s="65" t="n">
        <v>10078058</v>
      </c>
      <c r="C129" s="120" t="inlineStr">
        <is>
          <t>Alucentro Independência</t>
        </is>
      </c>
      <c r="D129" s="121" t="inlineStr">
        <is>
          <t xml:space="preserve">Goiânia </t>
        </is>
      </c>
      <c r="E129" s="121" t="inlineStr">
        <is>
          <t>Setembro/2022</t>
        </is>
      </c>
      <c r="F129" s="122" t="n">
        <v>7656</v>
      </c>
      <c r="G129" s="320" t="n"/>
      <c r="H129" s="124">
        <f>F129*G129</f>
        <v/>
      </c>
      <c r="I129" s="121" t="n"/>
      <c r="J129" s="125" t="n"/>
      <c r="K129" s="65" t="inlineStr">
        <is>
          <t>145 de 440W</t>
        </is>
      </c>
      <c r="L129" s="121" t="n"/>
      <c r="M129" s="126" t="inlineStr">
        <is>
          <t>Abril/2023</t>
        </is>
      </c>
      <c r="N129" s="126" t="inlineStr">
        <is>
          <t>24/04/2023 a 23/05/2023</t>
        </is>
      </c>
      <c r="O129" s="321" t="n">
        <v>97.95</v>
      </c>
      <c r="P129" s="321" t="n">
        <v>0</v>
      </c>
      <c r="Q129" s="321" t="n">
        <v>0</v>
      </c>
      <c r="R129" s="207" t="n"/>
      <c r="S129" s="321" t="n">
        <v>0</v>
      </c>
      <c r="T129" s="321" t="n">
        <v>0</v>
      </c>
      <c r="U129" s="321" t="n">
        <v>11.54</v>
      </c>
      <c r="V129" s="321" t="n">
        <v>0</v>
      </c>
      <c r="W129" s="321" t="n">
        <v>0</v>
      </c>
      <c r="X129" s="321" t="n"/>
      <c r="Y129" s="321" t="n"/>
      <c r="Z129" s="321" t="n"/>
      <c r="AA129" s="321" t="n"/>
      <c r="AB129" s="322" t="n">
        <v>0.864042</v>
      </c>
      <c r="AC129" s="322" t="n">
        <v>0.864042</v>
      </c>
      <c r="AD129" s="124" t="n">
        <v>0</v>
      </c>
      <c r="AE129" s="124" t="n">
        <v>5701.4</v>
      </c>
      <c r="AF129" s="124" t="n">
        <v>0</v>
      </c>
      <c r="AG129" s="124">
        <f>SUM(AD129:AF129)</f>
        <v/>
      </c>
      <c r="AH129" s="124">
        <f>(AD129*AB129)+((AE129+AF129)*AC129)</f>
        <v/>
      </c>
      <c r="AI129" s="124">
        <f>AD129-AS129</f>
        <v/>
      </c>
      <c r="AJ129" s="124">
        <f>AE129-AT129</f>
        <v/>
      </c>
      <c r="AK129" s="124">
        <f>AF129-AU129</f>
        <v/>
      </c>
      <c r="AL129" s="210">
        <f>SUM(AI129:AK129)</f>
        <v/>
      </c>
      <c r="AM129" s="337">
        <f>(AI129*AB129)+((AJ129+AK129)*AC129)</f>
        <v/>
      </c>
      <c r="AN129" s="143" t="n">
        <v>0</v>
      </c>
      <c r="AO129" s="143" t="n">
        <v>153</v>
      </c>
      <c r="AP129" s="143" t="n">
        <v>0</v>
      </c>
      <c r="AQ129" s="124">
        <f>SUM(AN129:AP129)</f>
        <v/>
      </c>
      <c r="AR129" s="321">
        <f>(AN129*AB129)+((AO129+AP129)*AC129)</f>
        <v/>
      </c>
      <c r="AS129" s="143" t="n">
        <v>0</v>
      </c>
      <c r="AT129" s="143" t="n">
        <v>7695</v>
      </c>
      <c r="AU129" s="143" t="n">
        <v>0</v>
      </c>
      <c r="AV129" s="143">
        <f>SUM(AS129:AU129)</f>
        <v/>
      </c>
      <c r="AW129" s="143" t="n">
        <v>0</v>
      </c>
      <c r="AX129" s="143" t="n">
        <v>53</v>
      </c>
      <c r="AY129" s="143" t="n">
        <v>0</v>
      </c>
      <c r="AZ129" s="143">
        <f>SUM(AW129:AY129)</f>
        <v/>
      </c>
      <c r="BA129" s="335">
        <f>(AW129*AB129)+((AX129+AY129)*AC129)</f>
        <v/>
      </c>
      <c r="BB129" s="141">
        <f>AN129-AW129</f>
        <v/>
      </c>
      <c r="BC129" s="141">
        <f>BB129*AB129</f>
        <v/>
      </c>
      <c r="BD129" s="141">
        <f>AO129-AX129</f>
        <v/>
      </c>
      <c r="BE129" s="141">
        <f>BD129*AC129</f>
        <v/>
      </c>
      <c r="BF129" s="141">
        <f>AP129-AY129</f>
        <v/>
      </c>
      <c r="BG129" s="141">
        <f>BF129*AC129</f>
        <v/>
      </c>
      <c r="BH129" s="141">
        <f>BB129+BD129+BF129</f>
        <v/>
      </c>
      <c r="BI129" s="141">
        <f>BC129+BE129+BG129</f>
        <v/>
      </c>
      <c r="BJ129" s="324">
        <f>BL129+BS129+BV129+BY129+CB129+CE129+CH129+CK129</f>
        <v/>
      </c>
      <c r="BK129" s="320">
        <f>((AI129+AW129)*AB129)+((AJ129+AK129+AX129+AY129)*AC129)</f>
        <v/>
      </c>
      <c r="BL129" s="132">
        <f>BM129+BN129+AL129</f>
        <v/>
      </c>
      <c r="BM129" s="133">
        <f>AW129</f>
        <v/>
      </c>
      <c r="BN129" s="133">
        <f>AX129+AY129</f>
        <v/>
      </c>
      <c r="BO129" s="334" t="n"/>
      <c r="BP129" s="334" t="n"/>
      <c r="BQ129" s="334" t="n">
        <v>0</v>
      </c>
      <c r="BR129" s="334" t="n"/>
      <c r="BS129" s="143" t="n">
        <v>384.75</v>
      </c>
      <c r="BT129" s="322" t="n">
        <v>0.864042</v>
      </c>
      <c r="BU129" s="320">
        <f>BS129*BT129</f>
        <v/>
      </c>
      <c r="BV129" s="143" t="n">
        <v>1991.36</v>
      </c>
      <c r="BW129" s="334" t="n">
        <v>0.812212</v>
      </c>
      <c r="BX129" s="320">
        <f>BV129*BW129</f>
        <v/>
      </c>
      <c r="BY129" s="143" t="n">
        <v>2240.28</v>
      </c>
      <c r="BZ129" s="334" t="n">
        <v>0.812212</v>
      </c>
      <c r="CA129" s="124">
        <f>BY129*BZ129</f>
        <v/>
      </c>
      <c r="CB129" s="143" t="n">
        <v>186.69</v>
      </c>
      <c r="CC129" s="334" t="n">
        <v>0.864042</v>
      </c>
      <c r="CD129" s="333">
        <f>CB129*CC129</f>
        <v/>
      </c>
      <c r="CE129" s="143" t="n">
        <v>1120.14</v>
      </c>
      <c r="CF129" s="334" t="n">
        <v>0.812212</v>
      </c>
      <c r="CG129" s="143" t="n"/>
      <c r="CH129" s="143" t="n"/>
      <c r="CI129" s="334" t="n"/>
      <c r="CJ129" s="143" t="n"/>
      <c r="CK129" s="143" t="n"/>
      <c r="CL129" s="334" t="n"/>
      <c r="CM129" s="143" t="n"/>
      <c r="CN129" s="320">
        <f>BK129+BU129+BX129+CA129+CD129+CG129+CJ129+CM129</f>
        <v/>
      </c>
      <c r="CO129" s="141" t="n"/>
      <c r="CP129" s="320">
        <f>CR129*G129</f>
        <v/>
      </c>
      <c r="CQ129" s="124">
        <f>AL129+AZ129+AQ129</f>
        <v/>
      </c>
      <c r="CR129" s="159">
        <f>AV129-AZ129-BS129-BV129-BY129-CB129</f>
        <v/>
      </c>
      <c r="CS129" s="155" t="n"/>
      <c r="CT129" s="155" t="n"/>
      <c r="CU129" s="177" t="n"/>
      <c r="CV129" s="177" t="n"/>
      <c r="CW129" s="325" t="n"/>
    </row>
    <row r="130" ht="19.9" customFormat="1" customHeight="1" s="67">
      <c r="A130" s="233" t="inlineStr">
        <is>
          <t>Grupo Alucentro</t>
        </is>
      </c>
      <c r="B130" s="66" t="n">
        <v>10078058</v>
      </c>
      <c r="C130" s="233" t="inlineStr">
        <is>
          <t>Alucentro Independência</t>
        </is>
      </c>
      <c r="D130" s="140" t="inlineStr">
        <is>
          <t xml:space="preserve">Goiânia </t>
        </is>
      </c>
      <c r="E130" s="140" t="inlineStr">
        <is>
          <t>Setembro/2022</t>
        </is>
      </c>
      <c r="F130" s="141" t="n">
        <v>7656</v>
      </c>
      <c r="G130" s="334" t="n"/>
      <c r="H130" s="143">
        <f>F130*G130</f>
        <v/>
      </c>
      <c r="I130" s="140" t="n"/>
      <c r="J130" s="144" t="n"/>
      <c r="K130" s="66" t="inlineStr">
        <is>
          <t>145 de 440W</t>
        </is>
      </c>
      <c r="L130" s="140" t="n"/>
      <c r="M130" s="145" t="inlineStr">
        <is>
          <t>Maio/2023</t>
        </is>
      </c>
      <c r="N130" s="145" t="inlineStr">
        <is>
          <t>23/05/2023 a 23/06/2023</t>
        </is>
      </c>
      <c r="O130" s="331" t="n">
        <v>94.03</v>
      </c>
      <c r="P130" s="331" t="n">
        <v>0</v>
      </c>
      <c r="Q130" s="331" t="n">
        <v>0</v>
      </c>
      <c r="R130" s="147" t="n"/>
      <c r="S130" s="331" t="n">
        <v>0</v>
      </c>
      <c r="T130" s="331" t="n">
        <v>0</v>
      </c>
      <c r="U130" s="331" t="n">
        <v>11.57</v>
      </c>
      <c r="V130" s="331" t="n">
        <v>0</v>
      </c>
      <c r="W130" s="331" t="n">
        <v>0</v>
      </c>
      <c r="X130" s="331" t="n"/>
      <c r="Y130" s="331" t="n"/>
      <c r="Z130" s="331" t="n"/>
      <c r="AA130" s="331" t="n"/>
      <c r="AB130" s="332" t="n">
        <v>0.824586</v>
      </c>
      <c r="AC130" s="332" t="n">
        <v>0.824586</v>
      </c>
      <c r="AD130" s="143" t="n">
        <v>0</v>
      </c>
      <c r="AE130" s="173" t="n">
        <v>4857.700000000001</v>
      </c>
      <c r="AF130" s="143" t="n">
        <v>0</v>
      </c>
      <c r="AG130" s="143">
        <f>SUM(AD130:AF130)</f>
        <v/>
      </c>
      <c r="AH130" s="143">
        <f>(AD130*AB130)+((AE130+AF130)*AC130)</f>
        <v/>
      </c>
      <c r="AI130" s="143">
        <f>AD130-AS130</f>
        <v/>
      </c>
      <c r="AJ130" s="143">
        <f>AE130-AT130</f>
        <v/>
      </c>
      <c r="AK130" s="143">
        <f>AF130-AU130</f>
        <v/>
      </c>
      <c r="AL130" s="208">
        <f>SUM(AI130:AK130)</f>
        <v/>
      </c>
      <c r="AM130" s="336">
        <f>(AI130*AB130)+((AJ130+AK130)*AC130)</f>
        <v/>
      </c>
      <c r="AN130" s="124" t="n">
        <v>0</v>
      </c>
      <c r="AO130" s="124" t="n">
        <v>167</v>
      </c>
      <c r="AP130" s="124" t="n">
        <v>0</v>
      </c>
      <c r="AQ130" s="143">
        <f>SUM(AN130:AP130)</f>
        <v/>
      </c>
      <c r="AR130" s="331">
        <f>(AN130*AB130)+((AO130+AP130)*AC130)</f>
        <v/>
      </c>
      <c r="AS130" s="124" t="n">
        <v>0</v>
      </c>
      <c r="AT130" s="124" t="n">
        <v>6564</v>
      </c>
      <c r="AU130" s="124" t="n">
        <v>0</v>
      </c>
      <c r="AV130" s="124">
        <f>SUM(AS130:AU130)</f>
        <v/>
      </c>
      <c r="AW130" s="124" t="n">
        <v>0</v>
      </c>
      <c r="AX130" s="124" t="n">
        <v>67</v>
      </c>
      <c r="AY130" s="124" t="n">
        <v>0</v>
      </c>
      <c r="AZ130" s="124">
        <f>SUM(AW130:AY130)</f>
        <v/>
      </c>
      <c r="BA130" s="335">
        <f>(AW130*AB130)+((AX130+AY130)*AC130)</f>
        <v/>
      </c>
      <c r="BB130" s="122">
        <f>AN130-AW130</f>
        <v/>
      </c>
      <c r="BC130" s="141">
        <f>BB130*AB130</f>
        <v/>
      </c>
      <c r="BD130" s="122">
        <f>AO130-AX130</f>
        <v/>
      </c>
      <c r="BE130" s="122">
        <f>BD130*AC130</f>
        <v/>
      </c>
      <c r="BF130" s="122">
        <f>AP130-AY130</f>
        <v/>
      </c>
      <c r="BG130" s="122">
        <f>BF130*AC130</f>
        <v/>
      </c>
      <c r="BH130" s="122">
        <f>BB130+BD130+BF130</f>
        <v/>
      </c>
      <c r="BI130" s="122">
        <f>BC130+BE130+BG130</f>
        <v/>
      </c>
      <c r="BJ130" s="324">
        <f>BL130+BS130+BV130+BY130+CB130+CE130+CH130+CK130</f>
        <v/>
      </c>
      <c r="BK130" s="320">
        <f>((AI130+AW130)*AB130)+((AJ130+AK130+AX130+AY130)*AC130)</f>
        <v/>
      </c>
      <c r="BL130" s="132">
        <f>BM130+BN130+AL130</f>
        <v/>
      </c>
      <c r="BM130" s="133">
        <f>AW130</f>
        <v/>
      </c>
      <c r="BN130" s="133">
        <f>AX130+AY130</f>
        <v/>
      </c>
      <c r="BO130" s="320" t="n"/>
      <c r="BP130" s="320" t="n"/>
      <c r="BQ130" s="320" t="n">
        <v>0</v>
      </c>
      <c r="BR130" s="320" t="n"/>
      <c r="BS130" s="124" t="n">
        <v>328.2</v>
      </c>
      <c r="BT130" s="332" t="n">
        <v>0.824586</v>
      </c>
      <c r="BU130" s="320">
        <f>BS130*BT130</f>
        <v/>
      </c>
      <c r="BV130" s="124" t="n">
        <v>2462.4</v>
      </c>
      <c r="BW130" s="320" t="n">
        <v>0.775122</v>
      </c>
      <c r="BX130" s="320">
        <f>BV130*BW130</f>
        <v/>
      </c>
      <c r="BY130" s="124" t="n">
        <v>2714.23</v>
      </c>
      <c r="BZ130" s="320" t="n">
        <v>0.775122</v>
      </c>
      <c r="CA130" s="124">
        <f>BY130*BZ130</f>
        <v/>
      </c>
      <c r="CB130" s="124" t="n">
        <v>230.85</v>
      </c>
      <c r="CC130" s="320" t="n">
        <v>0.824586</v>
      </c>
      <c r="CD130" s="333">
        <f>CB130*CC130</f>
        <v/>
      </c>
      <c r="CE130" s="124" t="n">
        <v>1385.1</v>
      </c>
      <c r="CF130" s="320" t="n">
        <v>0.775122</v>
      </c>
      <c r="CG130" s="124" t="n"/>
      <c r="CH130" s="124" t="n"/>
      <c r="CI130" s="320" t="n"/>
      <c r="CJ130" s="124" t="n"/>
      <c r="CK130" s="124" t="n"/>
      <c r="CL130" s="320" t="n"/>
      <c r="CM130" s="124" t="n"/>
      <c r="CN130" s="320">
        <f>BK130+BU130+BX130+CA130+CD130+CG130+CJ130+CM130</f>
        <v/>
      </c>
      <c r="CO130" s="122" t="n"/>
      <c r="CP130" s="320">
        <f>CR130*G130</f>
        <v/>
      </c>
      <c r="CQ130" s="124">
        <f>AL130+AZ130+AQ130</f>
        <v/>
      </c>
      <c r="CR130" s="159">
        <f>AV130-AZ130-BS130-BV130-BY130-CB130</f>
        <v/>
      </c>
      <c r="CS130" s="155" t="n"/>
      <c r="CT130" s="155" t="n"/>
      <c r="CU130" s="177" t="n"/>
      <c r="CV130" s="177" t="n"/>
      <c r="CW130" s="325" t="n"/>
    </row>
    <row r="131" ht="19.9" customFormat="1" customHeight="1" s="67">
      <c r="A131" s="120" t="inlineStr">
        <is>
          <t>Grupo Alucentro</t>
        </is>
      </c>
      <c r="B131" s="65" t="n">
        <v>10078058</v>
      </c>
      <c r="C131" s="120" t="inlineStr">
        <is>
          <t>Alucentro Independência</t>
        </is>
      </c>
      <c r="D131" s="121" t="inlineStr">
        <is>
          <t xml:space="preserve">Goiânia </t>
        </is>
      </c>
      <c r="E131" s="121" t="inlineStr">
        <is>
          <t>Setembro/2022</t>
        </is>
      </c>
      <c r="F131" s="122" t="n">
        <v>7656</v>
      </c>
      <c r="G131" s="320" t="n"/>
      <c r="H131" s="124">
        <f>F131*G131</f>
        <v/>
      </c>
      <c r="I131" s="121" t="n"/>
      <c r="J131" s="125" t="n"/>
      <c r="K131" s="65" t="inlineStr">
        <is>
          <t>145 de 440W</t>
        </is>
      </c>
      <c r="L131" s="121" t="n"/>
      <c r="M131" s="126" t="inlineStr">
        <is>
          <t>Junho/2023</t>
        </is>
      </c>
      <c r="N131" s="126" t="inlineStr">
        <is>
          <t>23/06/2023 a 25/07/2023</t>
        </is>
      </c>
      <c r="O131" s="321" t="n">
        <v>94.55</v>
      </c>
      <c r="P131" s="321" t="n">
        <v>0</v>
      </c>
      <c r="Q131" s="321" t="n">
        <v>0</v>
      </c>
      <c r="R131" s="207" t="n"/>
      <c r="S131" s="321" t="n">
        <v>0</v>
      </c>
      <c r="T131" s="321" t="n">
        <v>0</v>
      </c>
      <c r="U131" s="321" t="n">
        <v>11.04</v>
      </c>
      <c r="V131" s="321" t="n">
        <v>0</v>
      </c>
      <c r="W131" s="321" t="n">
        <v>0</v>
      </c>
      <c r="X131" s="321" t="n"/>
      <c r="Y131" s="321" t="n"/>
      <c r="Z131" s="321" t="n"/>
      <c r="AA131" s="321" t="n"/>
      <c r="AB131" s="322" t="n">
        <v>0.835099</v>
      </c>
      <c r="AC131" s="322" t="n">
        <v>0.835099</v>
      </c>
      <c r="AD131" s="124" t="n">
        <v>0</v>
      </c>
      <c r="AE131" s="124" t="n">
        <v>3136.1</v>
      </c>
      <c r="AF131" s="124" t="n">
        <v>0</v>
      </c>
      <c r="AG131" s="124">
        <f>SUM(AD131:AF131)</f>
        <v/>
      </c>
      <c r="AH131" s="124">
        <f>(AD131*AB131)+((AE131+AF131)*AC131)</f>
        <v/>
      </c>
      <c r="AI131" s="124">
        <f>AD131-AS131</f>
        <v/>
      </c>
      <c r="AJ131" s="124">
        <f>AE131-AT131</f>
        <v/>
      </c>
      <c r="AK131" s="124">
        <f>AF131-AU131</f>
        <v/>
      </c>
      <c r="AL131" s="210">
        <f>SUM(AI131:AK131)</f>
        <v/>
      </c>
      <c r="AM131" s="337">
        <f>(AI131*AB131)+((AJ131+AK131)*AC131)</f>
        <v/>
      </c>
      <c r="AN131" s="143" t="n">
        <v>0</v>
      </c>
      <c r="AO131" s="143" t="n">
        <v>176</v>
      </c>
      <c r="AP131" s="143" t="n">
        <v>0</v>
      </c>
      <c r="AQ131" s="124">
        <f>SUM(AN131:AP131)</f>
        <v/>
      </c>
      <c r="AR131" s="321">
        <f>(AN131*AB131)+((AO131+AP131)*AC131)</f>
        <v/>
      </c>
      <c r="AS131" s="143" t="n">
        <v>0</v>
      </c>
      <c r="AT131" s="143" t="n">
        <v>6653</v>
      </c>
      <c r="AU131" s="143" t="n">
        <v>0</v>
      </c>
      <c r="AV131" s="143">
        <f>SUM(AS131:AU131)</f>
        <v/>
      </c>
      <c r="AW131" s="143" t="n">
        <v>0</v>
      </c>
      <c r="AX131" s="143" t="n">
        <v>76</v>
      </c>
      <c r="AY131" s="143" t="n">
        <v>0</v>
      </c>
      <c r="AZ131" s="143">
        <f>SUM(AW131:AY131)</f>
        <v/>
      </c>
      <c r="BA131" s="335">
        <f>(AW131*AB131)+((AX131+AY131)*AC131)</f>
        <v/>
      </c>
      <c r="BB131" s="141">
        <f>AN131-AW131</f>
        <v/>
      </c>
      <c r="BC131" s="141">
        <f>BB131*AB131</f>
        <v/>
      </c>
      <c r="BD131" s="141">
        <f>AO131-AX131</f>
        <v/>
      </c>
      <c r="BE131" s="141">
        <f>BD131*AC131</f>
        <v/>
      </c>
      <c r="BF131" s="141">
        <f>AP131-AY131</f>
        <v/>
      </c>
      <c r="BG131" s="141">
        <f>BF131*AC131</f>
        <v/>
      </c>
      <c r="BH131" s="141">
        <f>BB131+BD131+BF131</f>
        <v/>
      </c>
      <c r="BI131" s="141">
        <f>BC131+BE131+BG131</f>
        <v/>
      </c>
      <c r="BJ131" s="324">
        <f>BL131+BS131+BV131+BY131+CB131+CE131+CH131+CK131</f>
        <v/>
      </c>
      <c r="BK131" s="320">
        <f>((AI131+AW131)*AB131)+((AJ131+AK131+AX131+AY131)*AC131)</f>
        <v/>
      </c>
      <c r="BL131" s="132">
        <f>BM131+BN131+AL131</f>
        <v/>
      </c>
      <c r="BM131" s="133">
        <f>AW131</f>
        <v/>
      </c>
      <c r="BN131" s="133">
        <f>AX131+AY131</f>
        <v/>
      </c>
      <c r="BO131" s="334" t="n"/>
      <c r="BP131" s="334" t="n"/>
      <c r="BQ131" s="334" t="n">
        <v>0</v>
      </c>
      <c r="BR131" s="334" t="n"/>
      <c r="BS131" s="143" t="n">
        <v>332.65</v>
      </c>
      <c r="BT131" s="322" t="n">
        <v>0.835099</v>
      </c>
      <c r="BU131" s="320">
        <f>BS131*BT131</f>
        <v/>
      </c>
      <c r="BV131" s="143" t="n">
        <v>2100</v>
      </c>
      <c r="BW131" s="334" t="n">
        <v>0.785004</v>
      </c>
      <c r="BX131" s="320">
        <f>BV131*BW131</f>
        <v/>
      </c>
      <c r="BY131" s="143" t="n">
        <v>2419.01</v>
      </c>
      <c r="BZ131" s="334" t="n">
        <v>0.785004</v>
      </c>
      <c r="CA131" s="124">
        <f>BY131*BZ131</f>
        <v/>
      </c>
      <c r="CB131" s="143" t="n">
        <v>194</v>
      </c>
      <c r="CC131" s="334" t="n">
        <v>0.835099</v>
      </c>
      <c r="CD131" s="333">
        <f>CB131*CC131</f>
        <v/>
      </c>
      <c r="CE131" s="143" t="n">
        <v>0</v>
      </c>
      <c r="CF131" s="334" t="n">
        <v>0.785004</v>
      </c>
      <c r="CG131" s="143" t="n"/>
      <c r="CH131" s="143" t="n"/>
      <c r="CI131" s="334" t="n"/>
      <c r="CJ131" s="143" t="n"/>
      <c r="CK131" s="143" t="n"/>
      <c r="CL131" s="334" t="n"/>
      <c r="CM131" s="143" t="n"/>
      <c r="CN131" s="320">
        <f>BK131+BU131+BX131+CA131+CD131+CG131+CJ131+CM131</f>
        <v/>
      </c>
      <c r="CO131" s="141" t="n"/>
      <c r="CP131" s="320">
        <f>CR131*G131</f>
        <v/>
      </c>
      <c r="CQ131" s="124">
        <f>AL131+AZ131+AQ131</f>
        <v/>
      </c>
      <c r="CR131" s="159">
        <f>AV131-AZ131-BS131-BV131-BY131-CB131</f>
        <v/>
      </c>
      <c r="CS131" s="155" t="n"/>
      <c r="CT131" s="155" t="n"/>
      <c r="CU131" s="177" t="n"/>
      <c r="CV131" s="177" t="n"/>
      <c r="CW131" s="325" t="n"/>
    </row>
    <row r="132" ht="19.9" customFormat="1" customHeight="1" s="67">
      <c r="A132" s="139" t="inlineStr">
        <is>
          <t>Grupo Alucentro</t>
        </is>
      </c>
      <c r="B132" s="66" t="n">
        <v>10078058</v>
      </c>
      <c r="C132" s="139" t="inlineStr">
        <is>
          <t>Alucentro Independência</t>
        </is>
      </c>
      <c r="D132" s="140" t="inlineStr">
        <is>
          <t xml:space="preserve">Goiânia </t>
        </is>
      </c>
      <c r="E132" s="140" t="inlineStr">
        <is>
          <t>Setembro/2022</t>
        </is>
      </c>
      <c r="F132" s="141" t="n">
        <v>7656</v>
      </c>
      <c r="G132" s="334" t="n"/>
      <c r="H132" s="143">
        <f>F132*G132</f>
        <v/>
      </c>
      <c r="I132" s="140" t="n"/>
      <c r="J132" s="144" t="n"/>
      <c r="K132" s="66" t="inlineStr">
        <is>
          <t>145 de 440W</t>
        </is>
      </c>
      <c r="L132" s="140" t="n"/>
      <c r="M132" s="145" t="inlineStr">
        <is>
          <t>Julho/2023</t>
        </is>
      </c>
      <c r="N132" s="145" t="inlineStr">
        <is>
          <t>25/07/2023 a 24/08/2023</t>
        </is>
      </c>
      <c r="O132" s="331" t="n">
        <v>96.3</v>
      </c>
      <c r="P132" s="331" t="n">
        <v>0</v>
      </c>
      <c r="Q132" s="331" t="n">
        <v>0</v>
      </c>
      <c r="R132" s="147" t="n"/>
      <c r="S132" s="331" t="n">
        <v>0</v>
      </c>
      <c r="T132" s="331" t="n">
        <v>0</v>
      </c>
      <c r="U132" s="331" t="n">
        <v>11.83</v>
      </c>
      <c r="V132" s="331" t="n">
        <v>0</v>
      </c>
      <c r="W132" s="331" t="n">
        <v>0</v>
      </c>
      <c r="X132" s="331" t="n"/>
      <c r="Y132" s="331" t="n"/>
      <c r="Z132" s="331" t="n"/>
      <c r="AA132" s="331" t="n"/>
      <c r="AB132" s="332" t="n">
        <v>0.844714</v>
      </c>
      <c r="AC132" s="332" t="n">
        <v>0.844714</v>
      </c>
      <c r="AD132" s="143" t="n">
        <v>0</v>
      </c>
      <c r="AE132" s="173" t="n">
        <v>0</v>
      </c>
      <c r="AF132" s="143" t="n">
        <v>0</v>
      </c>
      <c r="AG132" s="143">
        <f>SUM(AD132:AF132)</f>
        <v/>
      </c>
      <c r="AH132" s="143">
        <f>(AD132*AB132)+((AE132+AF132)*AC132)</f>
        <v/>
      </c>
      <c r="AI132" s="143">
        <f>AD132-AS132</f>
        <v/>
      </c>
      <c r="AJ132" s="143">
        <f>AE132-AT132</f>
        <v/>
      </c>
      <c r="AK132" s="143">
        <f>AF132-AU132</f>
        <v/>
      </c>
      <c r="AL132" s="208">
        <f>SUM(AI132:AK132)</f>
        <v/>
      </c>
      <c r="AM132" s="336">
        <f>(AI132*AB132)+((AJ132+AK132)*AC132)</f>
        <v/>
      </c>
      <c r="AN132" s="124" t="n">
        <v>0</v>
      </c>
      <c r="AO132" s="124" t="n">
        <v>214</v>
      </c>
      <c r="AP132" s="124" t="n">
        <v>0</v>
      </c>
      <c r="AQ132" s="143">
        <f>SUM(AN132:AP132)</f>
        <v/>
      </c>
      <c r="AR132" s="331">
        <f>(AN132*AB132)+((AO132+AP132)*AC132)</f>
        <v/>
      </c>
      <c r="AS132" s="124" t="n">
        <v>0</v>
      </c>
      <c r="AT132" s="124" t="n">
        <v>5631</v>
      </c>
      <c r="AU132" s="124" t="n">
        <v>0</v>
      </c>
      <c r="AV132" s="124">
        <f>SUM(AS132:AU132)</f>
        <v/>
      </c>
      <c r="AW132" s="124" t="n">
        <v>0</v>
      </c>
      <c r="AX132" s="124" t="n">
        <v>114</v>
      </c>
      <c r="AY132" s="124" t="n">
        <v>0</v>
      </c>
      <c r="AZ132" s="124">
        <f>SUM(AW132:AY132)</f>
        <v/>
      </c>
      <c r="BA132" s="335">
        <f>(AW132*AB132)+((AX132+AY132)*AC132)</f>
        <v/>
      </c>
      <c r="BB132" s="122">
        <f>AN132-AW132</f>
        <v/>
      </c>
      <c r="BC132" s="141">
        <f>BB132*AB132</f>
        <v/>
      </c>
      <c r="BD132" s="122">
        <f>AO132-AX132</f>
        <v/>
      </c>
      <c r="BE132" s="122">
        <f>BD132*AC132</f>
        <v/>
      </c>
      <c r="BF132" s="122">
        <f>AP132-AY132</f>
        <v/>
      </c>
      <c r="BG132" s="122">
        <f>BF132*AC132</f>
        <v/>
      </c>
      <c r="BH132" s="122">
        <f>BB132+BD132+BF132</f>
        <v/>
      </c>
      <c r="BI132" s="122">
        <f>BC132+BE132+BG132</f>
        <v/>
      </c>
      <c r="BJ132" s="324">
        <f>BL132+BS132+BV132+BY132+CB132+CE132+CH132+CK132</f>
        <v/>
      </c>
      <c r="BK132" s="320">
        <f>((AI132+AW132)*AB132)+((AJ132+AK132+AX132+AY132)*AC132)</f>
        <v/>
      </c>
      <c r="BL132" s="132">
        <f>BM132+BN132+AL132</f>
        <v/>
      </c>
      <c r="BM132" s="133">
        <f>AW132</f>
        <v/>
      </c>
      <c r="BN132" s="133">
        <f>AX132+AY132</f>
        <v/>
      </c>
      <c r="BO132" s="320" t="n"/>
      <c r="BP132" s="320" t="n"/>
      <c r="BQ132" s="320" t="n">
        <v>0</v>
      </c>
      <c r="BR132" s="320" t="n"/>
      <c r="BS132" s="124" t="n">
        <v>281.55</v>
      </c>
      <c r="BT132" s="332" t="n">
        <v>0.844714</v>
      </c>
      <c r="BU132" s="320">
        <f>BS132*BT132</f>
        <v/>
      </c>
      <c r="BV132" s="124" t="n">
        <v>2128.96</v>
      </c>
      <c r="BW132" s="320" t="n">
        <v>0.7940043</v>
      </c>
      <c r="BX132" s="320">
        <f>BV132*BW132</f>
        <v/>
      </c>
      <c r="BY132" s="124" t="n">
        <v>2395.08</v>
      </c>
      <c r="BZ132" s="320" t="n">
        <v>0.7940043</v>
      </c>
      <c r="CA132" s="124">
        <f>BY132*BZ132</f>
        <v/>
      </c>
      <c r="CB132" s="124" t="n">
        <v>202.51</v>
      </c>
      <c r="CC132" s="320" t="n">
        <v>0.844714</v>
      </c>
      <c r="CD132" s="333">
        <f>CB132*CC132</f>
        <v/>
      </c>
      <c r="CE132" s="124" t="n">
        <v>984.4</v>
      </c>
      <c r="CF132" s="320" t="n">
        <v>0.7940043</v>
      </c>
      <c r="CG132" s="124" t="n"/>
      <c r="CH132" s="124" t="n"/>
      <c r="CI132" s="320" t="n"/>
      <c r="CJ132" s="124" t="n"/>
      <c r="CK132" s="124" t="n"/>
      <c r="CL132" s="320" t="n"/>
      <c r="CM132" s="124" t="n"/>
      <c r="CN132" s="320">
        <f>BK132+BU132+BX132+CA132+CD132+CG132+CJ132+CM132</f>
        <v/>
      </c>
      <c r="CO132" s="122" t="n"/>
      <c r="CP132" s="320">
        <f>CR132*G132</f>
        <v/>
      </c>
      <c r="CQ132" s="124">
        <f>AL132+AZ132+AQ132</f>
        <v/>
      </c>
      <c r="CR132" s="159">
        <f>AV132-AZ132-BS132-BV132-BY132-CB132</f>
        <v/>
      </c>
      <c r="CS132" s="155" t="n"/>
      <c r="CT132" s="155" t="n"/>
      <c r="CU132" s="177" t="n"/>
      <c r="CV132" s="177" t="n"/>
      <c r="CW132" s="325" t="n"/>
    </row>
    <row r="133" ht="19.9" customFormat="1" customHeight="1" s="67">
      <c r="A133" s="120" t="inlineStr">
        <is>
          <t>Grupo Alucentro</t>
        </is>
      </c>
      <c r="B133" s="65" t="n">
        <v>10078058</v>
      </c>
      <c r="C133" s="120" t="inlineStr">
        <is>
          <t>Alucentro Independência</t>
        </is>
      </c>
      <c r="D133" s="121" t="inlineStr">
        <is>
          <t xml:space="preserve">Goiânia </t>
        </is>
      </c>
      <c r="E133" s="121" t="inlineStr">
        <is>
          <t>Setembro/2022</t>
        </is>
      </c>
      <c r="F133" s="122" t="n">
        <v>7656</v>
      </c>
      <c r="G133" s="320" t="n"/>
      <c r="H133" s="124">
        <f>F133*G133</f>
        <v/>
      </c>
      <c r="I133" s="121" t="n"/>
      <c r="J133" s="125" t="n"/>
      <c r="K133" s="65" t="inlineStr">
        <is>
          <t>145 de 440W</t>
        </is>
      </c>
      <c r="L133" s="121" t="n"/>
      <c r="M133" s="126" t="inlineStr">
        <is>
          <t>Agosto/2023</t>
        </is>
      </c>
      <c r="N133" s="126" t="inlineStr">
        <is>
          <t>24/08/2023 a 21/09/2023</t>
        </is>
      </c>
      <c r="O133" s="321" t="n">
        <v>93.44</v>
      </c>
      <c r="P133" s="321" t="n">
        <v>0</v>
      </c>
      <c r="Q133" s="321" t="n">
        <v>0</v>
      </c>
      <c r="R133" s="207" t="n"/>
      <c r="S133" s="321" t="n">
        <v>0</v>
      </c>
      <c r="T133" s="321" t="n">
        <v>0</v>
      </c>
      <c r="U133" s="321" t="n">
        <v>11.22</v>
      </c>
      <c r="V133" s="321" t="n">
        <v>0</v>
      </c>
      <c r="W133" s="321" t="n">
        <v>0</v>
      </c>
      <c r="X133" s="321" t="n"/>
      <c r="Y133" s="321" t="n"/>
      <c r="Z133" s="321" t="n"/>
      <c r="AA133" s="321" t="n"/>
      <c r="AB133" s="322" t="n">
        <v>0.822137</v>
      </c>
      <c r="AC133" s="322" t="n">
        <v>0.822137</v>
      </c>
      <c r="AD133" s="124" t="n">
        <v>0</v>
      </c>
      <c r="AE133" s="124" t="n">
        <v>6811.900000000001</v>
      </c>
      <c r="AF133" s="124" t="n">
        <v>0</v>
      </c>
      <c r="AG133" s="124">
        <f>SUM(AD133:AF133)</f>
        <v/>
      </c>
      <c r="AH133" s="124">
        <f>(AD133*AB133)+((AE133+AF133)*AC133)</f>
        <v/>
      </c>
      <c r="AI133" s="124">
        <f>AD133-AS133</f>
        <v/>
      </c>
      <c r="AJ133" s="124">
        <f>AE133-AT133</f>
        <v/>
      </c>
      <c r="AK133" s="124">
        <f>AF133-AU133</f>
        <v/>
      </c>
      <c r="AL133" s="210">
        <f>SUM(AI133:AK133)</f>
        <v/>
      </c>
      <c r="AM133" s="337">
        <f>(AI133*AB133)+((AJ133+AK133)*AC133)</f>
        <v/>
      </c>
      <c r="AN133" s="143" t="n">
        <v>0</v>
      </c>
      <c r="AO133" s="143" t="n">
        <v>186</v>
      </c>
      <c r="AP133" s="143" t="n">
        <v>0</v>
      </c>
      <c r="AQ133" s="124">
        <f>SUM(AN133:AP133)</f>
        <v/>
      </c>
      <c r="AR133" s="321">
        <f>(AN133*AB133)+((AO133+AP133)*AC133)</f>
        <v/>
      </c>
      <c r="AS133" s="143" t="n">
        <v>0</v>
      </c>
      <c r="AT133" s="143" t="n">
        <v>7687</v>
      </c>
      <c r="AU133" s="143" t="n">
        <v>0</v>
      </c>
      <c r="AV133" s="143">
        <f>SUM(AS133:AU133)</f>
        <v/>
      </c>
      <c r="AW133" s="143" t="n">
        <v>0</v>
      </c>
      <c r="AX133" s="143" t="n">
        <v>86</v>
      </c>
      <c r="AY133" s="143" t="n">
        <v>0</v>
      </c>
      <c r="AZ133" s="143">
        <f>SUM(AW133:AY133)</f>
        <v/>
      </c>
      <c r="BA133" s="335">
        <f>(AW133*AB133)+((AX133+AY133)*AC133)</f>
        <v/>
      </c>
      <c r="BB133" s="141">
        <f>AN133-AW133</f>
        <v/>
      </c>
      <c r="BC133" s="141">
        <f>BB133*AB133</f>
        <v/>
      </c>
      <c r="BD133" s="141">
        <f>AO133-AX133</f>
        <v/>
      </c>
      <c r="BE133" s="141">
        <f>BD133*AC133</f>
        <v/>
      </c>
      <c r="BF133" s="141">
        <f>AP133-AY133</f>
        <v/>
      </c>
      <c r="BG133" s="141">
        <f>BF133*AC133</f>
        <v/>
      </c>
      <c r="BH133" s="141">
        <f>BB133+BD133+BF133</f>
        <v/>
      </c>
      <c r="BI133" s="141">
        <f>BC133+BE133+BG133</f>
        <v/>
      </c>
      <c r="BJ133" s="324">
        <f>BL133+BS133+BV133+BY133+CB133+CE133+CH133+CK133</f>
        <v/>
      </c>
      <c r="BK133" s="320">
        <f>((AI133+AW133)*AB133)+((AJ133+AK133+AX133+AY133)*AC133)</f>
        <v/>
      </c>
      <c r="BL133" s="132">
        <f>BM133+BN133+AL133</f>
        <v/>
      </c>
      <c r="BM133" s="133">
        <f>AW133</f>
        <v/>
      </c>
      <c r="BN133" s="133">
        <f>AX133+AY133</f>
        <v/>
      </c>
      <c r="BO133" s="334" t="n"/>
      <c r="BP133" s="334" t="n"/>
      <c r="BQ133" s="334" t="n">
        <v>0</v>
      </c>
      <c r="BR133" s="334" t="n"/>
      <c r="BS133" s="143" t="n">
        <v>384.35</v>
      </c>
      <c r="BT133" s="322" t="n">
        <v>0.822137</v>
      </c>
      <c r="BU133" s="320">
        <f>BS133*BT133</f>
        <v/>
      </c>
      <c r="BV133" s="143" t="n">
        <v>1801.92</v>
      </c>
      <c r="BW133" s="334" t="n">
        <v>0.77282</v>
      </c>
      <c r="BX133" s="320">
        <f>BV133*BW133</f>
        <v/>
      </c>
      <c r="BY133" s="143" t="n">
        <v>2027.16</v>
      </c>
      <c r="BZ133" s="334" t="n">
        <v>0.77282</v>
      </c>
      <c r="CA133" s="124">
        <f>BY133*BZ133</f>
        <v/>
      </c>
      <c r="CB133" s="143" t="n">
        <v>168.93</v>
      </c>
      <c r="CC133" s="334" t="n">
        <v>0.822137</v>
      </c>
      <c r="CD133" s="333">
        <f>CB133*CC133</f>
        <v/>
      </c>
      <c r="CE133" s="143" t="n">
        <v>1234</v>
      </c>
      <c r="CF133" s="334" t="n">
        <v>0.77282</v>
      </c>
      <c r="CG133" s="143" t="n"/>
      <c r="CH133" s="143" t="n"/>
      <c r="CI133" s="334" t="n"/>
      <c r="CJ133" s="143" t="n"/>
      <c r="CK133" s="143" t="n"/>
      <c r="CL133" s="334" t="n"/>
      <c r="CM133" s="143" t="n"/>
      <c r="CN133" s="320">
        <f>BK133+BU133+BX133+CA133+CD133+CG133+CJ133+CM133</f>
        <v/>
      </c>
      <c r="CO133" s="141" t="n"/>
      <c r="CP133" s="320">
        <f>CR133*G133</f>
        <v/>
      </c>
      <c r="CQ133" s="124">
        <f>AL133+AZ133+AQ133</f>
        <v/>
      </c>
      <c r="CR133" s="159">
        <f>AV133-AZ133-BS133-BV133-BY133-CB133</f>
        <v/>
      </c>
      <c r="CS133" s="155" t="n"/>
      <c r="CT133" s="155" t="n"/>
      <c r="CU133" s="177" t="n"/>
      <c r="CV133" s="177" t="n"/>
      <c r="CW133" s="325" t="n"/>
    </row>
    <row r="134" ht="19.9" customFormat="1" customHeight="1" s="67">
      <c r="A134" s="233" t="inlineStr">
        <is>
          <t>Grupo Alucentro</t>
        </is>
      </c>
      <c r="B134" s="66" t="n">
        <v>10078058</v>
      </c>
      <c r="C134" s="233" t="inlineStr">
        <is>
          <t>Alucentro Independência</t>
        </is>
      </c>
      <c r="D134" s="140" t="inlineStr">
        <is>
          <t xml:space="preserve">Goiânia </t>
        </is>
      </c>
      <c r="E134" s="140" t="inlineStr">
        <is>
          <t>Setembro/2022</t>
        </is>
      </c>
      <c r="F134" s="141" t="n">
        <v>7656</v>
      </c>
      <c r="G134" s="334" t="n"/>
      <c r="H134" s="143">
        <f>F134*G134</f>
        <v/>
      </c>
      <c r="I134" s="140" t="n"/>
      <c r="J134" s="144" t="n"/>
      <c r="K134" s="66" t="inlineStr">
        <is>
          <t>145 de 440W</t>
        </is>
      </c>
      <c r="L134" s="140" t="n"/>
      <c r="M134" s="145" t="inlineStr">
        <is>
          <t>Setembro/2023</t>
        </is>
      </c>
      <c r="N134" s="145" t="inlineStr">
        <is>
          <t>21/09/2023 a 23/10/2023</t>
        </is>
      </c>
      <c r="O134" s="331" t="n">
        <v>99.16</v>
      </c>
      <c r="P134" s="331" t="n">
        <v>0</v>
      </c>
      <c r="Q134" s="331" t="n">
        <v>0</v>
      </c>
      <c r="R134" s="147" t="n"/>
      <c r="S134" s="331" t="n">
        <v>0</v>
      </c>
      <c r="T134" s="331" t="n">
        <v>0</v>
      </c>
      <c r="U134" s="331" t="n">
        <v>14.91</v>
      </c>
      <c r="V134" s="331" t="n">
        <v>0</v>
      </c>
      <c r="W134" s="331" t="n">
        <v>0</v>
      </c>
      <c r="X134" s="331" t="n"/>
      <c r="Y134" s="331" t="n"/>
      <c r="Z134" s="331" t="n"/>
      <c r="AA134" s="331" t="n"/>
      <c r="AB134" s="332" t="n">
        <v>0.842499</v>
      </c>
      <c r="AC134" s="332" t="n">
        <v>0.842499</v>
      </c>
      <c r="AD134" s="143" t="n">
        <v>0</v>
      </c>
      <c r="AE134" s="173" t="n">
        <v>10124.7</v>
      </c>
      <c r="AF134" s="143" t="n">
        <v>0</v>
      </c>
      <c r="AG134" s="143">
        <f>SUM(AD134:AF134)</f>
        <v/>
      </c>
      <c r="AH134" s="143">
        <f>(AD134*AB134)+((AE134+AF134)*AC134)</f>
        <v/>
      </c>
      <c r="AI134" s="143">
        <f>AD134-AS134</f>
        <v/>
      </c>
      <c r="AJ134" s="143">
        <f>AE134-AT134</f>
        <v/>
      </c>
      <c r="AK134" s="143">
        <f>AF134-AU134</f>
        <v/>
      </c>
      <c r="AL134" s="208">
        <f>SUM(AI134:AK134)</f>
        <v/>
      </c>
      <c r="AM134" s="336">
        <f>(AI134*AB134)+((AJ134+AK134)*AC134)</f>
        <v/>
      </c>
      <c r="AN134" s="124" t="n">
        <v>0</v>
      </c>
      <c r="AO134" s="124" t="n">
        <v>239</v>
      </c>
      <c r="AP134" s="124" t="n">
        <v>0</v>
      </c>
      <c r="AQ134" s="143">
        <f>SUM(AN134:AP134)</f>
        <v/>
      </c>
      <c r="AR134" s="331">
        <f>(AN134*AB134)+((AO134+AP134)*AC134)</f>
        <v/>
      </c>
      <c r="AS134" s="124" t="n">
        <v>0</v>
      </c>
      <c r="AT134" s="124" t="n">
        <v>9336</v>
      </c>
      <c r="AU134" s="124" t="n">
        <v>0</v>
      </c>
      <c r="AV134" s="124">
        <f>SUM(AS134:AU134)</f>
        <v/>
      </c>
      <c r="AW134" s="124" t="n">
        <v>0</v>
      </c>
      <c r="AX134" s="124" t="n">
        <v>139</v>
      </c>
      <c r="AY134" s="124" t="n">
        <v>0</v>
      </c>
      <c r="AZ134" s="124">
        <f>SUM(AW134:AY134)</f>
        <v/>
      </c>
      <c r="BA134" s="335">
        <f>(AW134*AB134)+((AX134+AY134)*AC134)</f>
        <v/>
      </c>
      <c r="BB134" s="122">
        <f>AN134-AW134</f>
        <v/>
      </c>
      <c r="BC134" s="141">
        <f>BB134*AB134</f>
        <v/>
      </c>
      <c r="BD134" s="122">
        <f>AO134-AX134</f>
        <v/>
      </c>
      <c r="BE134" s="122">
        <f>BD134*AC134</f>
        <v/>
      </c>
      <c r="BF134" s="122">
        <f>AP134-AY134</f>
        <v/>
      </c>
      <c r="BG134" s="122">
        <f>BF134*AC134</f>
        <v/>
      </c>
      <c r="BH134" s="122">
        <f>BB134+BD134+BF134</f>
        <v/>
      </c>
      <c r="BI134" s="122">
        <f>BC134+BE134+BG134</f>
        <v/>
      </c>
      <c r="BJ134" s="324">
        <f>BL134+BS134+BV134+BY134+CB134+CE134+CH134+CK134</f>
        <v/>
      </c>
      <c r="BK134" s="320">
        <f>((AI134+AW134)*AB134)+((AJ134+AK134+AX134+AY134)*AC134)</f>
        <v/>
      </c>
      <c r="BL134" s="132">
        <f>BM134+BN134+AL134</f>
        <v/>
      </c>
      <c r="BM134" s="133">
        <f>AW134</f>
        <v/>
      </c>
      <c r="BN134" s="133">
        <f>AX134+AY134</f>
        <v/>
      </c>
      <c r="BO134" s="320" t="n"/>
      <c r="BP134" s="320" t="n"/>
      <c r="BQ134" s="320" t="n">
        <v>0</v>
      </c>
      <c r="BR134" s="320" t="n"/>
      <c r="BS134" s="124" t="n">
        <v>466.8</v>
      </c>
      <c r="BT134" s="332" t="n">
        <v>0.842499</v>
      </c>
      <c r="BU134" s="320">
        <f>BS134*BT134</f>
        <v/>
      </c>
      <c r="BV134" s="124" t="n">
        <v>2459.84</v>
      </c>
      <c r="BW134" s="320" t="n">
        <v>0.789048</v>
      </c>
      <c r="BX134" s="320">
        <f>BV134*BW134</f>
        <v/>
      </c>
      <c r="BY134" s="124" t="n">
        <v>2767.32</v>
      </c>
      <c r="BZ134" s="320" t="n">
        <v>0.789048</v>
      </c>
      <c r="CA134" s="124">
        <f>BY134*BZ134</f>
        <v/>
      </c>
      <c r="CB134" s="124" t="n">
        <v>230.61</v>
      </c>
      <c r="CC134" s="320" t="n">
        <v>0.842499</v>
      </c>
      <c r="CD134" s="333">
        <f>CB134*CC134</f>
        <v/>
      </c>
      <c r="CE134" s="124" t="n">
        <v>1428.59</v>
      </c>
      <c r="CF134" s="320" t="n">
        <v>0.789048</v>
      </c>
      <c r="CG134" s="124" t="n"/>
      <c r="CH134" s="124" t="n"/>
      <c r="CI134" s="320" t="n"/>
      <c r="CJ134" s="124" t="n"/>
      <c r="CK134" s="124" t="n"/>
      <c r="CL134" s="320" t="n"/>
      <c r="CM134" s="124" t="n"/>
      <c r="CN134" s="320">
        <f>BK134+BU134+BX134+CA134+CD134+CG134+CJ134+CM134</f>
        <v/>
      </c>
      <c r="CO134" s="122" t="n"/>
      <c r="CP134" s="320">
        <f>CR134*G134</f>
        <v/>
      </c>
      <c r="CQ134" s="124">
        <f>AL134+AZ134+AQ134</f>
        <v/>
      </c>
      <c r="CR134" s="159">
        <f>AV134-AZ134-BS134-BV134-BY134-CB134</f>
        <v/>
      </c>
      <c r="CS134" s="155" t="n"/>
      <c r="CT134" s="155" t="n"/>
      <c r="CU134" s="177" t="n"/>
      <c r="CV134" s="177" t="n"/>
      <c r="CW134" s="325" t="n"/>
    </row>
    <row r="135" ht="19.9" customFormat="1" customHeight="1" s="67">
      <c r="A135" s="120" t="inlineStr">
        <is>
          <t>Grupo Alucentro</t>
        </is>
      </c>
      <c r="B135" s="65" t="n">
        <v>10078058</v>
      </c>
      <c r="C135" s="120" t="inlineStr">
        <is>
          <t>Alucentro Independência</t>
        </is>
      </c>
      <c r="D135" s="121" t="inlineStr">
        <is>
          <t xml:space="preserve">Goiânia </t>
        </is>
      </c>
      <c r="E135" s="121" t="inlineStr">
        <is>
          <t>Setembro/2022</t>
        </is>
      </c>
      <c r="F135" s="122" t="n">
        <v>7656</v>
      </c>
      <c r="G135" s="320" t="n"/>
      <c r="H135" s="124">
        <f>F135*G135</f>
        <v/>
      </c>
      <c r="I135" s="121" t="n"/>
      <c r="J135" s="125" t="n"/>
      <c r="K135" s="65" t="inlineStr">
        <is>
          <t>145 de 440W</t>
        </is>
      </c>
      <c r="L135" s="121" t="n"/>
      <c r="M135" s="126" t="inlineStr">
        <is>
          <t>Outubro/2023</t>
        </is>
      </c>
      <c r="N135" s="126" t="inlineStr">
        <is>
          <t>23/10/2023 a 23/11/2023</t>
        </is>
      </c>
      <c r="O135" s="321" t="n">
        <v>106.11</v>
      </c>
      <c r="P135" s="321" t="n">
        <v>0</v>
      </c>
      <c r="Q135" s="321" t="n">
        <v>0</v>
      </c>
      <c r="R135" s="207" t="n"/>
      <c r="S135" s="321" t="n">
        <v>0</v>
      </c>
      <c r="T135" s="321" t="n">
        <v>0</v>
      </c>
      <c r="U135" s="321" t="n">
        <v>16.15</v>
      </c>
      <c r="V135" s="321" t="n">
        <v>0</v>
      </c>
      <c r="W135" s="321" t="n">
        <v>0</v>
      </c>
      <c r="X135" s="321" t="n"/>
      <c r="Y135" s="321" t="n"/>
      <c r="Z135" s="321" t="n"/>
      <c r="AA135" s="321" t="n"/>
      <c r="AB135" s="322" t="n">
        <v>0.899595</v>
      </c>
      <c r="AC135" s="322" t="n">
        <v>0.899595</v>
      </c>
      <c r="AD135" s="124" t="n">
        <v>0</v>
      </c>
      <c r="AE135" s="124" t="n">
        <v>10687.85</v>
      </c>
      <c r="AF135" s="124" t="n">
        <v>0</v>
      </c>
      <c r="AG135" s="124">
        <f>SUM(AD135:AF135)</f>
        <v/>
      </c>
      <c r="AH135" s="124">
        <f>(AD135*AB135)+((AE135+AF135)*AC135)</f>
        <v/>
      </c>
      <c r="AI135" s="124">
        <f>AD135-AS135</f>
        <v/>
      </c>
      <c r="AJ135" s="124">
        <f>AE135-AT135</f>
        <v/>
      </c>
      <c r="AK135" s="124">
        <f>AF135-AU135</f>
        <v/>
      </c>
      <c r="AL135" s="210">
        <f>SUM(AI135:AK135)</f>
        <v/>
      </c>
      <c r="AM135" s="337">
        <f>(AI135*AB135)+((AJ135+AK135)*AC135)</f>
        <v/>
      </c>
      <c r="AN135" s="143" t="n">
        <v>0</v>
      </c>
      <c r="AO135" s="143" t="n">
        <v>212</v>
      </c>
      <c r="AP135" s="143" t="n">
        <v>0</v>
      </c>
      <c r="AQ135" s="124">
        <f>SUM(AN135:AP135)</f>
        <v/>
      </c>
      <c r="AR135" s="321">
        <f>(AN135*AB135)+((AO135+AP135)*AC135)</f>
        <v/>
      </c>
      <c r="AS135" s="143" t="n">
        <v>0</v>
      </c>
      <c r="AT135" s="143" t="n">
        <v>9700</v>
      </c>
      <c r="AU135" s="143" t="n">
        <v>0</v>
      </c>
      <c r="AV135" s="143">
        <f>SUM(AS135:AU135)</f>
        <v/>
      </c>
      <c r="AW135" s="143" t="n">
        <v>0</v>
      </c>
      <c r="AX135" s="143" t="n">
        <v>112</v>
      </c>
      <c r="AY135" s="143" t="n">
        <v>0</v>
      </c>
      <c r="AZ135" s="143">
        <f>SUM(AW135:AY135)</f>
        <v/>
      </c>
      <c r="BA135" s="335">
        <f>(AW135*AB135)+((AX135+AY135)*AC135)</f>
        <v/>
      </c>
      <c r="BB135" s="141">
        <f>AN135-AW135</f>
        <v/>
      </c>
      <c r="BC135" s="141">
        <f>BB135*AB135</f>
        <v/>
      </c>
      <c r="BD135" s="141">
        <f>AO135-AX135</f>
        <v/>
      </c>
      <c r="BE135" s="141">
        <f>BD135*AC135</f>
        <v/>
      </c>
      <c r="BF135" s="141">
        <f>AP135-AY135</f>
        <v/>
      </c>
      <c r="BG135" s="141">
        <f>BF135*AC135</f>
        <v/>
      </c>
      <c r="BH135" s="141">
        <f>BB135+BD135+BF135</f>
        <v/>
      </c>
      <c r="BI135" s="141">
        <f>BC135+BE135+BG135</f>
        <v/>
      </c>
      <c r="BJ135" s="324">
        <f>BL135+BS135+BV135+BY135+CB135+CE135+CH135+CK135</f>
        <v/>
      </c>
      <c r="BK135" s="320">
        <f>((AI135+AW135)*AB135)+((AJ135+AK135+AX135+AY135)*AC135)</f>
        <v/>
      </c>
      <c r="BL135" s="132">
        <f>BM135+BN135+AL135</f>
        <v/>
      </c>
      <c r="BM135" s="133">
        <f>AW135</f>
        <v/>
      </c>
      <c r="BN135" s="133">
        <f>AX135+AY135</f>
        <v/>
      </c>
      <c r="BO135" s="334" t="n"/>
      <c r="BP135" s="334" t="n"/>
      <c r="BQ135" s="334" t="n">
        <v>0</v>
      </c>
      <c r="BR135" s="334" t="n"/>
      <c r="BS135" s="143" t="n">
        <v>485</v>
      </c>
      <c r="BT135" s="322" t="n">
        <v>0.899595</v>
      </c>
      <c r="BU135" s="320">
        <f>BS135*BT135</f>
        <v/>
      </c>
      <c r="BV135" s="143" t="n">
        <v>2987.52</v>
      </c>
      <c r="BW135" s="334" t="n">
        <v>0.862513</v>
      </c>
      <c r="BX135" s="320">
        <f>BV135*BW135</f>
        <v/>
      </c>
      <c r="BY135" s="143" t="n">
        <v>2511.76</v>
      </c>
      <c r="BZ135" s="334" t="n">
        <v>0.862513</v>
      </c>
      <c r="CA135" s="124">
        <f>BY135*BZ135</f>
        <v/>
      </c>
      <c r="CB135" s="143" t="n">
        <v>280.08</v>
      </c>
      <c r="CC135" s="334" t="n">
        <v>0.899595</v>
      </c>
      <c r="CD135" s="333">
        <f>CB135*CC135</f>
        <v/>
      </c>
      <c r="CE135" s="143" t="n">
        <v>1351.85</v>
      </c>
      <c r="CF135" s="334" t="n">
        <v>0.862513</v>
      </c>
      <c r="CG135" s="143" t="n"/>
      <c r="CH135" s="143" t="n"/>
      <c r="CI135" s="334" t="n"/>
      <c r="CJ135" s="143" t="n"/>
      <c r="CK135" s="143" t="n"/>
      <c r="CL135" s="334" t="n"/>
      <c r="CM135" s="143" t="n"/>
      <c r="CN135" s="320">
        <f>BK135+BU135+BX135+CA135+CD135+CG135+CJ135+CM135</f>
        <v/>
      </c>
      <c r="CO135" s="141" t="n"/>
      <c r="CP135" s="320">
        <f>CR135*G135</f>
        <v/>
      </c>
      <c r="CQ135" s="124">
        <f>AL135+AZ135+AQ135</f>
        <v/>
      </c>
      <c r="CR135" s="159">
        <f>AV135-AZ135-BS135-BV135-BY135-CB135</f>
        <v/>
      </c>
      <c r="CS135" s="155" t="n"/>
      <c r="CT135" s="155" t="n"/>
      <c r="CU135" s="177" t="n"/>
      <c r="CV135" s="177" t="n"/>
      <c r="CW135" s="325" t="n"/>
    </row>
    <row r="136" ht="19.9" customFormat="1" customHeight="1" s="67">
      <c r="A136" s="139" t="inlineStr">
        <is>
          <t>Grupo Alucentro</t>
        </is>
      </c>
      <c r="B136" s="66" t="n">
        <v>10078058</v>
      </c>
      <c r="C136" s="139" t="inlineStr">
        <is>
          <t>Alucentro Independência</t>
        </is>
      </c>
      <c r="D136" s="140" t="inlineStr">
        <is>
          <t xml:space="preserve">Goiânia </t>
        </is>
      </c>
      <c r="E136" s="140" t="inlineStr">
        <is>
          <t>Setembro/2022</t>
        </is>
      </c>
      <c r="F136" s="141" t="n">
        <v>7656</v>
      </c>
      <c r="G136" s="334" t="n"/>
      <c r="H136" s="143">
        <f>F136*G136</f>
        <v/>
      </c>
      <c r="I136" s="140" t="n"/>
      <c r="J136" s="144" t="n"/>
      <c r="K136" s="66" t="inlineStr">
        <is>
          <t>145 de 440W</t>
        </is>
      </c>
      <c r="L136" s="140" t="n"/>
      <c r="M136" s="145" t="inlineStr">
        <is>
          <t>Novembro/2023</t>
        </is>
      </c>
      <c r="N136" s="145" t="inlineStr">
        <is>
          <t>23/11/2023 a 26/12/2023</t>
        </is>
      </c>
      <c r="O136" s="331" t="n">
        <v>107.68</v>
      </c>
      <c r="P136" s="331" t="n">
        <v>0</v>
      </c>
      <c r="Q136" s="331" t="n">
        <v>0</v>
      </c>
      <c r="R136" s="147" t="n"/>
      <c r="S136" s="331" t="n">
        <v>0</v>
      </c>
      <c r="T136" s="331" t="n">
        <v>0</v>
      </c>
      <c r="U136" s="331" t="n">
        <v>17.16</v>
      </c>
      <c r="V136" s="331" t="n">
        <v>0</v>
      </c>
      <c r="W136" s="331" t="n">
        <v>0</v>
      </c>
      <c r="X136" s="331" t="n"/>
      <c r="Y136" s="331" t="n"/>
      <c r="Z136" s="331" t="n"/>
      <c r="AA136" s="331" t="n"/>
      <c r="AB136" s="332" t="n">
        <v>0.905265</v>
      </c>
      <c r="AC136" s="332" t="n">
        <v>0.905265</v>
      </c>
      <c r="AD136" s="143" t="n">
        <v>0</v>
      </c>
      <c r="AE136" s="173" t="n">
        <v>10381.2</v>
      </c>
      <c r="AF136" s="143" t="n">
        <v>0</v>
      </c>
      <c r="AG136" s="143">
        <f>SUM(AD136:AF136)</f>
        <v/>
      </c>
      <c r="AH136" s="143">
        <f>(AD136*AB136)+((AE136+AF136)*AC136)</f>
        <v/>
      </c>
      <c r="AI136" s="143">
        <f>AD136-AS136</f>
        <v/>
      </c>
      <c r="AJ136" s="143">
        <f>AE136-AT136</f>
        <v/>
      </c>
      <c r="AK136" s="143">
        <f>AF136-AU136</f>
        <v/>
      </c>
      <c r="AL136" s="208">
        <f>SUM(AI136:AK136)</f>
        <v/>
      </c>
      <c r="AM136" s="336">
        <f>(AI136*AB136)+((AJ136+AK136)*AC136)</f>
        <v/>
      </c>
      <c r="AN136" s="143" t="n">
        <v>0</v>
      </c>
      <c r="AO136" s="143" t="n">
        <v>223</v>
      </c>
      <c r="AP136" s="143" t="n">
        <v>0</v>
      </c>
      <c r="AQ136" s="143">
        <f>SUM(AN136:AP136)</f>
        <v/>
      </c>
      <c r="AR136" s="331">
        <f>(AN136*AB136)+((AO136+AP136)*AC136)</f>
        <v/>
      </c>
      <c r="AS136" s="143" t="n">
        <v>0</v>
      </c>
      <c r="AT136" s="143" t="n">
        <v>9812</v>
      </c>
      <c r="AU136" s="143" t="n">
        <v>0</v>
      </c>
      <c r="AV136" s="143">
        <f>SUM(AS136:AU136)</f>
        <v/>
      </c>
      <c r="AW136" s="143" t="n">
        <v>0</v>
      </c>
      <c r="AX136" s="143" t="n">
        <v>123</v>
      </c>
      <c r="AY136" s="143" t="n">
        <v>0</v>
      </c>
      <c r="AZ136" s="143">
        <f>SUM(AW136:AY136)</f>
        <v/>
      </c>
      <c r="BA136" s="335">
        <f>(AW136*AB136)+((AX136+AY136)*AC136)</f>
        <v/>
      </c>
      <c r="BB136" s="141">
        <f>AN136-AW136</f>
        <v/>
      </c>
      <c r="BC136" s="141">
        <f>BB136*AB136</f>
        <v/>
      </c>
      <c r="BD136" s="141">
        <f>AO136-AX136</f>
        <v/>
      </c>
      <c r="BE136" s="141">
        <f>BD136*AC136</f>
        <v/>
      </c>
      <c r="BF136" s="141">
        <f>AP136-AY136</f>
        <v/>
      </c>
      <c r="BG136" s="141">
        <f>BF136*AC136</f>
        <v/>
      </c>
      <c r="BH136" s="141">
        <f>BB136+BD136+BF136</f>
        <v/>
      </c>
      <c r="BI136" s="141">
        <f>BC136+BE136+BG136</f>
        <v/>
      </c>
      <c r="BJ136" s="324">
        <f>BL136+BS136+BV136+BY136+CB136+CE136+CH136+CK136</f>
        <v/>
      </c>
      <c r="BK136" s="320">
        <f>((AI136+AW136)*AB136)+((AJ136+AK136+AX136+AY136)*AC136)</f>
        <v/>
      </c>
      <c r="BL136" s="132">
        <f>BM136+BN136+AL136</f>
        <v/>
      </c>
      <c r="BM136" s="133">
        <f>AW136</f>
        <v/>
      </c>
      <c r="BN136" s="133">
        <f>AX136+AY136</f>
        <v/>
      </c>
      <c r="BO136" s="320" t="n"/>
      <c r="BP136" s="320" t="n"/>
      <c r="BQ136" s="320" t="n">
        <v>0</v>
      </c>
      <c r="BR136" s="320" t="n"/>
      <c r="BS136" s="124" t="n">
        <v>490.6</v>
      </c>
      <c r="BT136" s="332" t="n">
        <v>0.905265</v>
      </c>
      <c r="BU136" s="320">
        <f>BS136*BT136</f>
        <v/>
      </c>
      <c r="BV136" s="124" t="n">
        <v>3104</v>
      </c>
      <c r="BW136" s="320" t="n">
        <v>0.905265</v>
      </c>
      <c r="BX136" s="320">
        <f>BV136*BW136</f>
        <v/>
      </c>
      <c r="BY136" s="124" t="n">
        <v>2538.61</v>
      </c>
      <c r="BZ136" s="320" t="n">
        <v>0.905265</v>
      </c>
      <c r="CA136" s="124">
        <f>BY136*BZ136</f>
        <v/>
      </c>
      <c r="CB136" s="124" t="n">
        <v>291</v>
      </c>
      <c r="CC136" s="320" t="n">
        <v>0.905265</v>
      </c>
      <c r="CD136" s="333">
        <f>CB136*CC136</f>
        <v/>
      </c>
      <c r="CE136" s="124" t="n">
        <v>624.5599999999999</v>
      </c>
      <c r="CF136" s="320" t="n">
        <v>0.905265</v>
      </c>
      <c r="CG136" s="124" t="n"/>
      <c r="CH136" s="124" t="n"/>
      <c r="CI136" s="320" t="n"/>
      <c r="CJ136" s="124" t="n"/>
      <c r="CK136" s="124" t="n"/>
      <c r="CL136" s="320" t="n"/>
      <c r="CM136" s="124" t="n"/>
      <c r="CN136" s="320">
        <f>BK136+BU136+BX136+CA136+CD136+CG136+CJ136+CM136</f>
        <v/>
      </c>
      <c r="CO136" s="141" t="n"/>
      <c r="CP136" s="320">
        <f>CR136*G136</f>
        <v/>
      </c>
      <c r="CQ136" s="124">
        <f>AL136+AZ136+AQ136</f>
        <v/>
      </c>
      <c r="CR136" s="159">
        <f>AV136-AZ136-BS136-BV136-BY136-CB136</f>
        <v/>
      </c>
      <c r="CS136" s="155" t="n"/>
      <c r="CT136" s="155" t="n"/>
      <c r="CU136" s="177" t="n"/>
      <c r="CV136" s="177" t="n"/>
      <c r="CW136" s="325" t="n"/>
    </row>
    <row r="137" ht="19.9" customFormat="1" customHeight="1" s="67">
      <c r="A137" s="120" t="inlineStr">
        <is>
          <t>Grupo Alucentro</t>
        </is>
      </c>
      <c r="B137" s="65" t="n">
        <v>10078058</v>
      </c>
      <c r="C137" s="120" t="inlineStr">
        <is>
          <t>Alucentro Independência</t>
        </is>
      </c>
      <c r="D137" s="121" t="inlineStr">
        <is>
          <t xml:space="preserve">Goiânia </t>
        </is>
      </c>
      <c r="E137" s="121" t="inlineStr">
        <is>
          <t>Setembro/2022</t>
        </is>
      </c>
      <c r="F137" s="122" t="n">
        <v>7656</v>
      </c>
      <c r="G137" s="320" t="n"/>
      <c r="H137" s="124">
        <f>F137*G137</f>
        <v/>
      </c>
      <c r="I137" s="121" t="n"/>
      <c r="J137" s="125" t="n"/>
      <c r="K137" s="65" t="inlineStr">
        <is>
          <t>145 de 440W</t>
        </is>
      </c>
      <c r="L137" s="121" t="n"/>
      <c r="M137" s="126" t="inlineStr">
        <is>
          <t>Dezembro/2023</t>
        </is>
      </c>
      <c r="N137" s="126" t="inlineStr">
        <is>
          <t>26/12/2023 a 24/01/2024</t>
        </is>
      </c>
      <c r="O137" s="321" t="n">
        <v>102.84</v>
      </c>
      <c r="P137" s="321" t="n">
        <v>0</v>
      </c>
      <c r="Q137" s="321" t="n">
        <v>0</v>
      </c>
      <c r="R137" s="207" t="n"/>
      <c r="S137" s="321" t="n">
        <v>0</v>
      </c>
      <c r="T137" s="321" t="n">
        <v>0</v>
      </c>
      <c r="U137" s="321" t="n">
        <v>13.58</v>
      </c>
      <c r="V137" s="321" t="n">
        <v>0</v>
      </c>
      <c r="W137" s="321" t="n">
        <v>0</v>
      </c>
      <c r="X137" s="321" t="n"/>
      <c r="Y137" s="321" t="n"/>
      <c r="Z137" s="321" t="n"/>
      <c r="AA137" s="321" t="n"/>
      <c r="AB137" s="322" t="n">
        <v>0.8925999999999999</v>
      </c>
      <c r="AC137" s="322" t="n">
        <v>0.8925999999999999</v>
      </c>
      <c r="AD137" s="124" t="n">
        <v>0</v>
      </c>
      <c r="AE137" s="124" t="n">
        <v>8673.700000000001</v>
      </c>
      <c r="AF137" s="124" t="n">
        <v>0</v>
      </c>
      <c r="AG137" s="124">
        <f>SUM(AD137:AF137)</f>
        <v/>
      </c>
      <c r="AH137" s="124">
        <f>(AD137*AB137)+((AE137+AF137)*AC137)</f>
        <v/>
      </c>
      <c r="AI137" s="124">
        <f>AD137-AS137</f>
        <v/>
      </c>
      <c r="AJ137" s="124">
        <f>AE137-AT137</f>
        <v/>
      </c>
      <c r="AK137" s="124">
        <f>AF137-AU137</f>
        <v/>
      </c>
      <c r="AL137" s="210">
        <f>SUM(AI137:AK137)</f>
        <v/>
      </c>
      <c r="AM137" s="337">
        <f>(AI137*AB137)+((AJ137+AK137)*AC137)</f>
        <v/>
      </c>
      <c r="AN137" s="143" t="n">
        <v>0</v>
      </c>
      <c r="AO137" s="143" t="n">
        <v>194</v>
      </c>
      <c r="AP137" s="143" t="n">
        <v>0</v>
      </c>
      <c r="AQ137" s="124">
        <f>SUM(AN137:AP137)</f>
        <v/>
      </c>
      <c r="AR137" s="321">
        <f>(AN137*AB137)+((AO137+AP137)*AC137)</f>
        <v/>
      </c>
      <c r="AS137" s="143" t="n">
        <v>0</v>
      </c>
      <c r="AT137" s="143" t="n">
        <v>7942</v>
      </c>
      <c r="AU137" s="143" t="n">
        <v>0</v>
      </c>
      <c r="AV137" s="143">
        <f>SUM(AS137:AU137)</f>
        <v/>
      </c>
      <c r="AW137" s="143" t="n">
        <v>0</v>
      </c>
      <c r="AX137" s="143" t="n">
        <v>94</v>
      </c>
      <c r="AY137" s="143" t="n">
        <v>0</v>
      </c>
      <c r="AZ137" s="143">
        <f>SUM(AW137:AY137)</f>
        <v/>
      </c>
      <c r="BA137" s="335">
        <f>(AW137*AB137)+((AX137+AY137)*AC137)</f>
        <v/>
      </c>
      <c r="BB137" s="141">
        <f>AN137-AW137</f>
        <v/>
      </c>
      <c r="BC137" s="141">
        <f>BB137*AB137</f>
        <v/>
      </c>
      <c r="BD137" s="141">
        <f>AO137-AX137</f>
        <v/>
      </c>
      <c r="BE137" s="141">
        <f>BD137*AC137</f>
        <v/>
      </c>
      <c r="BF137" s="141">
        <f>AP137-AY137</f>
        <v/>
      </c>
      <c r="BG137" s="141">
        <f>BF137*AC137</f>
        <v/>
      </c>
      <c r="BH137" s="141">
        <f>BB137+BD137+BF137</f>
        <v/>
      </c>
      <c r="BI137" s="141">
        <f>BC137+BE137+BG137</f>
        <v/>
      </c>
      <c r="BJ137" s="324">
        <f>BL137+BS137+BV137+BY137+CB137+CE137+CH137+CK137</f>
        <v/>
      </c>
      <c r="BK137" s="320">
        <f>((AI137+AW137)*AB137)+((AJ137+AK137+AX137+AY137)*AC137)</f>
        <v/>
      </c>
      <c r="BL137" s="132">
        <f>BM137+BN137+AL137</f>
        <v/>
      </c>
      <c r="BM137" s="133">
        <f>AW137</f>
        <v/>
      </c>
      <c r="BN137" s="133">
        <f>AX137+AY137</f>
        <v/>
      </c>
      <c r="BO137" s="320" t="n"/>
      <c r="BP137" s="320" t="n"/>
      <c r="BQ137" s="320" t="n">
        <v>0</v>
      </c>
      <c r="BR137" s="320" t="n"/>
      <c r="BS137" s="124" t="n">
        <v>397.1</v>
      </c>
      <c r="BT137" s="322" t="n">
        <v>0.8925999999999999</v>
      </c>
      <c r="BU137" s="320">
        <f>BS137*BT137</f>
        <v/>
      </c>
      <c r="BV137" s="124" t="n">
        <v>3139.84</v>
      </c>
      <c r="BW137" s="320" t="n">
        <v>0.8925999999999999</v>
      </c>
      <c r="BX137" s="320">
        <f>BV137*BW137</f>
        <v/>
      </c>
      <c r="BY137" s="124" t="n">
        <v>1157.41</v>
      </c>
      <c r="BZ137" s="320" t="n">
        <v>0.8925999999999999</v>
      </c>
      <c r="CA137" s="124">
        <f>BY137*BZ137</f>
        <v/>
      </c>
      <c r="CB137" s="124" t="n">
        <v>190</v>
      </c>
      <c r="CC137" s="320" t="n">
        <v>0.8925999999999999</v>
      </c>
      <c r="CD137" s="333">
        <f>CB137*CC137</f>
        <v/>
      </c>
      <c r="CE137" s="124" t="n">
        <v>1272.5</v>
      </c>
      <c r="CF137" s="320" t="n">
        <v>0.8925999999999999</v>
      </c>
      <c r="CG137" s="124" t="n"/>
      <c r="CH137" s="124" t="n"/>
      <c r="CI137" s="320" t="n"/>
      <c r="CJ137" s="124" t="n"/>
      <c r="CK137" s="124" t="n"/>
      <c r="CL137" s="320" t="n"/>
      <c r="CM137" s="124" t="n"/>
      <c r="CN137" s="320">
        <f>BK137+BU137+BX137+CA137+CD137+CG137+CJ137+CM137</f>
        <v/>
      </c>
      <c r="CO137" s="141" t="n"/>
      <c r="CP137" s="320">
        <f>CR137*G137</f>
        <v/>
      </c>
      <c r="CQ137" s="124">
        <f>AL137+AZ137+AQ137</f>
        <v/>
      </c>
      <c r="CR137" s="159">
        <f>AV137-AZ137-BS137-BV137-BY137-CB137</f>
        <v/>
      </c>
      <c r="CS137" s="155" t="n"/>
      <c r="CT137" s="155" t="n"/>
      <c r="CU137" s="177" t="n"/>
      <c r="CV137" s="177" t="n"/>
      <c r="CW137" s="325" t="n"/>
    </row>
    <row r="138" ht="19.9" customFormat="1" customHeight="1" s="67">
      <c r="A138" s="233" t="inlineStr">
        <is>
          <t>Grupo Alucentro</t>
        </is>
      </c>
      <c r="B138" s="66" t="n">
        <v>10078058</v>
      </c>
      <c r="C138" s="233" t="inlineStr">
        <is>
          <t>Alucentro Independência</t>
        </is>
      </c>
      <c r="D138" s="140" t="inlineStr">
        <is>
          <t xml:space="preserve">Goiânia </t>
        </is>
      </c>
      <c r="E138" s="140" t="inlineStr">
        <is>
          <t>Setembro/2022</t>
        </is>
      </c>
      <c r="F138" s="122" t="n">
        <v>7656</v>
      </c>
      <c r="G138" s="320" t="n"/>
      <c r="H138" s="124">
        <f>F138*G138</f>
        <v/>
      </c>
      <c r="I138" s="121" t="n"/>
      <c r="J138" s="125" t="n"/>
      <c r="K138" s="65" t="inlineStr">
        <is>
          <t>145 de 440W</t>
        </is>
      </c>
      <c r="L138" s="121" t="n"/>
      <c r="M138" s="126" t="inlineStr">
        <is>
          <t>Janeiro/2024</t>
        </is>
      </c>
      <c r="N138" s="126" t="inlineStr">
        <is>
          <t>24/01/2024 a 23/02/2024</t>
        </is>
      </c>
      <c r="O138" s="321" t="n">
        <v>108</v>
      </c>
      <c r="P138" s="321" t="n">
        <v>0</v>
      </c>
      <c r="Q138" s="321" t="n">
        <v>0</v>
      </c>
      <c r="R138" s="207" t="n"/>
      <c r="S138" s="321" t="n">
        <v>0</v>
      </c>
      <c r="T138" s="321" t="n">
        <v>0</v>
      </c>
      <c r="U138" s="321" t="n">
        <v>18.98</v>
      </c>
      <c r="V138" s="321" t="n">
        <v>0</v>
      </c>
      <c r="W138" s="321" t="n">
        <v>0</v>
      </c>
      <c r="X138" s="321" t="n"/>
      <c r="Y138" s="321" t="n"/>
      <c r="Z138" s="321" t="n"/>
      <c r="AA138" s="321" t="n"/>
      <c r="AB138" s="322" t="n">
        <v>0.890199</v>
      </c>
      <c r="AC138" s="322" t="n">
        <v>0.890199</v>
      </c>
      <c r="AD138" s="124" t="n">
        <v>0</v>
      </c>
      <c r="AE138" s="124" t="n">
        <v>7996.9</v>
      </c>
      <c r="AF138" s="124" t="n">
        <v>0</v>
      </c>
      <c r="AG138" s="124">
        <f>SUM(AD138:AF138)</f>
        <v/>
      </c>
      <c r="AH138" s="124">
        <f>(AD138*AB138)+((AE138+AF138)*AC138)</f>
        <v/>
      </c>
      <c r="AI138" s="124">
        <f>AD138-AS138</f>
        <v/>
      </c>
      <c r="AJ138" s="124">
        <f>AE138-AT138</f>
        <v/>
      </c>
      <c r="AK138" s="124">
        <f>AF138-AU138</f>
        <v/>
      </c>
      <c r="AL138" s="210">
        <f>SUM(AI138:AK138)</f>
        <v/>
      </c>
      <c r="AM138" s="337">
        <f>(AI138*AB138)+((AJ138+AK138)*AC138)</f>
        <v/>
      </c>
      <c r="AN138" s="143" t="n">
        <v>0</v>
      </c>
      <c r="AO138" s="143" t="n">
        <v>213</v>
      </c>
      <c r="AP138" s="143" t="n">
        <v>0</v>
      </c>
      <c r="AQ138" s="124">
        <f>SUM(AN138:AP138)</f>
        <v/>
      </c>
      <c r="AR138" s="321">
        <f>(AN138*AB138)+((AO138+AP138)*AC138)</f>
        <v/>
      </c>
      <c r="AS138" s="143" t="n">
        <v>0</v>
      </c>
      <c r="AT138" s="143" t="n">
        <v>7465</v>
      </c>
      <c r="AU138" s="143" t="n">
        <v>0</v>
      </c>
      <c r="AV138" s="143">
        <f>SUM(AS138:AU138)</f>
        <v/>
      </c>
      <c r="AW138" s="143" t="n">
        <v>0</v>
      </c>
      <c r="AX138" s="143" t="n">
        <v>1113</v>
      </c>
      <c r="AY138" s="143" t="n">
        <v>0</v>
      </c>
      <c r="AZ138" s="143">
        <f>SUM(AW138:AY138)</f>
        <v/>
      </c>
      <c r="BA138" s="335">
        <f>(AW138*AB138)+((AX138+AY138)*AC138)</f>
        <v/>
      </c>
      <c r="BB138" s="141">
        <f>AN138-AW138</f>
        <v/>
      </c>
      <c r="BC138" s="141">
        <f>BB138*AB138</f>
        <v/>
      </c>
      <c r="BD138" s="141">
        <f>AO138-AX138</f>
        <v/>
      </c>
      <c r="BE138" s="141">
        <f>BD138*AC138</f>
        <v/>
      </c>
      <c r="BF138" s="141">
        <f>AP138-AY138</f>
        <v/>
      </c>
      <c r="BG138" s="141">
        <f>BF138*AC138</f>
        <v/>
      </c>
      <c r="BH138" s="141">
        <f>BB138+BD138+BF138</f>
        <v/>
      </c>
      <c r="BI138" s="141">
        <f>BC138+BE138+BG138</f>
        <v/>
      </c>
      <c r="BJ138" s="324">
        <f>BL138+BS138+BV138+BY138+CB138+CE138+CH138+CK138</f>
        <v/>
      </c>
      <c r="BK138" s="320">
        <f>((AI138+AW138)*AB138)+((AJ138+AK138+AX138+AY138)*AC138)</f>
        <v/>
      </c>
      <c r="BL138" s="132">
        <f>BM138+BN138+AL138</f>
        <v/>
      </c>
      <c r="BM138" s="133">
        <f>AW138</f>
        <v/>
      </c>
      <c r="BN138" s="133">
        <f>AX138+AY138</f>
        <v/>
      </c>
      <c r="BO138" s="320" t="n"/>
      <c r="BP138" s="320" t="n"/>
      <c r="BQ138" s="320" t="n"/>
      <c r="BR138" s="320" t="n"/>
      <c r="BS138" s="124" t="n">
        <v>373.25</v>
      </c>
      <c r="BT138" s="322" t="n">
        <v>0.890199</v>
      </c>
      <c r="BU138" s="320">
        <f>BS138*BT138</f>
        <v/>
      </c>
      <c r="BV138" s="124" t="n">
        <v>2541.44</v>
      </c>
      <c r="BW138" s="320" t="n">
        <v>0.890199</v>
      </c>
      <c r="BX138" s="320">
        <f>BV138*BW138</f>
        <v/>
      </c>
      <c r="BY138" s="124" t="n">
        <v>2595.89</v>
      </c>
      <c r="BZ138" s="320" t="n">
        <v>0.890199</v>
      </c>
      <c r="CA138" s="124">
        <f>BY138*BZ138</f>
        <v/>
      </c>
      <c r="CB138" s="124" t="n">
        <v>214</v>
      </c>
      <c r="CC138" s="320" t="n">
        <v>0.890199</v>
      </c>
      <c r="CD138" s="333">
        <f>CB138*CC138</f>
        <v/>
      </c>
      <c r="CE138" s="124" t="n">
        <v>1258.71</v>
      </c>
      <c r="CF138" s="320" t="n">
        <v>0.890199</v>
      </c>
      <c r="CG138" s="124" t="n"/>
      <c r="CH138" s="124" t="n"/>
      <c r="CI138" s="320" t="n"/>
      <c r="CJ138" s="124" t="n"/>
      <c r="CK138" s="124" t="n"/>
      <c r="CL138" s="320" t="n"/>
      <c r="CM138" s="124" t="n"/>
      <c r="CN138" s="320">
        <f>BK138+BU138+BX138+CA138+CD138+CG138+CJ138+CM138</f>
        <v/>
      </c>
      <c r="CO138" s="141" t="n"/>
      <c r="CP138" s="320">
        <f>CR138*G138</f>
        <v/>
      </c>
      <c r="CQ138" s="124">
        <f>AL138+AZ138+AQ138</f>
        <v/>
      </c>
      <c r="CR138" s="159">
        <f>AV138-AZ138-BS138-BV138-BY138-CB138</f>
        <v/>
      </c>
      <c r="CS138" s="155" t="n"/>
      <c r="CT138" s="155" t="n"/>
      <c r="CU138" s="177" t="n"/>
      <c r="CV138" s="177" t="n"/>
      <c r="CW138" s="325" t="n"/>
    </row>
    <row r="139" ht="19.9" customFormat="1" customHeight="1" s="67">
      <c r="A139" s="120" t="inlineStr">
        <is>
          <t>Grupo Alucentro</t>
        </is>
      </c>
      <c r="B139" s="65" t="n">
        <v>10078058</v>
      </c>
      <c r="C139" s="120" t="inlineStr">
        <is>
          <t>Alucentro Independência</t>
        </is>
      </c>
      <c r="D139" s="121" t="inlineStr">
        <is>
          <t xml:space="preserve">Goiânia </t>
        </is>
      </c>
      <c r="E139" s="121" t="inlineStr">
        <is>
          <t>Setembro/2022</t>
        </is>
      </c>
      <c r="F139" s="122" t="n">
        <v>7656</v>
      </c>
      <c r="G139" s="320" t="n"/>
      <c r="H139" s="124">
        <f>F139*G139</f>
        <v/>
      </c>
      <c r="I139" s="121" t="n"/>
      <c r="J139" s="125" t="n"/>
      <c r="K139" s="65" t="inlineStr">
        <is>
          <t>145 de 440W</t>
        </is>
      </c>
      <c r="L139" s="121" t="n"/>
      <c r="M139" s="126" t="inlineStr">
        <is>
          <t>Fevereiro/2024</t>
        </is>
      </c>
      <c r="N139" s="126" t="inlineStr">
        <is>
          <t>23/02/2024 a 25/03/2024</t>
        </is>
      </c>
      <c r="O139" s="321" t="n">
        <v>114</v>
      </c>
      <c r="P139" s="321" t="n">
        <v>0</v>
      </c>
      <c r="Q139" s="321" t="n">
        <v>0</v>
      </c>
      <c r="R139" s="207" t="n"/>
      <c r="S139" s="321" t="n">
        <v>0</v>
      </c>
      <c r="T139" s="321" t="n">
        <v>0</v>
      </c>
      <c r="U139" s="321" t="n">
        <v>23.18</v>
      </c>
      <c r="V139" s="321" t="n">
        <v>0</v>
      </c>
      <c r="W139" s="321" t="n">
        <v>0</v>
      </c>
      <c r="X139" s="321" t="n"/>
      <c r="Y139" s="321" t="n"/>
      <c r="Z139" s="321" t="n"/>
      <c r="AA139" s="321" t="n"/>
      <c r="AB139" s="322" t="n">
        <v>0.908296</v>
      </c>
      <c r="AC139" s="322" t="n">
        <v>0.908296</v>
      </c>
      <c r="AD139" s="124" t="n">
        <v>0</v>
      </c>
      <c r="AE139" s="124" t="n">
        <v>8529.82</v>
      </c>
      <c r="AF139" s="124" t="n">
        <v>0</v>
      </c>
      <c r="AG139" s="124">
        <f>SUM(AD139:AF139)</f>
        <v/>
      </c>
      <c r="AH139" s="124">
        <f>(AD139*AB139)+((AE139+AF139)*AC139)</f>
        <v/>
      </c>
      <c r="AI139" s="124">
        <f>AD139-AS139</f>
        <v/>
      </c>
      <c r="AJ139" s="124">
        <f>AE139-AT139</f>
        <v/>
      </c>
      <c r="AK139" s="124">
        <f>AF139-AU139</f>
        <v/>
      </c>
      <c r="AL139" s="210">
        <f>SUM(AI139:AK139)</f>
        <v/>
      </c>
      <c r="AM139" s="337">
        <f>(AI139*AB139)+((AJ139+AK139)*AC139)</f>
        <v/>
      </c>
      <c r="AN139" s="143" t="n">
        <v>0</v>
      </c>
      <c r="AO139" s="143" t="n">
        <v>232</v>
      </c>
      <c r="AP139" s="143" t="n">
        <v>0</v>
      </c>
      <c r="AQ139" s="124">
        <f>SUM(AN139:AP139)</f>
        <v/>
      </c>
      <c r="AR139" s="321">
        <f>(AN139*AB139)+((AO139+AP139)*AC139)</f>
        <v/>
      </c>
      <c r="AS139" s="143" t="n">
        <v>0</v>
      </c>
      <c r="AT139" s="143" t="n">
        <v>7871</v>
      </c>
      <c r="AU139" s="143" t="n">
        <v>0</v>
      </c>
      <c r="AV139" s="143">
        <f>SUM(AS139:AU139)</f>
        <v/>
      </c>
      <c r="AW139" s="143" t="n">
        <v>0</v>
      </c>
      <c r="AX139" s="143" t="n">
        <v>132</v>
      </c>
      <c r="AY139" s="143" t="n">
        <v>0</v>
      </c>
      <c r="AZ139" s="143">
        <f>SUM(AW139:AY139)</f>
        <v/>
      </c>
      <c r="BA139" s="335">
        <f>(AW139*AB139)+((AX139+AY139)*AC139)</f>
        <v/>
      </c>
      <c r="BB139" s="141">
        <f>AN139-AW139</f>
        <v/>
      </c>
      <c r="BC139" s="141">
        <f>BB139*AB139</f>
        <v/>
      </c>
      <c r="BD139" s="141">
        <f>AO139-AX139</f>
        <v/>
      </c>
      <c r="BE139" s="141">
        <f>BD139*AC139</f>
        <v/>
      </c>
      <c r="BF139" s="141">
        <f>AP139-AY139</f>
        <v/>
      </c>
      <c r="BG139" s="141">
        <f>BF139*AC139</f>
        <v/>
      </c>
      <c r="BH139" s="141">
        <f>BB139+BD139+BF139</f>
        <v/>
      </c>
      <c r="BI139" s="141">
        <f>BC139+BE139+BG139</f>
        <v/>
      </c>
      <c r="BJ139" s="324">
        <f>BL139+BS139+BV139+BY139+CB139+CE139+CH139+CK139</f>
        <v/>
      </c>
      <c r="BK139" s="320">
        <f>((AI139+AW139)*AB139)+((AJ139+AK139+AX139+AY139)*AC139)</f>
        <v/>
      </c>
      <c r="BL139" s="132">
        <f>BM139+BN139+AL139</f>
        <v/>
      </c>
      <c r="BM139" s="133">
        <f>AW139</f>
        <v/>
      </c>
      <c r="BN139" s="133">
        <f>AX139+AY139</f>
        <v/>
      </c>
      <c r="BO139" s="320" t="n"/>
      <c r="BP139" s="320" t="n"/>
      <c r="BQ139" s="320" t="n"/>
      <c r="BR139" s="320" t="n"/>
      <c r="BS139" s="124" t="n">
        <v>393.55</v>
      </c>
      <c r="BT139" s="322" t="n">
        <v>0.908296</v>
      </c>
      <c r="BU139" s="320">
        <f>BS139*BT139</f>
        <v/>
      </c>
      <c r="BV139" s="124" t="n">
        <v>2388.8</v>
      </c>
      <c r="BW139" s="320" t="n">
        <v>0.908296</v>
      </c>
      <c r="BX139" s="320">
        <f>BV139*BW139</f>
        <v/>
      </c>
      <c r="BY139" s="124" t="n"/>
      <c r="BZ139" s="320" t="n">
        <v>0.908296</v>
      </c>
      <c r="CA139" s="124" t="n"/>
      <c r="CB139" s="124" t="n">
        <v>248</v>
      </c>
      <c r="CC139" s="320" t="n">
        <v>0.908296</v>
      </c>
      <c r="CD139" s="333">
        <f>CB139*CC139</f>
        <v/>
      </c>
      <c r="CE139" s="124" t="n">
        <v>112</v>
      </c>
      <c r="CF139" s="320" t="n">
        <v>0.908296</v>
      </c>
      <c r="CG139" s="124" t="n"/>
      <c r="CH139" s="124" t="n"/>
      <c r="CI139" s="320" t="n"/>
      <c r="CJ139" s="124" t="n"/>
      <c r="CK139" s="124" t="n"/>
      <c r="CL139" s="320" t="n"/>
      <c r="CM139" s="124" t="n"/>
      <c r="CN139" s="320" t="n"/>
      <c r="CO139" s="141" t="n"/>
      <c r="CP139" s="320">
        <f>CR139*G139</f>
        <v/>
      </c>
      <c r="CQ139" s="124" t="n"/>
      <c r="CR139" s="159">
        <f>AV139-AZ139-BS139-BV139-BY139-CB139</f>
        <v/>
      </c>
      <c r="CS139" s="155" t="n"/>
      <c r="CT139" s="155" t="n"/>
      <c r="CU139" s="177" t="n"/>
      <c r="CV139" s="177" t="n"/>
      <c r="CW139" s="325" t="n"/>
    </row>
    <row r="140" ht="19.9" customFormat="1" customHeight="1" s="67">
      <c r="A140" s="120" t="n"/>
      <c r="B140" s="65" t="n">
        <v>1230005575</v>
      </c>
      <c r="C140" s="120" t="inlineStr">
        <is>
          <t>Cerâmica Fortunato</t>
        </is>
      </c>
      <c r="D140" s="121" t="inlineStr">
        <is>
          <t>CAMPESTRE DE GOIAS</t>
        </is>
      </c>
      <c r="E140" s="121" t="inlineStr">
        <is>
          <t>Março/2023</t>
        </is>
      </c>
      <c r="F140" s="141" t="n"/>
      <c r="G140" s="334" t="n"/>
      <c r="H140" s="143">
        <f>F140*G140</f>
        <v/>
      </c>
      <c r="I140" s="140" t="n"/>
      <c r="J140" s="144" t="n"/>
      <c r="K140" s="66" t="n"/>
      <c r="L140" s="140" t="n"/>
      <c r="M140" s="145" t="inlineStr">
        <is>
          <t>Abril/2023</t>
        </is>
      </c>
      <c r="N140" s="145" t="inlineStr">
        <is>
          <t>01/03/2023 a 01/04/2023</t>
        </is>
      </c>
      <c r="O140" s="331" t="n">
        <v>17605.01</v>
      </c>
      <c r="P140" s="331" t="n">
        <v>0</v>
      </c>
      <c r="Q140" s="331" t="n">
        <v>7326.66</v>
      </c>
      <c r="R140" s="147" t="n"/>
      <c r="S140" s="331" t="n">
        <v>1548.19</v>
      </c>
      <c r="T140" s="331" t="n">
        <v>299.27</v>
      </c>
      <c r="U140" s="331" t="n">
        <v>56.4</v>
      </c>
      <c r="V140" s="331" t="n">
        <v>0</v>
      </c>
      <c r="W140" s="331" t="n">
        <v>0</v>
      </c>
      <c r="X140" s="331" t="n"/>
      <c r="Y140" s="331" t="n"/>
      <c r="Z140" s="331" t="n"/>
      <c r="AA140" s="331" t="n"/>
      <c r="AB140" s="332" t="n">
        <v>2.45086</v>
      </c>
      <c r="AC140" s="332" t="n">
        <v>0.52863</v>
      </c>
      <c r="AD140" s="143" t="n">
        <v>59.64</v>
      </c>
      <c r="AE140" s="173" t="n">
        <v>46554.31</v>
      </c>
      <c r="AF140" s="143" t="n">
        <v>18.23</v>
      </c>
      <c r="AG140" s="143">
        <f>SUM(AD140:AF140)</f>
        <v/>
      </c>
      <c r="AH140" s="143">
        <f>(AD140*AB140)+((AE140+AF140)*AC140)</f>
        <v/>
      </c>
      <c r="AI140" s="143">
        <f>AD140-AS140</f>
        <v/>
      </c>
      <c r="AJ140" s="143">
        <f>AE140-AT140</f>
        <v/>
      </c>
      <c r="AK140" s="143">
        <f>AF140-AU140</f>
        <v/>
      </c>
      <c r="AL140" s="208">
        <f>SUM(AI140:AK140)</f>
        <v/>
      </c>
      <c r="AM140" s="336">
        <f>(AI140*AB140)+((AJ140+AK140)*AC140)</f>
        <v/>
      </c>
      <c r="AN140" s="143" t="n">
        <v>915.8099999999999</v>
      </c>
      <c r="AO140" s="143" t="n">
        <v>21829.5</v>
      </c>
      <c r="AP140" s="143" t="n">
        <v>9156</v>
      </c>
      <c r="AQ140" s="124">
        <f>SUM(AN140:AP140)</f>
        <v/>
      </c>
      <c r="AR140" s="321">
        <f>(AN140*AB140)+((AO140+AP140)*AC140)</f>
        <v/>
      </c>
      <c r="AS140" s="143" t="n">
        <v>8.19</v>
      </c>
      <c r="AT140" s="143" t="n">
        <v>19351.5</v>
      </c>
      <c r="AU140" s="143" t="n">
        <v>0</v>
      </c>
      <c r="AV140" s="143">
        <f>SUM(AS140:AU140)</f>
        <v/>
      </c>
      <c r="AW140" s="143" t="n">
        <v>8.19</v>
      </c>
      <c r="AX140" s="143" t="n">
        <v>19351.5</v>
      </c>
      <c r="AY140" s="143" t="n">
        <v>0</v>
      </c>
      <c r="AZ140" s="143">
        <f>SUM(AW140:AY140)</f>
        <v/>
      </c>
      <c r="BA140" s="335">
        <f>(AW140*AB140)+((AX140+AY140)*AC140)</f>
        <v/>
      </c>
      <c r="BB140" s="141">
        <f>AN140-AW140</f>
        <v/>
      </c>
      <c r="BC140" s="141">
        <f>BB140*AB140</f>
        <v/>
      </c>
      <c r="BD140" s="141">
        <f>AO140-AX140</f>
        <v/>
      </c>
      <c r="BE140" s="141">
        <f>BD140*AC140</f>
        <v/>
      </c>
      <c r="BF140" s="141">
        <f>AP140-AY140</f>
        <v/>
      </c>
      <c r="BG140" s="141">
        <f>BF140*AC140</f>
        <v/>
      </c>
      <c r="BH140" s="141">
        <f>BB140+BD140+BF140</f>
        <v/>
      </c>
      <c r="BI140" s="141">
        <f>BC140+BE140+BG140</f>
        <v/>
      </c>
      <c r="BJ140" s="324">
        <f>BL140+BS140+BV140+BY140+CB140+CE140+CH140+CK140</f>
        <v/>
      </c>
      <c r="BK140" s="320">
        <f>((AI140+AW140)*AB140)+((AJ140+AK140+AX140+AY140)*AC140)</f>
        <v/>
      </c>
      <c r="BL140" s="132">
        <f>BM140+BN140+AL140</f>
        <v/>
      </c>
      <c r="BM140" s="133">
        <f>AW140</f>
        <v/>
      </c>
      <c r="BN140" s="133">
        <f>AX140+AY140</f>
        <v/>
      </c>
      <c r="BO140" s="334" t="n"/>
      <c r="BP140" s="334" t="n"/>
      <c r="BQ140" s="334" t="n">
        <v>0</v>
      </c>
      <c r="BR140" s="334" t="n"/>
      <c r="BS140" s="143" t="n">
        <v>0</v>
      </c>
      <c r="BT140" s="334" t="n"/>
      <c r="BU140" s="320">
        <f>BS140*BT140</f>
        <v/>
      </c>
      <c r="BV140" s="143" t="n">
        <v>0</v>
      </c>
      <c r="BW140" s="334" t="n"/>
      <c r="BX140" s="334" t="n">
        <v>0</v>
      </c>
      <c r="BY140" s="143" t="n"/>
      <c r="BZ140" s="334" t="n"/>
      <c r="CA140" s="124">
        <f>BY140*BZ140</f>
        <v/>
      </c>
      <c r="CB140" s="143" t="n"/>
      <c r="CC140" s="334" t="n"/>
      <c r="CD140" s="143" t="n"/>
      <c r="CE140" s="143" t="n"/>
      <c r="CF140" s="334" t="n"/>
      <c r="CG140" s="143" t="n"/>
      <c r="CH140" s="143" t="n"/>
      <c r="CI140" s="334" t="n"/>
      <c r="CJ140" s="143" t="n"/>
      <c r="CK140" s="143" t="n"/>
      <c r="CL140" s="334" t="n"/>
      <c r="CM140" s="143" t="n"/>
      <c r="CN140" s="320">
        <f>BK140+BU140+BX140+CA140+CD140+CG140+CJ140+CM140</f>
        <v/>
      </c>
      <c r="CO140" s="141" t="n">
        <v>0</v>
      </c>
      <c r="CP140" s="320">
        <f>CR140*G140</f>
        <v/>
      </c>
      <c r="CQ140" s="124">
        <f>AL140+AZ140+AQ140</f>
        <v/>
      </c>
      <c r="CR140" s="159">
        <f>AV140-AZ140-BS140-BV140-BY140-CB140</f>
        <v/>
      </c>
      <c r="CS140" s="155" t="n"/>
      <c r="CT140" s="155" t="n"/>
      <c r="CU140" s="177">
        <f>(BB140* AB140)+(BD140* AC140)+(BF140* AC140)+(S140+T140+U140+V140+W140+X140+Y140+Z140)</f>
        <v/>
      </c>
      <c r="CV140" s="177">
        <f>CU140-O140</f>
        <v/>
      </c>
      <c r="CW140" s="325" t="n"/>
    </row>
    <row r="141" ht="19.9" customFormat="1" customHeight="1" s="67">
      <c r="A141" s="139" t="n"/>
      <c r="B141" s="66" t="n">
        <v>1230005575</v>
      </c>
      <c r="C141" s="139" t="inlineStr">
        <is>
          <t>Cerâmica Fortunato</t>
        </is>
      </c>
      <c r="D141" s="140" t="inlineStr">
        <is>
          <t>CAMPESTRE DE GOIAS</t>
        </is>
      </c>
      <c r="E141" s="140" t="inlineStr">
        <is>
          <t>Março/2023</t>
        </is>
      </c>
      <c r="F141" s="122" t="n"/>
      <c r="G141" s="320" t="n"/>
      <c r="H141" s="124">
        <f>F141*G141</f>
        <v/>
      </c>
      <c r="I141" s="121" t="n"/>
      <c r="J141" s="125" t="n"/>
      <c r="K141" s="65" t="n"/>
      <c r="L141" s="121" t="n"/>
      <c r="M141" s="126" t="inlineStr">
        <is>
          <t>Maio/2023</t>
        </is>
      </c>
      <c r="N141" s="126" t="inlineStr">
        <is>
          <t>01/04/2023 a 01/05/2023</t>
        </is>
      </c>
      <c r="O141" s="321" t="n">
        <v>16682.85</v>
      </c>
      <c r="P141" s="321" t="n">
        <v>0</v>
      </c>
      <c r="Q141" s="321" t="n">
        <v>7355.49</v>
      </c>
      <c r="R141" s="207" t="n"/>
      <c r="S141" s="321" t="n">
        <v>449.35</v>
      </c>
      <c r="T141" s="321" t="n">
        <v>204.01</v>
      </c>
      <c r="U141" s="321" t="n">
        <v>56.4</v>
      </c>
      <c r="V141" s="321" t="n">
        <v>0</v>
      </c>
      <c r="W141" s="321" t="n">
        <v>0</v>
      </c>
      <c r="X141" s="321" t="n"/>
      <c r="Y141" s="321" t="n"/>
      <c r="Z141" s="321" t="n"/>
      <c r="AA141" s="321" t="n"/>
      <c r="AB141" s="322" t="n">
        <v>2.4605</v>
      </c>
      <c r="AC141" s="322" t="n">
        <v>0.53071</v>
      </c>
      <c r="AD141" s="124" t="n">
        <v>6.93</v>
      </c>
      <c r="AE141" s="124" t="n">
        <v>45142.45</v>
      </c>
      <c r="AF141" s="124" t="n">
        <v>17.27</v>
      </c>
      <c r="AG141" s="124">
        <f>SUM(AD141:AF141)</f>
        <v/>
      </c>
      <c r="AH141" s="124">
        <f>(AD141*AB141)+((AE141+AF141)*AC141)</f>
        <v/>
      </c>
      <c r="AI141" s="124">
        <f>AD141-AS141</f>
        <v/>
      </c>
      <c r="AJ141" s="124">
        <f>AE141-AT141</f>
        <v/>
      </c>
      <c r="AK141" s="124">
        <f>AF141-AU141</f>
        <v/>
      </c>
      <c r="AL141" s="210">
        <f>SUM(AI141:AK141)</f>
        <v/>
      </c>
      <c r="AM141" s="337">
        <f>(AI141*AB141)+((AJ141+AK141)*AC141)</f>
        <v/>
      </c>
      <c r="AN141" s="124" t="n">
        <v>589.99</v>
      </c>
      <c r="AO141" s="124" t="n">
        <v>24034.5</v>
      </c>
      <c r="AP141" s="124" t="n">
        <v>9723</v>
      </c>
      <c r="AQ141" s="143">
        <f>SUM(AN141:AP141)</f>
        <v/>
      </c>
      <c r="AR141" s="331">
        <f>(AN141*AB141)+((AO141+AP141)*AC141)</f>
        <v/>
      </c>
      <c r="AS141" s="124" t="n">
        <v>0.1</v>
      </c>
      <c r="AT141" s="124" t="n">
        <v>20254.5</v>
      </c>
      <c r="AU141" s="124" t="n">
        <v>0</v>
      </c>
      <c r="AV141" s="124">
        <f>SUM(AS141:AU141)</f>
        <v/>
      </c>
      <c r="AW141" s="124" t="n">
        <v>0.1</v>
      </c>
      <c r="AX141" s="124" t="n">
        <v>20254.5</v>
      </c>
      <c r="AY141" s="124" t="n">
        <v>0</v>
      </c>
      <c r="AZ141" s="124">
        <f>SUM(AW141:AY141)</f>
        <v/>
      </c>
      <c r="BA141" s="335">
        <f>(AW141*AB141)+((AX141+AY141)*AC141)</f>
        <v/>
      </c>
      <c r="BB141" s="122">
        <f>AN141-AW141</f>
        <v/>
      </c>
      <c r="BC141" s="141">
        <f>BB141*AB141</f>
        <v/>
      </c>
      <c r="BD141" s="122">
        <f>AO141-AX141</f>
        <v/>
      </c>
      <c r="BE141" s="122">
        <f>BD141*AC141</f>
        <v/>
      </c>
      <c r="BF141" s="122">
        <f>AP141-AY141</f>
        <v/>
      </c>
      <c r="BG141" s="122">
        <f>BF141*AC141</f>
        <v/>
      </c>
      <c r="BH141" s="122">
        <f>BB141+BD141+BF141</f>
        <v/>
      </c>
      <c r="BI141" s="122">
        <f>BC141+BE141+BG141</f>
        <v/>
      </c>
      <c r="BJ141" s="324">
        <f>BL141+BS141+BV141+BY141+CB141+CE141+CH141+CK141</f>
        <v/>
      </c>
      <c r="BK141" s="320">
        <f>((AI141+AW141)*AB141)+((AJ141+AK141+AX141+AY141)*AC141)</f>
        <v/>
      </c>
      <c r="BL141" s="132">
        <f>BM141+BN141+AL141</f>
        <v/>
      </c>
      <c r="BM141" s="133">
        <f>AW141</f>
        <v/>
      </c>
      <c r="BN141" s="133">
        <f>AX141+AY141</f>
        <v/>
      </c>
      <c r="BO141" s="320" t="n"/>
      <c r="BP141" s="320" t="n"/>
      <c r="BQ141" s="320" t="n">
        <v>0</v>
      </c>
      <c r="BR141" s="320" t="n"/>
      <c r="BS141" s="124" t="n">
        <v>0</v>
      </c>
      <c r="BT141" s="320" t="n"/>
      <c r="BU141" s="320">
        <f>BS141*BT141</f>
        <v/>
      </c>
      <c r="BV141" s="124" t="n">
        <v>0</v>
      </c>
      <c r="BW141" s="320" t="n"/>
      <c r="BX141" s="320" t="n">
        <v>0</v>
      </c>
      <c r="BY141" s="124" t="n"/>
      <c r="BZ141" s="320" t="n"/>
      <c r="CA141" s="124">
        <f>BY141*BZ141</f>
        <v/>
      </c>
      <c r="CB141" s="124" t="n"/>
      <c r="CC141" s="320" t="n"/>
      <c r="CD141" s="124" t="n"/>
      <c r="CE141" s="124" t="n"/>
      <c r="CF141" s="320" t="n"/>
      <c r="CG141" s="124" t="n"/>
      <c r="CH141" s="124" t="n"/>
      <c r="CI141" s="320" t="n"/>
      <c r="CJ141" s="124" t="n"/>
      <c r="CK141" s="124" t="n"/>
      <c r="CL141" s="320" t="n"/>
      <c r="CM141" s="124" t="n"/>
      <c r="CN141" s="320">
        <f>BK141+BU141+BX141+CA141+CD141+CG141+CJ141+CM141</f>
        <v/>
      </c>
      <c r="CO141" s="122" t="n">
        <v>0</v>
      </c>
      <c r="CP141" s="320">
        <f>CR141*G141</f>
        <v/>
      </c>
      <c r="CQ141" s="124">
        <f>AL141+AZ141+AQ141</f>
        <v/>
      </c>
      <c r="CR141" s="159">
        <f>AV141-AZ141-BS141-BV141-BY141-CB141</f>
        <v/>
      </c>
      <c r="CS141" s="155" t="n"/>
      <c r="CT141" s="155" t="n"/>
      <c r="CU141" s="177">
        <f>(BB141* AB141)+(BD141* AC141)+(BF141* AC141)+(S141+T141+U141+V141+W141+X141+Y141+Z141)</f>
        <v/>
      </c>
      <c r="CV141" s="177">
        <f>CU141-O141</f>
        <v/>
      </c>
      <c r="CW141" s="325" t="n"/>
    </row>
    <row r="142" ht="19.9" customFormat="1" customHeight="1" s="67">
      <c r="A142" s="120" t="n"/>
      <c r="B142" s="65" t="n">
        <v>1230005575</v>
      </c>
      <c r="C142" s="120" t="inlineStr">
        <is>
          <t>Cerâmica Fortunato</t>
        </is>
      </c>
      <c r="D142" s="121" t="inlineStr">
        <is>
          <t>CAMPESTRE DE GOIAS</t>
        </is>
      </c>
      <c r="E142" s="121" t="inlineStr">
        <is>
          <t>Março/2023</t>
        </is>
      </c>
      <c r="F142" s="141" t="n"/>
      <c r="G142" s="334" t="n"/>
      <c r="H142" s="143">
        <f>F142*G142</f>
        <v/>
      </c>
      <c r="I142" s="140" t="n"/>
      <c r="J142" s="144" t="n"/>
      <c r="K142" s="66" t="n"/>
      <c r="L142" s="140" t="n"/>
      <c r="M142" s="145" t="inlineStr">
        <is>
          <t>Junho/2023</t>
        </is>
      </c>
      <c r="N142" s="145" t="inlineStr">
        <is>
          <t>01/05/2023 a 01/06/2023</t>
        </is>
      </c>
      <c r="O142" s="331" t="n">
        <v>17547.49</v>
      </c>
      <c r="P142" s="331" t="n">
        <v>0</v>
      </c>
      <c r="Q142" s="331" t="n">
        <v>7019.61</v>
      </c>
      <c r="R142" s="147" t="n"/>
      <c r="S142" s="331" t="n">
        <v>1120.19</v>
      </c>
      <c r="T142" s="331" t="n">
        <v>0</v>
      </c>
      <c r="U142" s="331" t="n">
        <v>56.4</v>
      </c>
      <c r="V142" s="331" t="n">
        <v>0</v>
      </c>
      <c r="W142" s="331" t="n">
        <v>0</v>
      </c>
      <c r="X142" s="331" t="n"/>
      <c r="Y142" s="331" t="n"/>
      <c r="Z142" s="331" t="n"/>
      <c r="AA142" s="331" t="n"/>
      <c r="AB142" s="332" t="n">
        <v>2.348162</v>
      </c>
      <c r="AC142" s="332" t="n">
        <v>0.506494</v>
      </c>
      <c r="AD142" s="143" t="n">
        <v>6.72</v>
      </c>
      <c r="AE142" s="173" t="n">
        <v>50969.98</v>
      </c>
      <c r="AF142" s="143" t="n">
        <v>18.2</v>
      </c>
      <c r="AG142" s="143">
        <f>SUM(AD142:AF142)</f>
        <v/>
      </c>
      <c r="AH142" s="143">
        <f>(AD142*AB142)+((AE142+AF142)*AC142)</f>
        <v/>
      </c>
      <c r="AI142" s="143">
        <f>AD142-AS142</f>
        <v/>
      </c>
      <c r="AJ142" s="143">
        <f>AE142-AT142</f>
        <v/>
      </c>
      <c r="AK142" s="143">
        <f>AF142-AU142</f>
        <v/>
      </c>
      <c r="AL142" s="208">
        <f>SUM(AI142:AK142)</f>
        <v/>
      </c>
      <c r="AM142" s="336">
        <f>(AI142*AB142)+((AJ142+AK142)*AC142)</f>
        <v/>
      </c>
      <c r="AN142" s="143" t="n">
        <v>721.03</v>
      </c>
      <c r="AO142" s="143" t="n">
        <v>23688</v>
      </c>
      <c r="AP142" s="143" t="n">
        <v>9912</v>
      </c>
      <c r="AQ142" s="124">
        <f>SUM(AN142:AP142)</f>
        <v/>
      </c>
      <c r="AR142" s="321">
        <f>(AN142*AB142)+((AO142+AP142)*AC142)</f>
        <v/>
      </c>
      <c r="AS142" s="143" t="n">
        <v>0</v>
      </c>
      <c r="AT142" s="143" t="n">
        <v>18480</v>
      </c>
      <c r="AU142" s="143" t="n">
        <v>0</v>
      </c>
      <c r="AV142" s="143">
        <f>SUM(AS142:AU142)</f>
        <v/>
      </c>
      <c r="AW142" s="143" t="n">
        <v>0</v>
      </c>
      <c r="AX142" s="143" t="n">
        <v>18480</v>
      </c>
      <c r="AY142" s="143" t="n">
        <v>0</v>
      </c>
      <c r="AZ142" s="143">
        <f>SUM(AW142:AY142)</f>
        <v/>
      </c>
      <c r="BA142" s="335">
        <f>(AW142*AB142)+((AX142+AY142)*AC142)</f>
        <v/>
      </c>
      <c r="BB142" s="141">
        <f>AN142-AW142</f>
        <v/>
      </c>
      <c r="BC142" s="141">
        <f>BB142*AB142</f>
        <v/>
      </c>
      <c r="BD142" s="141">
        <f>AO142-AX142</f>
        <v/>
      </c>
      <c r="BE142" s="141">
        <f>BD142*AC142</f>
        <v/>
      </c>
      <c r="BF142" s="141">
        <f>AP142-AY142</f>
        <v/>
      </c>
      <c r="BG142" s="141">
        <f>BF142*AC142</f>
        <v/>
      </c>
      <c r="BH142" s="141">
        <f>BB142+BD142+BF142</f>
        <v/>
      </c>
      <c r="BI142" s="141">
        <f>BC142+BE142+BG142</f>
        <v/>
      </c>
      <c r="BJ142" s="324">
        <f>BL142+BS142+BV142+BY142+CB142+CE142+CH142+CK142</f>
        <v/>
      </c>
      <c r="BK142" s="320">
        <f>((AI142+AW142)*AB142)+((AJ142+AK142+AX142+AY142)*AC142)</f>
        <v/>
      </c>
      <c r="BL142" s="132">
        <f>BM142+BN142+AL142</f>
        <v/>
      </c>
      <c r="BM142" s="133">
        <f>AW142</f>
        <v/>
      </c>
      <c r="BN142" s="133">
        <f>AX142+AY142</f>
        <v/>
      </c>
      <c r="BO142" s="334" t="n"/>
      <c r="BP142" s="334" t="n"/>
      <c r="BQ142" s="334" t="n">
        <v>0</v>
      </c>
      <c r="BR142" s="334" t="n"/>
      <c r="BS142" s="143" t="n">
        <v>0</v>
      </c>
      <c r="BT142" s="334" t="n"/>
      <c r="BU142" s="320">
        <f>BS142*BT142</f>
        <v/>
      </c>
      <c r="BV142" s="143" t="n">
        <v>0</v>
      </c>
      <c r="BW142" s="334" t="n"/>
      <c r="BX142" s="334" t="n">
        <v>0</v>
      </c>
      <c r="BY142" s="143" t="n"/>
      <c r="BZ142" s="334" t="n"/>
      <c r="CA142" s="124">
        <f>BY142*BZ142</f>
        <v/>
      </c>
      <c r="CB142" s="143" t="n"/>
      <c r="CC142" s="334" t="n"/>
      <c r="CD142" s="143" t="n"/>
      <c r="CE142" s="143" t="n"/>
      <c r="CF142" s="334" t="n"/>
      <c r="CG142" s="143" t="n"/>
      <c r="CH142" s="143" t="n"/>
      <c r="CI142" s="334" t="n"/>
      <c r="CJ142" s="143" t="n"/>
      <c r="CK142" s="143" t="n"/>
      <c r="CL142" s="334" t="n"/>
      <c r="CM142" s="143" t="n"/>
      <c r="CN142" s="320">
        <f>BK142+BU142+BX142+CA142+CD142+CG142+CJ142+CM142</f>
        <v/>
      </c>
      <c r="CO142" s="141" t="n">
        <v>0</v>
      </c>
      <c r="CP142" s="320">
        <f>CR142*G142</f>
        <v/>
      </c>
      <c r="CQ142" s="124">
        <f>AL142+AZ142+AQ142</f>
        <v/>
      </c>
      <c r="CR142" s="159">
        <f>AV142-AZ142-BS142-BV142-BY142-CB142</f>
        <v/>
      </c>
      <c r="CS142" s="155" t="n"/>
      <c r="CT142" s="155" t="n"/>
      <c r="CU142" s="177">
        <f>(BB142* AB142)+(BD142* AC142)+(BF142* AC142)+(S142+T142+U142+V142+W142+X142+Y142+Z142)</f>
        <v/>
      </c>
      <c r="CV142" s="177">
        <f>CU142-O142</f>
        <v/>
      </c>
      <c r="CW142" s="325" t="n"/>
    </row>
    <row r="143" ht="19.9" customFormat="1" customHeight="1" s="67">
      <c r="A143" s="233" t="n"/>
      <c r="B143" s="66" t="n">
        <v>1230005575</v>
      </c>
      <c r="C143" s="233" t="inlineStr">
        <is>
          <t>Cerâmica Fortunato</t>
        </is>
      </c>
      <c r="D143" s="140" t="inlineStr">
        <is>
          <t>CAMPESTRE DE GOIAS</t>
        </is>
      </c>
      <c r="E143" s="140" t="inlineStr">
        <is>
          <t>Março/2023</t>
        </is>
      </c>
      <c r="F143" s="122" t="n"/>
      <c r="G143" s="320" t="n"/>
      <c r="H143" s="124">
        <f>F143*G143</f>
        <v/>
      </c>
      <c r="I143" s="121" t="n"/>
      <c r="J143" s="125" t="n"/>
      <c r="K143" s="65" t="n"/>
      <c r="L143" s="121" t="n"/>
      <c r="M143" s="126" t="inlineStr">
        <is>
          <t>Julho/2023</t>
        </is>
      </c>
      <c r="N143" s="126" t="inlineStr">
        <is>
          <t>01/06/2023 a 01/07/2023</t>
        </is>
      </c>
      <c r="O143" s="321" t="n">
        <v>19135.22</v>
      </c>
      <c r="P143" s="321" t="n">
        <v>0</v>
      </c>
      <c r="Q143" s="321" t="n">
        <v>7109.1</v>
      </c>
      <c r="R143" s="207" t="n"/>
      <c r="S143" s="321" t="n">
        <v>14.98</v>
      </c>
      <c r="T143" s="321" t="n">
        <v>0</v>
      </c>
      <c r="U143" s="321" t="n">
        <v>56.4</v>
      </c>
      <c r="V143" s="321" t="n">
        <v>0</v>
      </c>
      <c r="W143" s="321" t="n">
        <v>0</v>
      </c>
      <c r="X143" s="321" t="n"/>
      <c r="Y143" s="321" t="n"/>
      <c r="Z143" s="321" t="n"/>
      <c r="AA143" s="321" t="n"/>
      <c r="AB143" s="322" t="n">
        <v>2.378099</v>
      </c>
      <c r="AC143" s="322" t="n">
        <v>0.512951</v>
      </c>
      <c r="AD143" s="124" t="n">
        <v>6.41</v>
      </c>
      <c r="AE143" s="124" t="n">
        <v>41764.49</v>
      </c>
      <c r="AF143" s="124" t="n">
        <v>17.41</v>
      </c>
      <c r="AG143" s="124">
        <f>SUM(AD143:AF143)</f>
        <v/>
      </c>
      <c r="AH143" s="124">
        <f>(AD143*AB143)+((AE143+AF143)*AC143)</f>
        <v/>
      </c>
      <c r="AI143" s="124">
        <f>AD143-AS143</f>
        <v/>
      </c>
      <c r="AJ143" s="124">
        <f>AE143-AT143</f>
        <v/>
      </c>
      <c r="AK143" s="124">
        <f>AF143-AU143</f>
        <v/>
      </c>
      <c r="AL143" s="210">
        <f>SUM(AI143:AK143)</f>
        <v/>
      </c>
      <c r="AM143" s="337">
        <f>(AI143*AB143)+((AJ143+AK143)*AC143)</f>
        <v/>
      </c>
      <c r="AN143" s="124" t="n">
        <v>701.1900000000001</v>
      </c>
      <c r="AO143" s="124" t="n">
        <v>25326</v>
      </c>
      <c r="AP143" s="124" t="n">
        <v>9313.5</v>
      </c>
      <c r="AQ143" s="143">
        <f>SUM(AN143:AP143)</f>
        <v/>
      </c>
      <c r="AR143" s="331">
        <f>(AN143*AB143)+((AO143+AP143)*AC143)</f>
        <v/>
      </c>
      <c r="AS143" s="124" t="n">
        <v>0</v>
      </c>
      <c r="AT143" s="124" t="n">
        <v>14584.5</v>
      </c>
      <c r="AU143" s="124" t="n">
        <v>0</v>
      </c>
      <c r="AV143" s="124">
        <f>SUM(AS143:AU143)</f>
        <v/>
      </c>
      <c r="AW143" s="124" t="n">
        <v>0</v>
      </c>
      <c r="AX143" s="124" t="n">
        <v>14584.5</v>
      </c>
      <c r="AY143" s="124" t="n">
        <v>0</v>
      </c>
      <c r="AZ143" s="124">
        <f>SUM(AW143:AY143)</f>
        <v/>
      </c>
      <c r="BA143" s="335">
        <f>(AW143*AB143)+((AX143+AY143)*AC143)</f>
        <v/>
      </c>
      <c r="BB143" s="122">
        <f>AN143-AW143</f>
        <v/>
      </c>
      <c r="BC143" s="141">
        <f>BB143*AB143</f>
        <v/>
      </c>
      <c r="BD143" s="122">
        <f>AO143-AX143</f>
        <v/>
      </c>
      <c r="BE143" s="122">
        <f>BD143*AC143</f>
        <v/>
      </c>
      <c r="BF143" s="122">
        <f>AP143-AY143</f>
        <v/>
      </c>
      <c r="BG143" s="122">
        <f>BF143*AC143</f>
        <v/>
      </c>
      <c r="BH143" s="122">
        <f>BB143+BD143+BF143</f>
        <v/>
      </c>
      <c r="BI143" s="122">
        <f>BC143+BE143+BG143</f>
        <v/>
      </c>
      <c r="BJ143" s="324">
        <f>BL143+BS143+BV143+BY143+CB143+CE143+CH143+CK143</f>
        <v/>
      </c>
      <c r="BK143" s="320">
        <f>((AI143+AW143)*AB143)+((AJ143+AK143+AX143+AY143)*AC143)</f>
        <v/>
      </c>
      <c r="BL143" s="132">
        <f>BM143+BN143+AL143</f>
        <v/>
      </c>
      <c r="BM143" s="133">
        <f>AW143</f>
        <v/>
      </c>
      <c r="BN143" s="133">
        <f>AX143+AY143</f>
        <v/>
      </c>
      <c r="BO143" s="320" t="n"/>
      <c r="BP143" s="320" t="n"/>
      <c r="BQ143" s="320" t="n">
        <v>0</v>
      </c>
      <c r="BR143" s="320" t="n"/>
      <c r="BS143" s="124" t="n">
        <v>0</v>
      </c>
      <c r="BT143" s="320" t="n"/>
      <c r="BU143" s="320">
        <f>BS143*BT143</f>
        <v/>
      </c>
      <c r="BV143" s="124" t="n">
        <v>0</v>
      </c>
      <c r="BW143" s="320" t="n"/>
      <c r="BX143" s="320" t="n">
        <v>0</v>
      </c>
      <c r="BY143" s="124" t="n"/>
      <c r="BZ143" s="320" t="n"/>
      <c r="CA143" s="124">
        <f>BY143*BZ143</f>
        <v/>
      </c>
      <c r="CB143" s="124" t="n"/>
      <c r="CC143" s="320" t="n"/>
      <c r="CD143" s="124" t="n"/>
      <c r="CE143" s="124" t="n"/>
      <c r="CF143" s="320" t="n"/>
      <c r="CG143" s="124" t="n"/>
      <c r="CH143" s="124" t="n"/>
      <c r="CI143" s="320" t="n"/>
      <c r="CJ143" s="124" t="n"/>
      <c r="CK143" s="124" t="n"/>
      <c r="CL143" s="320" t="n"/>
      <c r="CM143" s="124" t="n"/>
      <c r="CN143" s="320">
        <f>BK143+BU143+BX143+CA143+CD143+CG143+CJ143+CM143</f>
        <v/>
      </c>
      <c r="CO143" s="122" t="n">
        <v>0</v>
      </c>
      <c r="CP143" s="320">
        <f>CR143*G143</f>
        <v/>
      </c>
      <c r="CQ143" s="124">
        <f>AL143+AZ143+AQ143</f>
        <v/>
      </c>
      <c r="CR143" s="159">
        <f>AV143-AZ143-BS143-BV143-BY143-CB143</f>
        <v/>
      </c>
      <c r="CS143" s="155" t="n"/>
      <c r="CT143" s="155" t="n"/>
      <c r="CU143" s="177">
        <f>(BB143* AB143)+(BD143* AC143)+(BF143* AC143)+(S143+T143+U143+V143+W143+X143+Y143+Z143)</f>
        <v/>
      </c>
      <c r="CV143" s="177">
        <f>CU143-O143</f>
        <v/>
      </c>
      <c r="CW143" s="325" t="n"/>
    </row>
    <row r="144" ht="19.9" customFormat="1" customHeight="1" s="67">
      <c r="A144" s="120" t="n"/>
      <c r="B144" s="65" t="n">
        <v>1230005575</v>
      </c>
      <c r="C144" s="120" t="inlineStr">
        <is>
          <t>Cerâmica Fortunato</t>
        </is>
      </c>
      <c r="D144" s="121" t="inlineStr">
        <is>
          <t>CAMPESTRE DE GOIAS</t>
        </is>
      </c>
      <c r="E144" s="121" t="inlineStr">
        <is>
          <t>Março/2023</t>
        </is>
      </c>
      <c r="F144" s="141" t="n"/>
      <c r="G144" s="334" t="n"/>
      <c r="H144" s="143">
        <f>F144*G144</f>
        <v/>
      </c>
      <c r="I144" s="140" t="n"/>
      <c r="J144" s="144" t="n"/>
      <c r="K144" s="66" t="n"/>
      <c r="L144" s="140" t="n"/>
      <c r="M144" s="145" t="inlineStr">
        <is>
          <t>Agosto/2023</t>
        </is>
      </c>
      <c r="N144" s="145" t="inlineStr">
        <is>
          <t>01/07/2023 a 01/08/2023</t>
        </is>
      </c>
      <c r="O144" s="331" t="n">
        <v>15949.73</v>
      </c>
      <c r="P144" s="331" t="n">
        <v>0</v>
      </c>
      <c r="Q144" s="331" t="n">
        <v>7190.96</v>
      </c>
      <c r="R144" s="147" t="n"/>
      <c r="S144" s="331" t="n">
        <v>71.95999999999999</v>
      </c>
      <c r="T144" s="331" t="n">
        <v>361.48</v>
      </c>
      <c r="U144" s="331" t="n">
        <v>56.4</v>
      </c>
      <c r="V144" s="331" t="n">
        <v>0</v>
      </c>
      <c r="W144" s="331" t="n">
        <v>0</v>
      </c>
      <c r="X144" s="331" t="n"/>
      <c r="Y144" s="331" t="n"/>
      <c r="Z144" s="331" t="n"/>
      <c r="AA144" s="331" t="n"/>
      <c r="AB144" s="332" t="n">
        <v>2.405483</v>
      </c>
      <c r="AC144" s="332" t="n">
        <v>0.518858</v>
      </c>
      <c r="AD144" s="143" t="n">
        <v>6.31</v>
      </c>
      <c r="AE144" s="173" t="n">
        <v>44536.42</v>
      </c>
      <c r="AF144" s="143" t="n">
        <v>18.53</v>
      </c>
      <c r="AG144" s="143">
        <f>SUM(AD144:AF144)</f>
        <v/>
      </c>
      <c r="AH144" s="143">
        <f>(AD144*AB144)+((AE144+AF144)*AC144)</f>
        <v/>
      </c>
      <c r="AI144" s="143">
        <f>AD144-AS144</f>
        <v/>
      </c>
      <c r="AJ144" s="143">
        <f>AE144-AT144</f>
        <v/>
      </c>
      <c r="AK144" s="143">
        <f>AF144-AU144</f>
        <v/>
      </c>
      <c r="AL144" s="208">
        <f>SUM(AI144:AK144)</f>
        <v/>
      </c>
      <c r="AM144" s="336">
        <f>(AI144*AB144)+((AJ144+AK144)*AC144)</f>
        <v/>
      </c>
      <c r="AN144" s="143" t="n">
        <v>681.24</v>
      </c>
      <c r="AO144" s="143" t="n">
        <v>24654</v>
      </c>
      <c r="AP144" s="143" t="n">
        <v>7150.5</v>
      </c>
      <c r="AQ144" s="124">
        <f>SUM(AN144:AP144)</f>
        <v/>
      </c>
      <c r="AR144" s="321">
        <f>(AN144*AB144)+((AO144+AP144)*AC144)</f>
        <v/>
      </c>
      <c r="AS144" s="143" t="n">
        <v>0</v>
      </c>
      <c r="AT144" s="143" t="n">
        <v>19026</v>
      </c>
      <c r="AU144" s="143" t="n">
        <v>0</v>
      </c>
      <c r="AV144" s="143">
        <f>SUM(AS144:AU144)</f>
        <v/>
      </c>
      <c r="AW144" s="143" t="n">
        <v>0</v>
      </c>
      <c r="AX144" s="143" t="n">
        <v>19026</v>
      </c>
      <c r="AY144" s="143" t="n">
        <v>0</v>
      </c>
      <c r="AZ144" s="143">
        <f>SUM(AW144:AY144)</f>
        <v/>
      </c>
      <c r="BA144" s="335">
        <f>(AW144*AB144)+((AX144+AY144)*AC144)</f>
        <v/>
      </c>
      <c r="BB144" s="141">
        <f>AN144-AW144</f>
        <v/>
      </c>
      <c r="BC144" s="141">
        <f>BB144*AB144</f>
        <v/>
      </c>
      <c r="BD144" s="141">
        <f>AO144-AX144</f>
        <v/>
      </c>
      <c r="BE144" s="141">
        <f>BD144*AC144</f>
        <v/>
      </c>
      <c r="BF144" s="141">
        <f>AP144-AY144</f>
        <v/>
      </c>
      <c r="BG144" s="141">
        <f>BF144*AC144</f>
        <v/>
      </c>
      <c r="BH144" s="141">
        <f>BB144+BD144+BF144</f>
        <v/>
      </c>
      <c r="BI144" s="141">
        <f>BC144+BE144+BG144</f>
        <v/>
      </c>
      <c r="BJ144" s="324">
        <f>BL144+BS144+BV144+BY144+CB144+CE144+CH144+CK144</f>
        <v/>
      </c>
      <c r="BK144" s="320">
        <f>((AI144+AW144)*AB144)+((AJ144+AK144+AX144+AY144)*AC144)</f>
        <v/>
      </c>
      <c r="BL144" s="132">
        <f>BM144+BN144+AL144</f>
        <v/>
      </c>
      <c r="BM144" s="133">
        <f>AW144</f>
        <v/>
      </c>
      <c r="BN144" s="133">
        <f>AX144+AY144</f>
        <v/>
      </c>
      <c r="BO144" s="334" t="n"/>
      <c r="BP144" s="334" t="n"/>
      <c r="BQ144" s="334" t="n">
        <v>0</v>
      </c>
      <c r="BR144" s="334" t="n"/>
      <c r="BS144" s="143" t="n">
        <v>0</v>
      </c>
      <c r="BT144" s="334" t="n"/>
      <c r="BU144" s="320">
        <f>BS144*BT144</f>
        <v/>
      </c>
      <c r="BV144" s="143" t="n">
        <v>0</v>
      </c>
      <c r="BW144" s="334" t="n"/>
      <c r="BX144" s="334" t="n">
        <v>0</v>
      </c>
      <c r="BY144" s="143" t="n"/>
      <c r="BZ144" s="334" t="n"/>
      <c r="CA144" s="124">
        <f>BY144*BZ144</f>
        <v/>
      </c>
      <c r="CB144" s="143" t="n"/>
      <c r="CC144" s="334" t="n"/>
      <c r="CD144" s="143" t="n"/>
      <c r="CE144" s="143" t="n"/>
      <c r="CF144" s="334" t="n"/>
      <c r="CG144" s="143" t="n"/>
      <c r="CH144" s="143" t="n"/>
      <c r="CI144" s="334" t="n"/>
      <c r="CJ144" s="143" t="n"/>
      <c r="CK144" s="143" t="n"/>
      <c r="CL144" s="334" t="n"/>
      <c r="CM144" s="143" t="n"/>
      <c r="CN144" s="320">
        <f>BK144+BU144+BX144+CA144+CD144+CG144+CJ144+CM144</f>
        <v/>
      </c>
      <c r="CO144" s="141" t="n">
        <v>0</v>
      </c>
      <c r="CP144" s="320">
        <f>CR144*G144</f>
        <v/>
      </c>
      <c r="CQ144" s="124">
        <f>AL144+AZ144+AQ144</f>
        <v/>
      </c>
      <c r="CR144" s="159">
        <f>AV144-AZ144-BS144-BV144-BY144-CB144</f>
        <v/>
      </c>
      <c r="CS144" s="155" t="n"/>
      <c r="CT144" s="155" t="n"/>
      <c r="CU144" s="177">
        <f>(BB144* AB144)+(BD144* AC144)+(BF144* AC144)+(S144+T144+U144+V144+W144+X144+Y144+Z144)</f>
        <v/>
      </c>
      <c r="CV144" s="177">
        <f>CU144-O144</f>
        <v/>
      </c>
      <c r="CW144" s="325" t="n"/>
    </row>
    <row r="145" ht="19.9" customFormat="1" customHeight="1" s="67">
      <c r="A145" s="139" t="n"/>
      <c r="B145" s="66" t="n">
        <v>1230005575</v>
      </c>
      <c r="C145" s="139" t="inlineStr">
        <is>
          <t>Cerâmica Fortunato</t>
        </is>
      </c>
      <c r="D145" s="140" t="inlineStr">
        <is>
          <t>CAMPESTRE DE GOIAS</t>
        </is>
      </c>
      <c r="E145" s="140" t="inlineStr">
        <is>
          <t>Março/2023</t>
        </is>
      </c>
      <c r="F145" s="122" t="n"/>
      <c r="G145" s="320" t="n"/>
      <c r="H145" s="124">
        <f>F145*G145</f>
        <v/>
      </c>
      <c r="I145" s="121" t="n"/>
      <c r="J145" s="125" t="n"/>
      <c r="K145" s="65" t="n"/>
      <c r="L145" s="121" t="n"/>
      <c r="M145" s="126" t="inlineStr">
        <is>
          <t>Setembro/2023</t>
        </is>
      </c>
      <c r="N145" s="126" t="inlineStr">
        <is>
          <t>01/08/2023 a 01/09/2023</t>
        </is>
      </c>
      <c r="O145" s="321" t="n">
        <v>13869.62</v>
      </c>
      <c r="P145" s="321" t="n">
        <v>0</v>
      </c>
      <c r="Q145" s="321" t="n">
        <v>6998.76</v>
      </c>
      <c r="R145" s="207" t="n"/>
      <c r="S145" s="321" t="n">
        <v>81.09999999999999</v>
      </c>
      <c r="T145" s="321" t="n">
        <v>0</v>
      </c>
      <c r="U145" s="321" t="n">
        <v>56.4</v>
      </c>
      <c r="V145" s="321" t="n">
        <v>0</v>
      </c>
      <c r="W145" s="321" t="n">
        <v>0</v>
      </c>
      <c r="X145" s="321" t="n"/>
      <c r="Y145" s="321" t="n"/>
      <c r="Z145" s="321" t="n"/>
      <c r="AA145" s="321" t="n"/>
      <c r="AB145" s="322" t="n">
        <v>2.34119</v>
      </c>
      <c r="AC145" s="322" t="n">
        <v>0.504989</v>
      </c>
      <c r="AD145" s="124" t="n">
        <v>5.72</v>
      </c>
      <c r="AE145" s="124" t="n">
        <v>37455.291</v>
      </c>
      <c r="AF145" s="124" t="n">
        <v>14.98</v>
      </c>
      <c r="AG145" s="124">
        <f>SUM(AD145:AF145)</f>
        <v/>
      </c>
      <c r="AH145" s="124">
        <f>(AD145*AB145)+((AE145+AF145)*AC145)</f>
        <v/>
      </c>
      <c r="AI145" s="124">
        <f>AD145-AS145</f>
        <v/>
      </c>
      <c r="AJ145" s="124">
        <f>AE145-AT145</f>
        <v/>
      </c>
      <c r="AK145" s="124">
        <f>AF145-AU145</f>
        <v/>
      </c>
      <c r="AL145" s="210">
        <f>SUM(AI145:AK145)</f>
        <v/>
      </c>
      <c r="AM145" s="337">
        <f>(AI145*AB145)+((AJ145+AK145)*AC145)</f>
        <v/>
      </c>
      <c r="AN145" s="124" t="n">
        <v>1043.8</v>
      </c>
      <c r="AO145" s="124" t="n">
        <v>19887</v>
      </c>
      <c r="AP145" s="124" t="n">
        <v>7150.5</v>
      </c>
      <c r="AQ145" s="143">
        <f>SUM(AN145:AP145)</f>
        <v/>
      </c>
      <c r="AR145" s="331">
        <f>(AN145*AB145)+((AO145+AP145)*AC145)</f>
        <v/>
      </c>
      <c r="AS145" s="124" t="n">
        <v>0</v>
      </c>
      <c r="AT145" s="124" t="n">
        <v>18543</v>
      </c>
      <c r="AU145" s="124" t="n">
        <v>0</v>
      </c>
      <c r="AV145" s="124">
        <f>SUM(AS145:AU145)</f>
        <v/>
      </c>
      <c r="AW145" s="124" t="n">
        <v>0</v>
      </c>
      <c r="AX145" s="124" t="n">
        <v>18543</v>
      </c>
      <c r="AY145" s="124" t="n">
        <v>0</v>
      </c>
      <c r="AZ145" s="124">
        <f>SUM(AW145:AY145)</f>
        <v/>
      </c>
      <c r="BA145" s="335">
        <f>(AW145*AB145)+((AX145+AY145)*AC145)</f>
        <v/>
      </c>
      <c r="BB145" s="122">
        <f>AN145-AW145</f>
        <v/>
      </c>
      <c r="BC145" s="141">
        <f>BB145*AB145</f>
        <v/>
      </c>
      <c r="BD145" s="122">
        <f>AO145-AX145</f>
        <v/>
      </c>
      <c r="BE145" s="122">
        <f>BD145*AC145</f>
        <v/>
      </c>
      <c r="BF145" s="122">
        <f>AP145-AY145</f>
        <v/>
      </c>
      <c r="BG145" s="122">
        <f>BF145*AC145</f>
        <v/>
      </c>
      <c r="BH145" s="122">
        <f>BB145+BD145+BF145</f>
        <v/>
      </c>
      <c r="BI145" s="122">
        <f>BC145+BE145+BG145</f>
        <v/>
      </c>
      <c r="BJ145" s="324">
        <f>BL145+BS145+BV145+BY145+CB145+CE145+CH145+CK145</f>
        <v/>
      </c>
      <c r="BK145" s="320">
        <f>((AI145+AW145)*AB145)+((AJ145+AK145+AX145+AY145)*AC145)</f>
        <v/>
      </c>
      <c r="BL145" s="132">
        <f>BM145+BN145+AL145</f>
        <v/>
      </c>
      <c r="BM145" s="133">
        <f>AW145</f>
        <v/>
      </c>
      <c r="BN145" s="133">
        <f>AX145+AY145</f>
        <v/>
      </c>
      <c r="BO145" s="320" t="n"/>
      <c r="BP145" s="320" t="n"/>
      <c r="BQ145" s="320" t="n">
        <v>0</v>
      </c>
      <c r="BR145" s="320" t="n"/>
      <c r="BS145" s="124" t="n">
        <v>0</v>
      </c>
      <c r="BT145" s="320" t="n"/>
      <c r="BU145" s="320">
        <f>BS145*BT145</f>
        <v/>
      </c>
      <c r="BV145" s="124" t="n">
        <v>0</v>
      </c>
      <c r="BW145" s="320" t="n"/>
      <c r="BX145" s="320" t="n">
        <v>0</v>
      </c>
      <c r="BY145" s="124" t="n"/>
      <c r="BZ145" s="320" t="n"/>
      <c r="CA145" s="124">
        <f>BY145*BZ145</f>
        <v/>
      </c>
      <c r="CB145" s="124" t="n"/>
      <c r="CC145" s="320" t="n"/>
      <c r="CD145" s="124" t="n"/>
      <c r="CE145" s="124" t="n"/>
      <c r="CF145" s="320" t="n"/>
      <c r="CG145" s="124" t="n"/>
      <c r="CH145" s="124" t="n"/>
      <c r="CI145" s="320" t="n"/>
      <c r="CJ145" s="124" t="n"/>
      <c r="CK145" s="124" t="n"/>
      <c r="CL145" s="320" t="n"/>
      <c r="CM145" s="124" t="n"/>
      <c r="CN145" s="320">
        <f>BK145+BU145+BX145+CA145+CD145+CG145+CJ145+CM145</f>
        <v/>
      </c>
      <c r="CO145" s="122" t="n">
        <v>0</v>
      </c>
      <c r="CP145" s="320">
        <f>CR145*G145</f>
        <v/>
      </c>
      <c r="CQ145" s="124">
        <f>AL145+AZ145+AQ145</f>
        <v/>
      </c>
      <c r="CR145" s="159">
        <f>AV145-AZ145-BS145-BV145-BY145-CB145</f>
        <v/>
      </c>
      <c r="CS145" s="155" t="n"/>
      <c r="CT145" s="155" t="n"/>
      <c r="CU145" s="177">
        <f>(BB145* AB145)+(BD145* AC145)+(BF145* AC145)+(S145+T145+U145+V145+W145+X145+Y145+Z145)</f>
        <v/>
      </c>
      <c r="CV145" s="177">
        <f>CU145-O145</f>
        <v/>
      </c>
      <c r="CW145" s="325" t="n"/>
    </row>
    <row r="146" ht="19.9" customFormat="1" customHeight="1" s="67">
      <c r="A146" s="120" t="n"/>
      <c r="B146" s="65" t="n">
        <v>1230005575</v>
      </c>
      <c r="C146" s="120" t="inlineStr">
        <is>
          <t>Cerâmica Fortunato</t>
        </is>
      </c>
      <c r="D146" s="121" t="inlineStr">
        <is>
          <t>CAMPESTRE DE GOIAS</t>
        </is>
      </c>
      <c r="E146" s="121" t="inlineStr">
        <is>
          <t>Março/2023</t>
        </is>
      </c>
      <c r="F146" s="141" t="n"/>
      <c r="G146" s="334" t="n"/>
      <c r="H146" s="143">
        <f>F146*G146</f>
        <v/>
      </c>
      <c r="I146" s="140" t="n"/>
      <c r="J146" s="144" t="n"/>
      <c r="K146" s="66" t="n"/>
      <c r="L146" s="140" t="n"/>
      <c r="M146" s="145" t="inlineStr">
        <is>
          <t>Outubro/2023</t>
        </is>
      </c>
      <c r="N146" s="145" t="inlineStr">
        <is>
          <t>01/09/2023 a 01/10/2023</t>
        </is>
      </c>
      <c r="O146" s="331" t="n">
        <v>13092.97</v>
      </c>
      <c r="P146" s="331" t="n">
        <v>0</v>
      </c>
      <c r="Q146" s="331" t="n">
        <v>7145.72</v>
      </c>
      <c r="R146" s="147" t="n"/>
      <c r="S146" s="331" t="n">
        <v>293.93</v>
      </c>
      <c r="T146" s="331" t="n">
        <v>0</v>
      </c>
      <c r="U146" s="331" t="n">
        <v>56.4</v>
      </c>
      <c r="V146" s="331" t="n">
        <v>0</v>
      </c>
      <c r="W146" s="331" t="n">
        <v>0</v>
      </c>
      <c r="X146" s="331" t="n"/>
      <c r="Y146" s="331" t="n"/>
      <c r="Z146" s="331" t="n"/>
      <c r="AA146" s="331" t="n"/>
      <c r="AB146" s="332" t="n">
        <v>2.390349</v>
      </c>
      <c r="AC146" s="332" t="n">
        <v>0.515594</v>
      </c>
      <c r="AD146" s="143" t="n">
        <v>8.119999999999999</v>
      </c>
      <c r="AE146" s="173" t="n">
        <v>43492.74</v>
      </c>
      <c r="AF146" s="143" t="n">
        <v>15.38</v>
      </c>
      <c r="AG146" s="143">
        <f>SUM(AD146:AF146)</f>
        <v/>
      </c>
      <c r="AH146" s="143">
        <f>(AD146*AB146)+((AE146+AF146)*AC146)</f>
        <v/>
      </c>
      <c r="AI146" s="143">
        <f>AD146-AS146</f>
        <v/>
      </c>
      <c r="AJ146" s="143">
        <f>AE146-AT146</f>
        <v/>
      </c>
      <c r="AK146" s="143">
        <f>AF146-AU146</f>
        <v/>
      </c>
      <c r="AL146" s="208">
        <f>SUM(AI146:AK146)</f>
        <v/>
      </c>
      <c r="AM146" s="336">
        <f>(AI146*AB146)+((AJ146+AK146)*AC146)</f>
        <v/>
      </c>
      <c r="AN146" s="143" t="n">
        <v>776.47</v>
      </c>
      <c r="AO146" s="143" t="n">
        <v>19540.5</v>
      </c>
      <c r="AP146" s="143" t="n">
        <v>8505</v>
      </c>
      <c r="AQ146" s="124">
        <f>SUM(AN146:AP146)</f>
        <v/>
      </c>
      <c r="AR146" s="321">
        <f>(AN146*AB146)+((AO146+AP146)*AC146)</f>
        <v/>
      </c>
      <c r="AS146" s="143" t="n">
        <v>0</v>
      </c>
      <c r="AT146" s="143" t="n">
        <v>20790</v>
      </c>
      <c r="AU146" s="143" t="n">
        <v>0</v>
      </c>
      <c r="AV146" s="143">
        <f>SUM(AS146:AU146)</f>
        <v/>
      </c>
      <c r="AW146" s="143" t="n">
        <v>0</v>
      </c>
      <c r="AX146" s="143" t="n">
        <v>19540.5</v>
      </c>
      <c r="AY146" s="143" t="n">
        <v>1249.5</v>
      </c>
      <c r="AZ146" s="143">
        <f>SUM(AW146:AY146)</f>
        <v/>
      </c>
      <c r="BA146" s="335">
        <f>(AW146*AB146)+((AX146+AY146)*AC146)</f>
        <v/>
      </c>
      <c r="BB146" s="141">
        <f>AN146-AW146</f>
        <v/>
      </c>
      <c r="BC146" s="141">
        <f>BB146*AB146</f>
        <v/>
      </c>
      <c r="BD146" s="141">
        <f>AO146-AX146</f>
        <v/>
      </c>
      <c r="BE146" s="141">
        <f>BD146*AC146</f>
        <v/>
      </c>
      <c r="BF146" s="141">
        <f>AP146-AY146</f>
        <v/>
      </c>
      <c r="BG146" s="141">
        <f>BF146*AC146</f>
        <v/>
      </c>
      <c r="BH146" s="141">
        <f>BB146+BD146+BF146</f>
        <v/>
      </c>
      <c r="BI146" s="141">
        <f>BC146+BE146+BG146</f>
        <v/>
      </c>
      <c r="BJ146" s="324">
        <f>BL146+BS146+BV146+BY146+CB146+CE146+CH146+CK146</f>
        <v/>
      </c>
      <c r="BK146" s="320">
        <f>((AI146+AW146)*AB146)+((AJ146+AK146+AX146+AY146)*AC146)</f>
        <v/>
      </c>
      <c r="BL146" s="132">
        <f>BM146+BN146+AL146</f>
        <v/>
      </c>
      <c r="BM146" s="133">
        <f>AW146</f>
        <v/>
      </c>
      <c r="BN146" s="133">
        <f>AX146+AY146</f>
        <v/>
      </c>
      <c r="BO146" s="334" t="n"/>
      <c r="BP146" s="334" t="n"/>
      <c r="BQ146" s="334" t="n">
        <v>0</v>
      </c>
      <c r="BR146" s="334" t="n"/>
      <c r="BS146" s="143" t="n">
        <v>0</v>
      </c>
      <c r="BT146" s="334" t="n"/>
      <c r="BU146" s="320">
        <f>BS146*BT146</f>
        <v/>
      </c>
      <c r="BV146" s="143" t="n">
        <v>0</v>
      </c>
      <c r="BW146" s="334" t="n"/>
      <c r="BX146" s="334" t="n">
        <v>0</v>
      </c>
      <c r="BY146" s="143" t="n"/>
      <c r="BZ146" s="334" t="n"/>
      <c r="CA146" s="124">
        <f>BY146*BZ146</f>
        <v/>
      </c>
      <c r="CB146" s="143" t="n"/>
      <c r="CC146" s="334" t="n"/>
      <c r="CD146" s="143" t="n"/>
      <c r="CE146" s="143" t="n"/>
      <c r="CF146" s="334" t="n"/>
      <c r="CG146" s="143" t="n"/>
      <c r="CH146" s="143" t="n"/>
      <c r="CI146" s="334" t="n"/>
      <c r="CJ146" s="143" t="n"/>
      <c r="CK146" s="143" t="n"/>
      <c r="CL146" s="334" t="n"/>
      <c r="CM146" s="143" t="n"/>
      <c r="CN146" s="320">
        <f>BK146+BU146+BX146+CA146+CD146+CG146+CJ146+CM146</f>
        <v/>
      </c>
      <c r="CO146" s="141" t="n">
        <v>0</v>
      </c>
      <c r="CP146" s="320">
        <f>CR146*G146</f>
        <v/>
      </c>
      <c r="CQ146" s="124">
        <f>AL146+AZ146+AQ146</f>
        <v/>
      </c>
      <c r="CR146" s="159">
        <f>AV146-AZ146-BS146-BV146-BY146-CB146</f>
        <v/>
      </c>
      <c r="CS146" s="155" t="n"/>
      <c r="CT146" s="155" t="n"/>
      <c r="CU146" s="177">
        <f>(BB146* AB146)+(BD146* AC146)+(BF146* AC146)+(S146+T146+U146+V146+W146+X146+Y146+Z146)</f>
        <v/>
      </c>
      <c r="CV146" s="177">
        <f>CU146-O146</f>
        <v/>
      </c>
      <c r="CW146" s="325" t="n"/>
    </row>
    <row r="147" ht="19.9" customFormat="1" customHeight="1" s="67">
      <c r="A147" s="233" t="n"/>
      <c r="B147" s="66" t="n">
        <v>1230005575</v>
      </c>
      <c r="C147" s="233" t="inlineStr">
        <is>
          <t>Cerâmica Fortunato</t>
        </is>
      </c>
      <c r="D147" s="140" t="inlineStr">
        <is>
          <t>CAMPESTRE DE GOIAS</t>
        </is>
      </c>
      <c r="E147" s="140" t="inlineStr">
        <is>
          <t>Março/2023</t>
        </is>
      </c>
      <c r="F147" s="122" t="n"/>
      <c r="G147" s="320" t="n"/>
      <c r="H147" s="124">
        <f>F147*G147</f>
        <v/>
      </c>
      <c r="I147" s="121" t="n"/>
      <c r="J147" s="125" t="n"/>
      <c r="K147" s="65" t="n"/>
      <c r="L147" s="121" t="n"/>
      <c r="M147" s="126" t="inlineStr">
        <is>
          <t>Novembro/2023</t>
        </is>
      </c>
      <c r="N147" s="126" t="inlineStr">
        <is>
          <t>01/10/2023 a 01/11/2023</t>
        </is>
      </c>
      <c r="O147" s="321" t="n">
        <v>12241.69</v>
      </c>
      <c r="P147" s="321" t="n">
        <v>0</v>
      </c>
      <c r="Q147" s="321" t="n">
        <v>7485.99</v>
      </c>
      <c r="R147" s="207" t="n"/>
      <c r="S147" s="321" t="n">
        <v>140.18</v>
      </c>
      <c r="T147" s="321" t="n">
        <v>0</v>
      </c>
      <c r="U147" s="321" t="n">
        <v>56.4</v>
      </c>
      <c r="V147" s="321" t="n">
        <v>0</v>
      </c>
      <c r="W147" s="321" t="n">
        <v>0</v>
      </c>
      <c r="X147" s="321" t="n"/>
      <c r="Y147" s="321" t="n"/>
      <c r="Z147" s="321" t="n"/>
      <c r="AA147" s="321" t="n"/>
      <c r="AB147" s="322" t="n">
        <v>2.455706</v>
      </c>
      <c r="AC147" s="322" t="n">
        <v>0.501162</v>
      </c>
      <c r="AD147" s="124" t="n">
        <v>24.43</v>
      </c>
      <c r="AE147" s="124" t="n">
        <v>53370.83</v>
      </c>
      <c r="AF147" s="124" t="n">
        <v>13.71</v>
      </c>
      <c r="AG147" s="124">
        <f>SUM(AD147:AF147)</f>
        <v/>
      </c>
      <c r="AH147" s="124">
        <f>(AD147*AB147)+((AE147+AF147)*AC147)</f>
        <v/>
      </c>
      <c r="AI147" s="124">
        <f>AD147-AS147</f>
        <v/>
      </c>
      <c r="AJ147" s="124">
        <f>AE147-AT147</f>
        <v/>
      </c>
      <c r="AK147" s="124">
        <f>AF147-AU147</f>
        <v/>
      </c>
      <c r="AL147" s="210">
        <f>SUM(AI147:AK147)</f>
        <v/>
      </c>
      <c r="AM147" s="337">
        <f>(AI147*AB147)+((AJ147+AK147)*AC147)</f>
        <v/>
      </c>
      <c r="AN147" s="124" t="n">
        <v>768.1799999999999</v>
      </c>
      <c r="AO147" s="124" t="n">
        <v>20548.5</v>
      </c>
      <c r="AP147" s="124" t="n">
        <v>8421</v>
      </c>
      <c r="AQ147" s="143">
        <f>SUM(AN147:AP147)</f>
        <v/>
      </c>
      <c r="AR147" s="331">
        <f>(AN147*AB147)+((AO147+AP147)*AC147)</f>
        <v/>
      </c>
      <c r="AS147" s="124" t="n">
        <v>0.21</v>
      </c>
      <c r="AT147" s="124" t="n">
        <v>23635.5</v>
      </c>
      <c r="AU147" s="124" t="n">
        <v>0</v>
      </c>
      <c r="AV147" s="124">
        <f>SUM(AS147:AU147)</f>
        <v/>
      </c>
      <c r="AW147" s="124" t="n">
        <v>0.21</v>
      </c>
      <c r="AX147" s="124" t="n">
        <v>20548.5</v>
      </c>
      <c r="AY147" s="124" t="n">
        <v>3087</v>
      </c>
      <c r="AZ147" s="124">
        <f>SUM(AW147:AY147)</f>
        <v/>
      </c>
      <c r="BA147" s="335">
        <f>(AW147*AB147)+((AX147+AY147)*AC147)</f>
        <v/>
      </c>
      <c r="BB147" s="122">
        <f>AN147-AW147</f>
        <v/>
      </c>
      <c r="BC147" s="141">
        <f>BB147*AB147</f>
        <v/>
      </c>
      <c r="BD147" s="122">
        <f>AO147-AX147</f>
        <v/>
      </c>
      <c r="BE147" s="122">
        <f>BD147*AC147</f>
        <v/>
      </c>
      <c r="BF147" s="122">
        <f>AP147-AY147</f>
        <v/>
      </c>
      <c r="BG147" s="122">
        <f>BF147*AC147</f>
        <v/>
      </c>
      <c r="BH147" s="122">
        <f>BB147+BD147+BF147</f>
        <v/>
      </c>
      <c r="BI147" s="122">
        <f>BC147+BE147+BG147</f>
        <v/>
      </c>
      <c r="BJ147" s="324">
        <f>BL147+BS147+BV147+BY147+CB147+CE147+CH147+CK147</f>
        <v/>
      </c>
      <c r="BK147" s="320">
        <f>((AI147+AW147)*AB147)+((AJ147+AK147+AX147+AY147)*AC147)</f>
        <v/>
      </c>
      <c r="BL147" s="132">
        <f>BM147+BN147+AL147</f>
        <v/>
      </c>
      <c r="BM147" s="133">
        <f>AW147</f>
        <v/>
      </c>
      <c r="BN147" s="133">
        <f>AX147+AY147</f>
        <v/>
      </c>
      <c r="BO147" s="320" t="n"/>
      <c r="BP147" s="320" t="n"/>
      <c r="BQ147" s="320" t="n">
        <v>0</v>
      </c>
      <c r="BR147" s="320" t="n"/>
      <c r="BS147" s="124" t="n">
        <v>0</v>
      </c>
      <c r="BT147" s="320" t="n"/>
      <c r="BU147" s="320">
        <f>BS147*BT147</f>
        <v/>
      </c>
      <c r="BV147" s="124" t="n">
        <v>0</v>
      </c>
      <c r="BW147" s="320" t="n"/>
      <c r="BX147" s="320" t="n">
        <v>0</v>
      </c>
      <c r="BY147" s="124" t="n"/>
      <c r="BZ147" s="320" t="n"/>
      <c r="CA147" s="124">
        <f>BY147*BZ147</f>
        <v/>
      </c>
      <c r="CB147" s="124" t="n"/>
      <c r="CC147" s="320" t="n"/>
      <c r="CD147" s="124" t="n"/>
      <c r="CE147" s="124" t="n"/>
      <c r="CF147" s="320" t="n"/>
      <c r="CG147" s="124" t="n"/>
      <c r="CH147" s="124" t="n"/>
      <c r="CI147" s="320" t="n"/>
      <c r="CJ147" s="124" t="n"/>
      <c r="CK147" s="124" t="n"/>
      <c r="CL147" s="320" t="n"/>
      <c r="CM147" s="124" t="n"/>
      <c r="CN147" s="320">
        <f>BK147+BU147+BX147+CA147+CD147+CG147+CJ147+CM147</f>
        <v/>
      </c>
      <c r="CO147" s="122" t="n">
        <v>0</v>
      </c>
      <c r="CP147" s="320">
        <f>CR147*G147</f>
        <v/>
      </c>
      <c r="CQ147" s="124">
        <f>AL147+AZ147+AQ147</f>
        <v/>
      </c>
      <c r="CR147" s="159">
        <f>AV147-AZ147-BS147-BV147-BY147-CB147</f>
        <v/>
      </c>
      <c r="CS147" s="155" t="n"/>
      <c r="CT147" s="155" t="n"/>
      <c r="CU147" s="177">
        <f>(BB147* AB147)+(BD147* AC147)+(BF147* AC147)+(S147+T147+U147+V147+W147+X147+Y147+Z147)</f>
        <v/>
      </c>
      <c r="CV147" s="177">
        <f>CU147-O147</f>
        <v/>
      </c>
      <c r="CW147" s="325" t="n"/>
    </row>
    <row r="148" ht="19.9" customFormat="1" customHeight="1" s="67">
      <c r="A148" s="120" t="n"/>
      <c r="B148" s="65" t="n">
        <v>1230005575</v>
      </c>
      <c r="C148" s="120" t="inlineStr">
        <is>
          <t>Cerâmica Fortunato</t>
        </is>
      </c>
      <c r="D148" s="121" t="inlineStr">
        <is>
          <t>CAMPESTRE DE GOIAS</t>
        </is>
      </c>
      <c r="E148" s="121" t="inlineStr">
        <is>
          <t>Março/2023</t>
        </is>
      </c>
      <c r="F148" s="141" t="n"/>
      <c r="G148" s="334" t="n"/>
      <c r="H148" s="143">
        <f>F148*G148</f>
        <v/>
      </c>
      <c r="I148" s="140" t="n"/>
      <c r="J148" s="144" t="n"/>
      <c r="K148" s="66" t="n"/>
      <c r="L148" s="140" t="n"/>
      <c r="M148" s="145" t="inlineStr">
        <is>
          <t>Dezembro/2023</t>
        </is>
      </c>
      <c r="N148" s="145" t="inlineStr">
        <is>
          <t>01/11/2023 a 01/12/2023</t>
        </is>
      </c>
      <c r="O148" s="331" t="n">
        <v>8297.09</v>
      </c>
      <c r="P148" s="331" t="n">
        <v>0</v>
      </c>
      <c r="Q148" s="331" t="n">
        <v>7999.75</v>
      </c>
      <c r="R148" s="147" t="n"/>
      <c r="S148" s="331" t="n">
        <v>15.11</v>
      </c>
      <c r="T148" s="331" t="n">
        <v>273.77</v>
      </c>
      <c r="U148" s="331" t="n">
        <v>8.460000000000001</v>
      </c>
      <c r="V148" s="331" t="n">
        <v>0</v>
      </c>
      <c r="W148" s="331" t="n">
        <v>0</v>
      </c>
      <c r="X148" s="331" t="n"/>
      <c r="Y148" s="331" t="n"/>
      <c r="Z148" s="331" t="n"/>
      <c r="AA148" s="331" t="n"/>
      <c r="AB148" s="332" t="n">
        <v>2.538583</v>
      </c>
      <c r="AC148" s="332" t="n">
        <v>0.466663</v>
      </c>
      <c r="AD148" s="143" t="n">
        <v>64.73999999999999</v>
      </c>
      <c r="AE148" s="173" t="n">
        <v>56483.66</v>
      </c>
      <c r="AF148" s="143" t="n">
        <v>30.6</v>
      </c>
      <c r="AG148" s="143">
        <f>SUM(AD148:AF148)</f>
        <v/>
      </c>
      <c r="AH148" s="143">
        <f>(AD148*AB148)+((AE148+AF148)*AC148)</f>
        <v/>
      </c>
      <c r="AI148" s="143">
        <f>AD148-AS148</f>
        <v/>
      </c>
      <c r="AJ148" s="143">
        <f>AE148-AT148</f>
        <v/>
      </c>
      <c r="AK148" s="143">
        <f>AF148-AU148</f>
        <v/>
      </c>
      <c r="AL148" s="208">
        <f>SUM(AI148:AK148)</f>
        <v/>
      </c>
      <c r="AM148" s="336">
        <f>(AI148*AB148)+((AJ148+AK148)*AC148)</f>
        <v/>
      </c>
      <c r="AN148" s="143" t="n">
        <v>651.21</v>
      </c>
      <c r="AO148" s="143" t="n">
        <v>14658</v>
      </c>
      <c r="AP148" s="143" t="n">
        <v>5775</v>
      </c>
      <c r="AQ148" s="124">
        <f>SUM(AN148:AP148)</f>
        <v/>
      </c>
      <c r="AR148" s="321">
        <f>(AN148*AB148)+((AO148+AP148)*AC148)</f>
        <v/>
      </c>
      <c r="AS148" s="143" t="n">
        <v>1.36</v>
      </c>
      <c r="AT148" s="143" t="n">
        <v>27163.5</v>
      </c>
      <c r="AU148" s="143" t="n">
        <v>0</v>
      </c>
      <c r="AV148" s="143">
        <f>SUM(AS148:AU148)</f>
        <v/>
      </c>
      <c r="AW148" s="143" t="n">
        <v>651.21</v>
      </c>
      <c r="AX148" s="143" t="n">
        <v>14658</v>
      </c>
      <c r="AY148" s="143" t="n">
        <v>5775</v>
      </c>
      <c r="AZ148" s="143">
        <f>SUM(AW148:AY148)</f>
        <v/>
      </c>
      <c r="BA148" s="335">
        <f>(AW148*AB148)+((AX148+AY148)*AC148)</f>
        <v/>
      </c>
      <c r="BB148" s="141">
        <f>AN148-AW148</f>
        <v/>
      </c>
      <c r="BC148" s="141">
        <f>BB148*AB148</f>
        <v/>
      </c>
      <c r="BD148" s="141">
        <f>AO148-AX148</f>
        <v/>
      </c>
      <c r="BE148" s="141">
        <f>BD148*AC148</f>
        <v/>
      </c>
      <c r="BF148" s="141">
        <f>AP148-AY148</f>
        <v/>
      </c>
      <c r="BG148" s="141">
        <f>BF148*AC148</f>
        <v/>
      </c>
      <c r="BH148" s="141">
        <f>BB148+BD148+BF148</f>
        <v/>
      </c>
      <c r="BI148" s="141">
        <f>BC148+BE148+BG148</f>
        <v/>
      </c>
      <c r="BJ148" s="324">
        <f>BL148+BS148+BV148+BY148+CB148+CE148+CH148+CK148</f>
        <v/>
      </c>
      <c r="BK148" s="320">
        <f>((AI148+AW148)*AB148)+((AJ148+AK148+AX148+AY148)*AC148)</f>
        <v/>
      </c>
      <c r="BL148" s="132">
        <f>BM148+BN148+AL148</f>
        <v/>
      </c>
      <c r="BM148" s="133">
        <f>AW148</f>
        <v/>
      </c>
      <c r="BN148" s="133">
        <f>AX148+AY148</f>
        <v/>
      </c>
      <c r="BO148" s="334" t="n"/>
      <c r="BP148" s="334" t="n"/>
      <c r="BQ148" s="334" t="n">
        <v>0</v>
      </c>
      <c r="BR148" s="334" t="n"/>
      <c r="BS148" s="143" t="n">
        <v>0</v>
      </c>
      <c r="BT148" s="334" t="n"/>
      <c r="BU148" s="320">
        <f>BS148*BT148</f>
        <v/>
      </c>
      <c r="BV148" s="143" t="n">
        <v>0</v>
      </c>
      <c r="BW148" s="334" t="n"/>
      <c r="BX148" s="334" t="n">
        <v>0</v>
      </c>
      <c r="BY148" s="143" t="n"/>
      <c r="BZ148" s="334" t="n"/>
      <c r="CA148" s="124">
        <f>BY148*BZ148</f>
        <v/>
      </c>
      <c r="CB148" s="143" t="n"/>
      <c r="CC148" s="334" t="n"/>
      <c r="CD148" s="143" t="n"/>
      <c r="CE148" s="143" t="n"/>
      <c r="CF148" s="334" t="n"/>
      <c r="CG148" s="143" t="n"/>
      <c r="CH148" s="143" t="n"/>
      <c r="CI148" s="334" t="n"/>
      <c r="CJ148" s="143" t="n"/>
      <c r="CK148" s="143" t="n"/>
      <c r="CL148" s="334" t="n"/>
      <c r="CM148" s="143" t="n"/>
      <c r="CN148" s="320">
        <f>BK148+BU148+BX148+CA148+CD148+CG148+CJ148+CM148</f>
        <v/>
      </c>
      <c r="CO148" s="141" t="n">
        <v>0</v>
      </c>
      <c r="CP148" s="320">
        <f>CR148*G148</f>
        <v/>
      </c>
      <c r="CQ148" s="124">
        <f>AL148+AZ148+AQ148</f>
        <v/>
      </c>
      <c r="CR148" s="159">
        <f>AV148-AZ148-BS148-BV148-BY148-CB148</f>
        <v/>
      </c>
      <c r="CS148" s="155" t="n"/>
      <c r="CT148" s="155" t="n"/>
      <c r="CU148" s="177">
        <f>(BB148* AB148)+(BD148* AC148)+(BF148* AC148)+(S148+T148+U148+V148+W148+X148+Y148+Z148)</f>
        <v/>
      </c>
      <c r="CV148" s="177">
        <f>CU148-O148</f>
        <v/>
      </c>
      <c r="CW148" s="325" t="n"/>
    </row>
    <row r="149" ht="19.9" customFormat="1" customHeight="1" s="67">
      <c r="A149" s="139" t="n"/>
      <c r="B149" s="66" t="n"/>
      <c r="C149" s="139" t="inlineStr">
        <is>
          <t>Pousada Imperial</t>
        </is>
      </c>
      <c r="D149" s="140" t="inlineStr">
        <is>
          <t>PIRENÓPOLIS GO</t>
        </is>
      </c>
      <c r="E149" s="140" t="n"/>
      <c r="F149" s="122" t="n">
        <v>2921</v>
      </c>
      <c r="G149" s="320" t="n">
        <v>0.86</v>
      </c>
      <c r="H149" s="124">
        <f>F149*G149</f>
        <v/>
      </c>
      <c r="I149" s="121" t="n"/>
      <c r="J149" s="125" t="inlineStr">
        <is>
          <t>10 MICRO DEYE 2.000W</t>
        </is>
      </c>
      <c r="K149" s="65" t="inlineStr">
        <is>
          <t xml:space="preserve">40 de 560W </t>
        </is>
      </c>
      <c r="L149" s="121" t="n"/>
      <c r="M149" s="126" t="inlineStr">
        <is>
          <t>Janeiro/2022</t>
        </is>
      </c>
      <c r="N149" s="126" t="inlineStr">
        <is>
          <t>17/12/2021 a 18/01/2022</t>
        </is>
      </c>
      <c r="O149" s="321" t="n"/>
      <c r="P149" s="321" t="n"/>
      <c r="Q149" s="321" t="n"/>
      <c r="R149" s="207" t="n"/>
      <c r="S149" s="321" t="n"/>
      <c r="T149" s="321" t="n"/>
      <c r="U149" s="321" t="n"/>
      <c r="V149" s="321" t="n"/>
      <c r="W149" s="321" t="n"/>
      <c r="X149" s="321" t="n"/>
      <c r="Y149" s="321" t="n"/>
      <c r="Z149" s="321" t="n"/>
      <c r="AA149" s="321" t="n"/>
      <c r="AB149" s="322" t="n">
        <v>0.91627</v>
      </c>
      <c r="AC149" s="322" t="n">
        <v>0.91627</v>
      </c>
      <c r="AD149" s="124" t="n"/>
      <c r="AE149" s="124" t="n"/>
      <c r="AF149" s="124" t="n"/>
      <c r="AG149" s="124" t="n"/>
      <c r="AH149" s="124" t="n"/>
      <c r="AI149" s="124">
        <f>AD149-AS149</f>
        <v/>
      </c>
      <c r="AJ149" s="124">
        <f>AE149-AT149</f>
        <v/>
      </c>
      <c r="AK149" s="124">
        <f>AF149-AU149</f>
        <v/>
      </c>
      <c r="AL149" s="210">
        <f>SUM(AI149:AK149)</f>
        <v/>
      </c>
      <c r="AM149" s="337">
        <f>(AI149*AB149)+((AJ149+AK149)*AC149)</f>
        <v/>
      </c>
      <c r="AN149" s="143" t="n">
        <v>0</v>
      </c>
      <c r="AO149" s="143" t="n">
        <v>4262</v>
      </c>
      <c r="AP149" s="143" t="n">
        <v>0</v>
      </c>
      <c r="AQ149" s="124">
        <f>SUM(AN149:AP149)</f>
        <v/>
      </c>
      <c r="AR149" s="321">
        <f>(AN149*AB149)+((AO149+AP149)*AC149)</f>
        <v/>
      </c>
      <c r="AS149" s="143" t="n">
        <v>0</v>
      </c>
      <c r="AT149" s="143" t="n">
        <v>0</v>
      </c>
      <c r="AU149" s="143" t="n">
        <v>0</v>
      </c>
      <c r="AV149" s="143">
        <f>SUM(AS149:AU149)</f>
        <v/>
      </c>
      <c r="AW149" s="143" t="n">
        <v>0</v>
      </c>
      <c r="AX149" s="143" t="n">
        <v>0</v>
      </c>
      <c r="AY149" s="143" t="n">
        <v>0</v>
      </c>
      <c r="AZ149" s="143">
        <f>SUM(AW149:AY149)</f>
        <v/>
      </c>
      <c r="BA149" s="335">
        <f>(AW149*AB149)+((AX149+AY149)*AC149)</f>
        <v/>
      </c>
      <c r="BB149" s="141">
        <f>AN149-AW149</f>
        <v/>
      </c>
      <c r="BC149" s="141">
        <f>BB149*AB149</f>
        <v/>
      </c>
      <c r="BD149" s="141">
        <f>AO149-AX149</f>
        <v/>
      </c>
      <c r="BE149" s="141">
        <f>BD149*AC149</f>
        <v/>
      </c>
      <c r="BF149" s="141">
        <f>AP149-AY149</f>
        <v/>
      </c>
      <c r="BG149" s="141">
        <f>BF149*AC149</f>
        <v/>
      </c>
      <c r="BH149" s="141">
        <f>BB149+BD149+BF149</f>
        <v/>
      </c>
      <c r="BI149" s="141">
        <f>BC149+BE149+BG149</f>
        <v/>
      </c>
      <c r="BJ149" s="324">
        <f>BL149+BS149+BV149+BY149+CB149+CE149+CH149+CK149</f>
        <v/>
      </c>
      <c r="BK149" s="320">
        <f>((AI149+AW149)*AB149)+((AJ149+AK149+AX149+AY149)*AC149)</f>
        <v/>
      </c>
      <c r="BL149" s="132">
        <f>BM149+BN149+AL149</f>
        <v/>
      </c>
      <c r="BM149" s="133" t="n"/>
      <c r="BN149" s="133" t="n"/>
      <c r="BO149" s="334" t="n"/>
      <c r="BP149" s="334" t="n"/>
      <c r="BQ149" s="334" t="n"/>
      <c r="BR149" s="334" t="n"/>
      <c r="BS149" s="143" t="n"/>
      <c r="BT149" s="334" t="n"/>
      <c r="BU149" s="320">
        <f>BS149*BT149</f>
        <v/>
      </c>
      <c r="BV149" s="143" t="n"/>
      <c r="BW149" s="334" t="n"/>
      <c r="BX149" s="334" t="n"/>
      <c r="BY149" s="143" t="n"/>
      <c r="BZ149" s="334" t="n"/>
      <c r="CA149" s="124">
        <f>BY149*BZ149</f>
        <v/>
      </c>
      <c r="CB149" s="143" t="n"/>
      <c r="CC149" s="334" t="n"/>
      <c r="CD149" s="143" t="n"/>
      <c r="CE149" s="143" t="n"/>
      <c r="CF149" s="334" t="n"/>
      <c r="CG149" s="143" t="n"/>
      <c r="CH149" s="143" t="n"/>
      <c r="CI149" s="334" t="n"/>
      <c r="CJ149" s="143" t="n"/>
      <c r="CK149" s="143" t="n"/>
      <c r="CL149" s="334" t="n"/>
      <c r="CM149" s="143" t="n"/>
      <c r="CN149" s="320">
        <f>BK149+BU149+BX149+CA149+CD149+CG149+CJ149+CM149</f>
        <v/>
      </c>
      <c r="CO149" s="141" t="n">
        <v>0</v>
      </c>
      <c r="CP149" s="320">
        <f>CR149*G149</f>
        <v/>
      </c>
      <c r="CQ149" s="124">
        <f>AL149+AZ149+AQ149</f>
        <v/>
      </c>
      <c r="CR149" s="159">
        <f>AV149-AZ149-BS149-BV149-BY149-CB149</f>
        <v/>
      </c>
      <c r="CS149" s="155" t="n"/>
      <c r="CT149" s="155" t="n"/>
      <c r="CU149" s="177" t="n"/>
      <c r="CV149" s="177" t="n"/>
      <c r="CW149" s="325" t="n"/>
    </row>
    <row r="150" ht="19.9" customFormat="1" customHeight="1" s="67">
      <c r="A150" s="120" t="n"/>
      <c r="B150" s="65" t="n"/>
      <c r="C150" s="120" t="inlineStr">
        <is>
          <t>Pousada Imperial</t>
        </is>
      </c>
      <c r="D150" s="121" t="inlineStr">
        <is>
          <t>PIRENÓPOLIS GO</t>
        </is>
      </c>
      <c r="E150" s="121" t="n"/>
      <c r="F150" s="141" t="n">
        <v>2921</v>
      </c>
      <c r="G150" s="334" t="n">
        <v>0.86</v>
      </c>
      <c r="H150" s="143">
        <f>F150*G150</f>
        <v/>
      </c>
      <c r="I150" s="140" t="n"/>
      <c r="J150" s="144" t="inlineStr">
        <is>
          <t>10 MICRO DEYE 2.000W</t>
        </is>
      </c>
      <c r="K150" s="66" t="inlineStr">
        <is>
          <t xml:space="preserve">40 de 560W </t>
        </is>
      </c>
      <c r="L150" s="140" t="n"/>
      <c r="M150" s="145" t="inlineStr">
        <is>
          <t>Fevereiro/2022</t>
        </is>
      </c>
      <c r="N150" s="145" t="inlineStr">
        <is>
          <t>18/01/2022 a 16/02/2022</t>
        </is>
      </c>
      <c r="O150" s="331" t="n"/>
      <c r="P150" s="331" t="n"/>
      <c r="Q150" s="331" t="n"/>
      <c r="R150" s="147" t="n"/>
      <c r="S150" s="331" t="n"/>
      <c r="T150" s="331" t="n"/>
      <c r="U150" s="331" t="n"/>
      <c r="V150" s="331" t="n"/>
      <c r="W150" s="331" t="n"/>
      <c r="X150" s="331" t="n"/>
      <c r="Y150" s="331" t="n"/>
      <c r="Z150" s="331" t="n"/>
      <c r="AA150" s="331" t="n"/>
      <c r="AB150" s="332" t="n">
        <v>0.9305</v>
      </c>
      <c r="AC150" s="332" t="n">
        <v>0.9305</v>
      </c>
      <c r="AD150" s="143" t="n"/>
      <c r="AE150" s="173" t="n"/>
      <c r="AF150" s="143" t="n"/>
      <c r="AG150" s="143" t="n"/>
      <c r="AH150" s="143" t="n"/>
      <c r="AI150" s="143">
        <f>AD150-AS150</f>
        <v/>
      </c>
      <c r="AJ150" s="143">
        <f>AE150-AT150</f>
        <v/>
      </c>
      <c r="AK150" s="143">
        <f>AF150-AU150</f>
        <v/>
      </c>
      <c r="AL150" s="208">
        <f>SUM(AI150:AK150)</f>
        <v/>
      </c>
      <c r="AM150" s="336">
        <f>(AI150*AB150)+((AJ150+AK150)*AC150)</f>
        <v/>
      </c>
      <c r="AN150" s="124" t="n">
        <v>0</v>
      </c>
      <c r="AO150" s="124" t="n">
        <v>2495</v>
      </c>
      <c r="AP150" s="124" t="n">
        <v>0</v>
      </c>
      <c r="AQ150" s="143">
        <f>SUM(AN150:AP150)</f>
        <v/>
      </c>
      <c r="AR150" s="331">
        <f>(AN150*AB150)+((AO150+AP150)*AC150)</f>
        <v/>
      </c>
      <c r="AS150" s="124" t="n">
        <v>0</v>
      </c>
      <c r="AT150" s="124" t="n">
        <v>0</v>
      </c>
      <c r="AU150" s="124" t="n">
        <v>0</v>
      </c>
      <c r="AV150" s="124">
        <f>SUM(AS150:AU150)</f>
        <v/>
      </c>
      <c r="AW150" s="124" t="n">
        <v>0</v>
      </c>
      <c r="AX150" s="124" t="n">
        <v>0</v>
      </c>
      <c r="AY150" s="124" t="n">
        <v>0</v>
      </c>
      <c r="AZ150" s="124">
        <f>SUM(AW150:AY150)</f>
        <v/>
      </c>
      <c r="BA150" s="335">
        <f>(AW150*AB150)+((AX150+AY150)*AC150)</f>
        <v/>
      </c>
      <c r="BB150" s="122">
        <f>AN150-AW150</f>
        <v/>
      </c>
      <c r="BC150" s="141">
        <f>BB150*AB150</f>
        <v/>
      </c>
      <c r="BD150" s="122">
        <f>AO150-AX150</f>
        <v/>
      </c>
      <c r="BE150" s="122">
        <f>BD150*AC150</f>
        <v/>
      </c>
      <c r="BF150" s="122">
        <f>AP150-AY150</f>
        <v/>
      </c>
      <c r="BG150" s="122">
        <f>BF150*AC150</f>
        <v/>
      </c>
      <c r="BH150" s="122">
        <f>BB150+BD150+BF150</f>
        <v/>
      </c>
      <c r="BI150" s="122">
        <f>BC150+BE150+BG150</f>
        <v/>
      </c>
      <c r="BJ150" s="324">
        <f>BL150+BS150+BV150+BY150+CB150+CE150+CH150+CK150</f>
        <v/>
      </c>
      <c r="BK150" s="320">
        <f>((AI150+AW150)*AB150)+((AJ150+AK150+AX150+AY150)*AC150)</f>
        <v/>
      </c>
      <c r="BL150" s="132">
        <f>BM150+BN150+AL150</f>
        <v/>
      </c>
      <c r="BM150" s="133" t="n"/>
      <c r="BN150" s="133" t="n"/>
      <c r="BO150" s="320" t="n"/>
      <c r="BP150" s="320" t="n"/>
      <c r="BQ150" s="320" t="n"/>
      <c r="BR150" s="320" t="n"/>
      <c r="BS150" s="124" t="n"/>
      <c r="BT150" s="320" t="n"/>
      <c r="BU150" s="320">
        <f>BS150*BT150</f>
        <v/>
      </c>
      <c r="BV150" s="124" t="n"/>
      <c r="BW150" s="320" t="n"/>
      <c r="BX150" s="320" t="n"/>
      <c r="BY150" s="124" t="n"/>
      <c r="BZ150" s="320" t="n"/>
      <c r="CA150" s="124">
        <f>BY150*BZ150</f>
        <v/>
      </c>
      <c r="CB150" s="124" t="n"/>
      <c r="CC150" s="320" t="n"/>
      <c r="CD150" s="124" t="n"/>
      <c r="CE150" s="124" t="n"/>
      <c r="CF150" s="320" t="n"/>
      <c r="CG150" s="124" t="n"/>
      <c r="CH150" s="124" t="n"/>
      <c r="CI150" s="320" t="n"/>
      <c r="CJ150" s="124" t="n"/>
      <c r="CK150" s="124" t="n"/>
      <c r="CL150" s="320" t="n"/>
      <c r="CM150" s="124" t="n"/>
      <c r="CN150" s="320">
        <f>BK150+BU150+BX150+CA150+CD150+CG150+CJ150+CM150</f>
        <v/>
      </c>
      <c r="CO150" s="122" t="n">
        <v>0</v>
      </c>
      <c r="CP150" s="320">
        <f>CR150*G150</f>
        <v/>
      </c>
      <c r="CQ150" s="124">
        <f>AL150+AZ150+AQ150</f>
        <v/>
      </c>
      <c r="CR150" s="159">
        <f>AV150-AZ150-BS150-BV150-BY150-CB150</f>
        <v/>
      </c>
      <c r="CS150" s="155" t="n"/>
      <c r="CT150" s="155" t="n"/>
      <c r="CU150" s="177" t="n"/>
      <c r="CV150" s="177" t="n"/>
      <c r="CW150" s="325" t="n"/>
    </row>
    <row r="151" ht="19.9" customFormat="1" customHeight="1" s="67">
      <c r="A151" s="233" t="n"/>
      <c r="B151" s="66" t="n"/>
      <c r="C151" s="233" t="inlineStr">
        <is>
          <t>Pousada Imperial</t>
        </is>
      </c>
      <c r="D151" s="140" t="inlineStr">
        <is>
          <t>PIRENÓPOLIS GO</t>
        </is>
      </c>
      <c r="E151" s="140" t="n"/>
      <c r="F151" s="122" t="n">
        <v>2921</v>
      </c>
      <c r="G151" s="320" t="n">
        <v>0.86</v>
      </c>
      <c r="H151" s="124">
        <f>F151*G151</f>
        <v/>
      </c>
      <c r="I151" s="121" t="n"/>
      <c r="J151" s="125" t="inlineStr">
        <is>
          <t>10 MICRO DEYE 2.000W</t>
        </is>
      </c>
      <c r="K151" s="65" t="inlineStr">
        <is>
          <t xml:space="preserve">40 de 560W </t>
        </is>
      </c>
      <c r="L151" s="121" t="n"/>
      <c r="M151" s="126" t="inlineStr">
        <is>
          <t>Março/2022</t>
        </is>
      </c>
      <c r="N151" s="126" t="inlineStr">
        <is>
          <t>16/02/2022 a 17/03/2022</t>
        </is>
      </c>
      <c r="O151" s="321" t="n"/>
      <c r="P151" s="321" t="n"/>
      <c r="Q151" s="321" t="n"/>
      <c r="R151" s="207" t="n"/>
      <c r="S151" s="321" t="n"/>
      <c r="T151" s="321" t="n"/>
      <c r="U151" s="321" t="n"/>
      <c r="V151" s="321" t="n"/>
      <c r="W151" s="321" t="n"/>
      <c r="X151" s="321" t="n"/>
      <c r="Y151" s="321" t="n"/>
      <c r="Z151" s="321" t="n"/>
      <c r="AA151" s="321" t="n"/>
      <c r="AB151" s="322" t="n">
        <v>0.96543</v>
      </c>
      <c r="AC151" s="322" t="n">
        <v>0.96543</v>
      </c>
      <c r="AD151" s="124" t="n"/>
      <c r="AE151" s="124" t="n"/>
      <c r="AF151" s="124" t="n"/>
      <c r="AG151" s="124" t="n"/>
      <c r="AH151" s="124" t="n"/>
      <c r="AI151" s="124">
        <f>AD151-AS151</f>
        <v/>
      </c>
      <c r="AJ151" s="124">
        <f>AE151-AT151</f>
        <v/>
      </c>
      <c r="AK151" s="124">
        <f>AF151-AU151</f>
        <v/>
      </c>
      <c r="AL151" s="210">
        <f>SUM(AI151:AK151)</f>
        <v/>
      </c>
      <c r="AM151" s="337">
        <f>(AI151*AB151)+((AJ151+AK151)*AC151)</f>
        <v/>
      </c>
      <c r="AN151" s="143" t="n">
        <v>0</v>
      </c>
      <c r="AO151" s="143" t="n">
        <v>3091</v>
      </c>
      <c r="AP151" s="143" t="n">
        <v>0</v>
      </c>
      <c r="AQ151" s="124">
        <f>SUM(AN151:AP151)</f>
        <v/>
      </c>
      <c r="AR151" s="321">
        <f>(AN151*AB151)+((AO151+AP151)*AC151)</f>
        <v/>
      </c>
      <c r="AS151" s="143" t="n">
        <v>0</v>
      </c>
      <c r="AT151" s="143" t="n">
        <v>0</v>
      </c>
      <c r="AU151" s="143" t="n">
        <v>0</v>
      </c>
      <c r="AV151" s="143">
        <f>SUM(AS151:AU151)</f>
        <v/>
      </c>
      <c r="AW151" s="143" t="n">
        <v>0</v>
      </c>
      <c r="AX151" s="143" t="n">
        <v>0</v>
      </c>
      <c r="AY151" s="143" t="n">
        <v>0</v>
      </c>
      <c r="AZ151" s="143">
        <f>SUM(AW151:AY151)</f>
        <v/>
      </c>
      <c r="BA151" s="335">
        <f>(AW151*AB151)+((AX151+AY151)*AC151)</f>
        <v/>
      </c>
      <c r="BB151" s="141">
        <f>AN151-AW151</f>
        <v/>
      </c>
      <c r="BC151" s="141">
        <f>BB151*AB151</f>
        <v/>
      </c>
      <c r="BD151" s="141">
        <f>AO151-AX151</f>
        <v/>
      </c>
      <c r="BE151" s="141">
        <f>BD151*AC151</f>
        <v/>
      </c>
      <c r="BF151" s="141">
        <f>AP151-AY151</f>
        <v/>
      </c>
      <c r="BG151" s="141">
        <f>BF151*AC151</f>
        <v/>
      </c>
      <c r="BH151" s="141">
        <f>BB151+BD151+BF151</f>
        <v/>
      </c>
      <c r="BI151" s="141">
        <f>BC151+BE151+BG151</f>
        <v/>
      </c>
      <c r="BJ151" s="324">
        <f>BL151+BS151+BV151+BY151+CB151+CE151+CH151+CK151</f>
        <v/>
      </c>
      <c r="BK151" s="320">
        <f>((AI151+AW151)*AB151)+((AJ151+AK151+AX151+AY151)*AC151)</f>
        <v/>
      </c>
      <c r="BL151" s="132">
        <f>BM151+BN151+AL151</f>
        <v/>
      </c>
      <c r="BM151" s="133" t="n"/>
      <c r="BN151" s="133" t="n"/>
      <c r="BO151" s="334" t="n"/>
      <c r="BP151" s="334" t="n"/>
      <c r="BQ151" s="334" t="n"/>
      <c r="BR151" s="334" t="n"/>
      <c r="BS151" s="143" t="n"/>
      <c r="BT151" s="334" t="n"/>
      <c r="BU151" s="320">
        <f>BS151*BT151</f>
        <v/>
      </c>
      <c r="BV151" s="143" t="n"/>
      <c r="BW151" s="334" t="n"/>
      <c r="BX151" s="334" t="n"/>
      <c r="BY151" s="143" t="n"/>
      <c r="BZ151" s="334" t="n"/>
      <c r="CA151" s="124">
        <f>BY151*BZ151</f>
        <v/>
      </c>
      <c r="CB151" s="143" t="n"/>
      <c r="CC151" s="334" t="n"/>
      <c r="CD151" s="143" t="n"/>
      <c r="CE151" s="143" t="n"/>
      <c r="CF151" s="334" t="n"/>
      <c r="CG151" s="143" t="n"/>
      <c r="CH151" s="143" t="n"/>
      <c r="CI151" s="334" t="n"/>
      <c r="CJ151" s="143" t="n"/>
      <c r="CK151" s="143" t="n"/>
      <c r="CL151" s="334" t="n"/>
      <c r="CM151" s="143" t="n"/>
      <c r="CN151" s="320">
        <f>BK151+BU151+BX151+CA151+CD151+CG151+CJ151+CM151</f>
        <v/>
      </c>
      <c r="CO151" s="141" t="n">
        <v>0</v>
      </c>
      <c r="CP151" s="320">
        <f>CR151*G151</f>
        <v/>
      </c>
      <c r="CQ151" s="124">
        <f>AL151+AZ151+AQ151</f>
        <v/>
      </c>
      <c r="CR151" s="159">
        <f>AV151-AZ151-BS151-BV151-BY151-CB151</f>
        <v/>
      </c>
      <c r="CS151" s="155" t="n"/>
      <c r="CT151" s="155" t="n"/>
      <c r="CU151" s="177" t="n"/>
      <c r="CV151" s="177" t="n"/>
      <c r="CW151" s="325" t="n"/>
    </row>
    <row r="152" ht="19.9" customFormat="1" customHeight="1" s="67">
      <c r="A152" s="120" t="n"/>
      <c r="B152" s="65" t="n"/>
      <c r="C152" s="120" t="inlineStr">
        <is>
          <t>Pousada Imperial</t>
        </is>
      </c>
      <c r="D152" s="121" t="inlineStr">
        <is>
          <t>PIRENÓPOLIS GO</t>
        </is>
      </c>
      <c r="E152" s="121" t="n"/>
      <c r="F152" s="141" t="n">
        <v>2921</v>
      </c>
      <c r="G152" s="334" t="n">
        <v>0.86</v>
      </c>
      <c r="H152" s="143">
        <f>F152*G152</f>
        <v/>
      </c>
      <c r="I152" s="140" t="n"/>
      <c r="J152" s="144" t="inlineStr">
        <is>
          <t>10 MICRO DEYE 2.000W</t>
        </is>
      </c>
      <c r="K152" s="66" t="inlineStr">
        <is>
          <t xml:space="preserve">40 de 560W </t>
        </is>
      </c>
      <c r="L152" s="140" t="n"/>
      <c r="M152" s="145" t="inlineStr">
        <is>
          <t>Abril/2022</t>
        </is>
      </c>
      <c r="N152" s="145" t="inlineStr">
        <is>
          <t>17/03/2022 a 14/04/2022</t>
        </is>
      </c>
      <c r="O152" s="331" t="n"/>
      <c r="P152" s="331" t="n"/>
      <c r="Q152" s="331" t="n"/>
      <c r="R152" s="147" t="n"/>
      <c r="S152" s="331" t="n"/>
      <c r="T152" s="331" t="n"/>
      <c r="U152" s="331" t="n"/>
      <c r="V152" s="331" t="n"/>
      <c r="W152" s="331" t="n"/>
      <c r="X152" s="331" t="n"/>
      <c r="Y152" s="331" t="n"/>
      <c r="Z152" s="331" t="n"/>
      <c r="AA152" s="331" t="n"/>
      <c r="AB152" s="332" t="n">
        <v>0.93796</v>
      </c>
      <c r="AC152" s="332" t="n">
        <v>0.93796</v>
      </c>
      <c r="AD152" s="143" t="n"/>
      <c r="AE152" s="173" t="n"/>
      <c r="AF152" s="143" t="n"/>
      <c r="AG152" s="143" t="n"/>
      <c r="AH152" s="143" t="n"/>
      <c r="AI152" s="143">
        <f>AD152-AS152</f>
        <v/>
      </c>
      <c r="AJ152" s="143">
        <f>AE152-AT152</f>
        <v/>
      </c>
      <c r="AK152" s="143">
        <f>AF152-AU152</f>
        <v/>
      </c>
      <c r="AL152" s="208">
        <f>SUM(AI152:AK152)</f>
        <v/>
      </c>
      <c r="AM152" s="336">
        <f>(AI152*AB152)+((AJ152+AK152)*AC152)</f>
        <v/>
      </c>
      <c r="AN152" s="124" t="n">
        <v>0</v>
      </c>
      <c r="AO152" s="124" t="n">
        <v>3276</v>
      </c>
      <c r="AP152" s="124" t="n">
        <v>0</v>
      </c>
      <c r="AQ152" s="143">
        <f>SUM(AN152:AP152)</f>
        <v/>
      </c>
      <c r="AR152" s="331">
        <f>(AN152*AB152)+((AO152+AP152)*AC152)</f>
        <v/>
      </c>
      <c r="AS152" s="124" t="n">
        <v>0</v>
      </c>
      <c r="AT152" s="124" t="n">
        <v>0</v>
      </c>
      <c r="AU152" s="124" t="n">
        <v>0</v>
      </c>
      <c r="AV152" s="124">
        <f>SUM(AS152:AU152)</f>
        <v/>
      </c>
      <c r="AW152" s="124" t="n">
        <v>0</v>
      </c>
      <c r="AX152" s="124" t="n">
        <v>0</v>
      </c>
      <c r="AY152" s="124" t="n">
        <v>0</v>
      </c>
      <c r="AZ152" s="124">
        <f>SUM(AW152:AY152)</f>
        <v/>
      </c>
      <c r="BA152" s="335">
        <f>(AW152*AB152)+((AX152+AY152)*AC152)</f>
        <v/>
      </c>
      <c r="BB152" s="122">
        <f>AN152-AW152</f>
        <v/>
      </c>
      <c r="BC152" s="141">
        <f>BB152*AB152</f>
        <v/>
      </c>
      <c r="BD152" s="122">
        <f>AO152-AX152</f>
        <v/>
      </c>
      <c r="BE152" s="122">
        <f>BD152*AC152</f>
        <v/>
      </c>
      <c r="BF152" s="122">
        <f>AP152-AY152</f>
        <v/>
      </c>
      <c r="BG152" s="122">
        <f>BF152*AC152</f>
        <v/>
      </c>
      <c r="BH152" s="122">
        <f>BB152+BD152+BF152</f>
        <v/>
      </c>
      <c r="BI152" s="122">
        <f>BC152+BE152+BG152</f>
        <v/>
      </c>
      <c r="BJ152" s="324">
        <f>BL152+BS152+BV152+BY152+CB152+CE152+CH152+CK152</f>
        <v/>
      </c>
      <c r="BK152" s="320">
        <f>((AI152+AW152)*AB152)+((AJ152+AK152+AX152+AY152)*AC152)</f>
        <v/>
      </c>
      <c r="BL152" s="132">
        <f>BM152+BN152+AL152</f>
        <v/>
      </c>
      <c r="BM152" s="133" t="n"/>
      <c r="BN152" s="133" t="n"/>
      <c r="BO152" s="320" t="n"/>
      <c r="BP152" s="320" t="n"/>
      <c r="BQ152" s="320" t="n"/>
      <c r="BR152" s="320" t="n"/>
      <c r="BS152" s="124" t="n"/>
      <c r="BT152" s="320" t="n"/>
      <c r="BU152" s="320">
        <f>BS152*BT152</f>
        <v/>
      </c>
      <c r="BV152" s="124" t="n"/>
      <c r="BW152" s="320" t="n"/>
      <c r="BX152" s="320" t="n"/>
      <c r="BY152" s="124" t="n"/>
      <c r="BZ152" s="320" t="n"/>
      <c r="CA152" s="124">
        <f>BY152*BZ152</f>
        <v/>
      </c>
      <c r="CB152" s="124" t="n"/>
      <c r="CC152" s="320" t="n"/>
      <c r="CD152" s="124" t="n"/>
      <c r="CE152" s="124" t="n"/>
      <c r="CF152" s="320" t="n"/>
      <c r="CG152" s="124" t="n"/>
      <c r="CH152" s="124" t="n"/>
      <c r="CI152" s="320" t="n"/>
      <c r="CJ152" s="124" t="n"/>
      <c r="CK152" s="124" t="n"/>
      <c r="CL152" s="320" t="n"/>
      <c r="CM152" s="124" t="n"/>
      <c r="CN152" s="320">
        <f>BK152+BU152+BX152+CA152+CD152+CG152+CJ152+CM152</f>
        <v/>
      </c>
      <c r="CO152" s="122" t="n">
        <v>0</v>
      </c>
      <c r="CP152" s="320">
        <f>CR152*G152</f>
        <v/>
      </c>
      <c r="CQ152" s="124">
        <f>AL152+AZ152+AQ152</f>
        <v/>
      </c>
      <c r="CR152" s="159">
        <f>AV152-AZ152-BS152-BV152-BY152-CB152</f>
        <v/>
      </c>
      <c r="CS152" s="155" t="n"/>
      <c r="CT152" s="155" t="n"/>
      <c r="CU152" s="177" t="n"/>
      <c r="CV152" s="177" t="n"/>
      <c r="CW152" s="325" t="n"/>
    </row>
    <row r="153" ht="19.9" customFormat="1" customHeight="1" s="67">
      <c r="A153" s="139" t="n"/>
      <c r="B153" s="66" t="n"/>
      <c r="C153" s="139" t="inlineStr">
        <is>
          <t>Pousada Imperial</t>
        </is>
      </c>
      <c r="D153" s="140" t="inlineStr">
        <is>
          <t>PIRENÓPOLIS GO</t>
        </is>
      </c>
      <c r="E153" s="140" t="n"/>
      <c r="F153" s="122" t="n">
        <v>2921</v>
      </c>
      <c r="G153" s="320" t="n">
        <v>0.86</v>
      </c>
      <c r="H153" s="124">
        <f>F153*G153</f>
        <v/>
      </c>
      <c r="I153" s="121" t="n"/>
      <c r="J153" s="125" t="inlineStr">
        <is>
          <t>10 MICRO DEYE 2.000W</t>
        </is>
      </c>
      <c r="K153" s="65" t="inlineStr">
        <is>
          <t xml:space="preserve">40 de 560W </t>
        </is>
      </c>
      <c r="L153" s="121" t="n"/>
      <c r="M153" s="126" t="inlineStr">
        <is>
          <t>Maio/2022</t>
        </is>
      </c>
      <c r="N153" s="126" t="inlineStr">
        <is>
          <t>14/04/2022 a 16/05/2022</t>
        </is>
      </c>
      <c r="O153" s="321" t="n"/>
      <c r="P153" s="321" t="n"/>
      <c r="Q153" s="321" t="n"/>
      <c r="R153" s="207" t="n"/>
      <c r="S153" s="321" t="n"/>
      <c r="T153" s="321" t="n"/>
      <c r="U153" s="321" t="n"/>
      <c r="V153" s="321" t="n"/>
      <c r="W153" s="321" t="n"/>
      <c r="X153" s="321" t="n"/>
      <c r="Y153" s="321" t="n"/>
      <c r="Z153" s="321" t="n"/>
      <c r="AA153" s="321" t="n"/>
      <c r="AB153" s="322" t="n">
        <v>0.93414</v>
      </c>
      <c r="AC153" s="322" t="n">
        <v>0.93414</v>
      </c>
      <c r="AD153" s="124" t="n"/>
      <c r="AE153" s="124" t="n"/>
      <c r="AF153" s="124" t="n"/>
      <c r="AG153" s="124" t="n"/>
      <c r="AH153" s="124" t="n"/>
      <c r="AI153" s="124">
        <f>AD153-AS153</f>
        <v/>
      </c>
      <c r="AJ153" s="124">
        <f>AE153-AT153</f>
        <v/>
      </c>
      <c r="AK153" s="124">
        <f>AF153-AU153</f>
        <v/>
      </c>
      <c r="AL153" s="210">
        <f>SUM(AI153:AK153)</f>
        <v/>
      </c>
      <c r="AM153" s="337">
        <f>(AI153*AB153)+((AJ153+AK153)*AC153)</f>
        <v/>
      </c>
      <c r="AN153" s="143" t="n">
        <v>0</v>
      </c>
      <c r="AO153" s="143" t="n">
        <v>3300</v>
      </c>
      <c r="AP153" s="143" t="n">
        <v>0</v>
      </c>
      <c r="AQ153" s="124">
        <f>SUM(AN153:AP153)</f>
        <v/>
      </c>
      <c r="AR153" s="321">
        <f>(AN153*AB153)+((AO153+AP153)*AC153)</f>
        <v/>
      </c>
      <c r="AS153" s="143" t="n">
        <v>0</v>
      </c>
      <c r="AT153" s="143" t="n">
        <v>0</v>
      </c>
      <c r="AU153" s="143" t="n">
        <v>0</v>
      </c>
      <c r="AV153" s="143">
        <f>SUM(AS153:AU153)</f>
        <v/>
      </c>
      <c r="AW153" s="143" t="n">
        <v>0</v>
      </c>
      <c r="AX153" s="143" t="n">
        <v>0</v>
      </c>
      <c r="AY153" s="143" t="n">
        <v>0</v>
      </c>
      <c r="AZ153" s="143">
        <f>SUM(AW153:AY153)</f>
        <v/>
      </c>
      <c r="BA153" s="335">
        <f>(AW153*AB153)+((AX153+AY153)*AC153)</f>
        <v/>
      </c>
      <c r="BB153" s="141">
        <f>AN153-AW153</f>
        <v/>
      </c>
      <c r="BC153" s="141">
        <f>BB153*AB153</f>
        <v/>
      </c>
      <c r="BD153" s="141">
        <f>AO153-AX153</f>
        <v/>
      </c>
      <c r="BE153" s="141">
        <f>BD153*AC153</f>
        <v/>
      </c>
      <c r="BF153" s="141">
        <f>AP153-AY153</f>
        <v/>
      </c>
      <c r="BG153" s="141">
        <f>BF153*AC153</f>
        <v/>
      </c>
      <c r="BH153" s="141">
        <f>BB153+BD153+BF153</f>
        <v/>
      </c>
      <c r="BI153" s="141">
        <f>BC153+BE153+BG153</f>
        <v/>
      </c>
      <c r="BJ153" s="324">
        <f>BL153+BS153+BV153+BY153+CB153+CE153+CH153+CK153</f>
        <v/>
      </c>
      <c r="BK153" s="320">
        <f>((AI153+AW153)*AB153)+((AJ153+AK153+AX153+AY153)*AC153)</f>
        <v/>
      </c>
      <c r="BL153" s="132">
        <f>BM153+BN153+AL153</f>
        <v/>
      </c>
      <c r="BM153" s="133" t="n"/>
      <c r="BN153" s="133" t="n"/>
      <c r="BO153" s="334" t="n"/>
      <c r="BP153" s="334" t="n"/>
      <c r="BQ153" s="334" t="n"/>
      <c r="BR153" s="334" t="n"/>
      <c r="BS153" s="143" t="n"/>
      <c r="BT153" s="334" t="n"/>
      <c r="BU153" s="320">
        <f>BS153*BT153</f>
        <v/>
      </c>
      <c r="BV153" s="143" t="n"/>
      <c r="BW153" s="334" t="n"/>
      <c r="BX153" s="334" t="n"/>
      <c r="BY153" s="143" t="n"/>
      <c r="BZ153" s="334" t="n"/>
      <c r="CA153" s="124">
        <f>BY153*BZ153</f>
        <v/>
      </c>
      <c r="CB153" s="143" t="n"/>
      <c r="CC153" s="334" t="n"/>
      <c r="CD153" s="143" t="n"/>
      <c r="CE153" s="143" t="n"/>
      <c r="CF153" s="334" t="n"/>
      <c r="CG153" s="143" t="n"/>
      <c r="CH153" s="143" t="n"/>
      <c r="CI153" s="334" t="n"/>
      <c r="CJ153" s="143" t="n"/>
      <c r="CK153" s="143" t="n"/>
      <c r="CL153" s="334" t="n"/>
      <c r="CM153" s="143" t="n"/>
      <c r="CN153" s="320">
        <f>BK153+BU153+BX153+CA153+CD153+CG153+CJ153+CM153</f>
        <v/>
      </c>
      <c r="CO153" s="141" t="n">
        <v>0</v>
      </c>
      <c r="CP153" s="320">
        <f>CR153*G153</f>
        <v/>
      </c>
      <c r="CQ153" s="124">
        <f>AL153+AZ153+AQ153</f>
        <v/>
      </c>
      <c r="CR153" s="159">
        <f>AV153-AZ153-BS153-BV153-BY153-CB153</f>
        <v/>
      </c>
      <c r="CS153" s="155" t="n"/>
      <c r="CT153" s="155" t="n"/>
      <c r="CU153" s="177" t="n"/>
      <c r="CV153" s="177" t="n"/>
      <c r="CW153" s="325" t="n"/>
    </row>
    <row r="154" ht="19.9" customFormat="1" customHeight="1" s="67">
      <c r="A154" s="120" t="n"/>
      <c r="B154" s="65" t="n"/>
      <c r="C154" s="120" t="inlineStr">
        <is>
          <t>Pousada Imperial</t>
        </is>
      </c>
      <c r="D154" s="121" t="inlineStr">
        <is>
          <t>PIRENÓPOLIS GO</t>
        </is>
      </c>
      <c r="E154" s="121" t="n"/>
      <c r="F154" s="141" t="n">
        <v>2921</v>
      </c>
      <c r="G154" s="334" t="n">
        <v>0.86</v>
      </c>
      <c r="H154" s="143">
        <f>F154*G154</f>
        <v/>
      </c>
      <c r="I154" s="140" t="n"/>
      <c r="J154" s="144" t="inlineStr">
        <is>
          <t>10 MICRO DEYE 2.000W</t>
        </is>
      </c>
      <c r="K154" s="66" t="inlineStr">
        <is>
          <t xml:space="preserve">40 de 560W </t>
        </is>
      </c>
      <c r="L154" s="140" t="n"/>
      <c r="M154" s="145" t="inlineStr">
        <is>
          <t>Junho/2022</t>
        </is>
      </c>
      <c r="N154" s="145" t="inlineStr">
        <is>
          <t>16/05/2022 a 15/06/2022</t>
        </is>
      </c>
      <c r="O154" s="331" t="n"/>
      <c r="P154" s="331" t="n"/>
      <c r="Q154" s="331" t="n"/>
      <c r="R154" s="147" t="n"/>
      <c r="S154" s="331" t="n"/>
      <c r="T154" s="331" t="n"/>
      <c r="U154" s="331" t="n"/>
      <c r="V154" s="331" t="n"/>
      <c r="W154" s="331" t="n"/>
      <c r="X154" s="331" t="n"/>
      <c r="Y154" s="331" t="n"/>
      <c r="Z154" s="331" t="n"/>
      <c r="AA154" s="331" t="n"/>
      <c r="AB154" s="332" t="n">
        <v>0.95326</v>
      </c>
      <c r="AC154" s="332" t="n">
        <v>0.95326</v>
      </c>
      <c r="AD154" s="143" t="n"/>
      <c r="AE154" s="173" t="n"/>
      <c r="AF154" s="143" t="n"/>
      <c r="AG154" s="143" t="n"/>
      <c r="AH154" s="143" t="n"/>
      <c r="AI154" s="143">
        <f>AD154-AS154</f>
        <v/>
      </c>
      <c r="AJ154" s="143">
        <f>AE154-AT154</f>
        <v/>
      </c>
      <c r="AK154" s="143">
        <f>AF154-AU154</f>
        <v/>
      </c>
      <c r="AL154" s="208">
        <f>SUM(AI154:AK154)</f>
        <v/>
      </c>
      <c r="AM154" s="336">
        <f>(AI154*AB154)+((AJ154+AK154)*AC154)</f>
        <v/>
      </c>
      <c r="AN154" s="124" t="n">
        <v>0</v>
      </c>
      <c r="AO154" s="124" t="n">
        <v>2597</v>
      </c>
      <c r="AP154" s="124" t="n">
        <v>0</v>
      </c>
      <c r="AQ154" s="143">
        <f>SUM(AN154:AP154)</f>
        <v/>
      </c>
      <c r="AR154" s="331">
        <f>(AN154*AB154)+((AO154+AP154)*AC154)</f>
        <v/>
      </c>
      <c r="AS154" s="124" t="n">
        <v>0</v>
      </c>
      <c r="AT154" s="124" t="n">
        <v>0</v>
      </c>
      <c r="AU154" s="124" t="n">
        <v>0</v>
      </c>
      <c r="AV154" s="124">
        <f>SUM(AS154:AU154)</f>
        <v/>
      </c>
      <c r="AW154" s="124" t="n">
        <v>0</v>
      </c>
      <c r="AX154" s="124" t="n">
        <v>0</v>
      </c>
      <c r="AY154" s="124" t="n">
        <v>0</v>
      </c>
      <c r="AZ154" s="124">
        <f>SUM(AW154:AY154)</f>
        <v/>
      </c>
      <c r="BA154" s="335">
        <f>(AW154*AB154)+((AX154+AY154)*AC154)</f>
        <v/>
      </c>
      <c r="BB154" s="122">
        <f>AN154-AW154</f>
        <v/>
      </c>
      <c r="BC154" s="141">
        <f>BB154*AB154</f>
        <v/>
      </c>
      <c r="BD154" s="122">
        <f>AO154-AX154</f>
        <v/>
      </c>
      <c r="BE154" s="122">
        <f>BD154*AC154</f>
        <v/>
      </c>
      <c r="BF154" s="122">
        <f>AP154-AY154</f>
        <v/>
      </c>
      <c r="BG154" s="122">
        <f>BF154*AC154</f>
        <v/>
      </c>
      <c r="BH154" s="122">
        <f>BB154+BD154+BF154</f>
        <v/>
      </c>
      <c r="BI154" s="122">
        <f>BC154+BE154+BG154</f>
        <v/>
      </c>
      <c r="BJ154" s="324">
        <f>BL154+BS154+BV154+BY154+CB154+CE154+CH154+CK154</f>
        <v/>
      </c>
      <c r="BK154" s="320">
        <f>((AI154+AW154)*AB154)+((AJ154+AK154+AX154+AY154)*AC154)</f>
        <v/>
      </c>
      <c r="BL154" s="132">
        <f>BM154+BN154+AL154</f>
        <v/>
      </c>
      <c r="BM154" s="133" t="n"/>
      <c r="BN154" s="133" t="n"/>
      <c r="BO154" s="320" t="n"/>
      <c r="BP154" s="320" t="n"/>
      <c r="BQ154" s="320" t="n"/>
      <c r="BR154" s="320" t="n"/>
      <c r="BS154" s="124" t="n"/>
      <c r="BT154" s="320" t="n"/>
      <c r="BU154" s="320">
        <f>BS154*BT154</f>
        <v/>
      </c>
      <c r="BV154" s="124" t="n"/>
      <c r="BW154" s="320" t="n"/>
      <c r="BX154" s="320" t="n"/>
      <c r="BY154" s="124" t="n"/>
      <c r="BZ154" s="320" t="n"/>
      <c r="CA154" s="124">
        <f>BY154*BZ154</f>
        <v/>
      </c>
      <c r="CB154" s="124" t="n"/>
      <c r="CC154" s="320" t="n"/>
      <c r="CD154" s="124" t="n"/>
      <c r="CE154" s="124" t="n"/>
      <c r="CF154" s="320" t="n"/>
      <c r="CG154" s="124" t="n"/>
      <c r="CH154" s="124" t="n"/>
      <c r="CI154" s="320" t="n"/>
      <c r="CJ154" s="124" t="n"/>
      <c r="CK154" s="124" t="n"/>
      <c r="CL154" s="320" t="n"/>
      <c r="CM154" s="124" t="n"/>
      <c r="CN154" s="320">
        <f>BK154+BU154+BX154+CA154+CD154+CG154+CJ154+CM154</f>
        <v/>
      </c>
      <c r="CO154" s="122" t="n">
        <v>0</v>
      </c>
      <c r="CP154" s="320">
        <f>CR154*G154</f>
        <v/>
      </c>
      <c r="CQ154" s="124">
        <f>AL154+AZ154+AQ154</f>
        <v/>
      </c>
      <c r="CR154" s="159">
        <f>AV154-AZ154-BS154-BV154-BY154-CB154</f>
        <v/>
      </c>
      <c r="CS154" s="155" t="n"/>
      <c r="CT154" s="155" t="n"/>
      <c r="CU154" s="177" t="n"/>
      <c r="CV154" s="177" t="n"/>
      <c r="CW154" s="325" t="n"/>
    </row>
    <row r="155" ht="19.9" customFormat="1" customHeight="1" s="67">
      <c r="A155" s="233" t="n"/>
      <c r="B155" s="66" t="n"/>
      <c r="C155" s="233" t="inlineStr">
        <is>
          <t>Pousada Imperial</t>
        </is>
      </c>
      <c r="D155" s="140" t="inlineStr">
        <is>
          <t>PIRENÓPOLIS GO</t>
        </is>
      </c>
      <c r="E155" s="140" t="n"/>
      <c r="F155" s="122" t="n">
        <v>2921</v>
      </c>
      <c r="G155" s="320" t="n">
        <v>0.86</v>
      </c>
      <c r="H155" s="124">
        <f>F155*G155</f>
        <v/>
      </c>
      <c r="I155" s="121" t="n"/>
      <c r="J155" s="125" t="inlineStr">
        <is>
          <t>10 MICRO DEYE 2.000W</t>
        </is>
      </c>
      <c r="K155" s="65" t="inlineStr">
        <is>
          <t xml:space="preserve">40 de 560W </t>
        </is>
      </c>
      <c r="L155" s="121" t="n"/>
      <c r="M155" s="126" t="inlineStr">
        <is>
          <t>Julho/2022</t>
        </is>
      </c>
      <c r="N155" s="126" t="inlineStr">
        <is>
          <t>15/06/2022 a 18/07/2022</t>
        </is>
      </c>
      <c r="O155" s="321" t="n"/>
      <c r="P155" s="321" t="n"/>
      <c r="Q155" s="321" t="n"/>
      <c r="R155" s="207" t="n"/>
      <c r="S155" s="321" t="n"/>
      <c r="T155" s="321" t="n"/>
      <c r="U155" s="321" t="n"/>
      <c r="V155" s="321" t="n"/>
      <c r="W155" s="321" t="n"/>
      <c r="X155" s="321" t="n"/>
      <c r="Y155" s="321" t="n"/>
      <c r="Z155" s="321" t="n"/>
      <c r="AA155" s="321" t="n"/>
      <c r="AB155" s="322" t="n">
        <v>0.79652</v>
      </c>
      <c r="AC155" s="322" t="n">
        <v>0.79652</v>
      </c>
      <c r="AD155" s="124" t="n"/>
      <c r="AE155" s="124" t="n"/>
      <c r="AF155" s="124" t="n"/>
      <c r="AG155" s="124" t="n"/>
      <c r="AH155" s="124" t="n"/>
      <c r="AI155" s="124">
        <f>AD155-AS155</f>
        <v/>
      </c>
      <c r="AJ155" s="124">
        <f>AE155-AT155</f>
        <v/>
      </c>
      <c r="AK155" s="124">
        <f>AF155-AU155</f>
        <v/>
      </c>
      <c r="AL155" s="210">
        <f>SUM(AI155:AK155)</f>
        <v/>
      </c>
      <c r="AM155" s="337">
        <f>(AI155*AB155)+((AJ155+AK155)*AC155)</f>
        <v/>
      </c>
      <c r="AN155" s="143" t="n">
        <v>0</v>
      </c>
      <c r="AO155" s="143" t="n">
        <v>3381</v>
      </c>
      <c r="AP155" s="143" t="n">
        <v>0</v>
      </c>
      <c r="AQ155" s="124">
        <f>SUM(AN155:AP155)</f>
        <v/>
      </c>
      <c r="AR155" s="321">
        <f>(AN155*AB155)+((AO155+AP155)*AC155)</f>
        <v/>
      </c>
      <c r="AS155" s="143" t="n">
        <v>0</v>
      </c>
      <c r="AT155" s="143" t="n">
        <v>0</v>
      </c>
      <c r="AU155" s="143" t="n">
        <v>0</v>
      </c>
      <c r="AV155" s="143">
        <f>SUM(AS155:AU155)</f>
        <v/>
      </c>
      <c r="AW155" s="143" t="n">
        <v>0</v>
      </c>
      <c r="AX155" s="143" t="n">
        <v>0</v>
      </c>
      <c r="AY155" s="143" t="n">
        <v>0</v>
      </c>
      <c r="AZ155" s="143">
        <f>SUM(AW155:AY155)</f>
        <v/>
      </c>
      <c r="BA155" s="335">
        <f>(AW155*AB155)+((AX155+AY155)*AC155)</f>
        <v/>
      </c>
      <c r="BB155" s="141">
        <f>AN155-AW155</f>
        <v/>
      </c>
      <c r="BC155" s="141">
        <f>BB155*AB155</f>
        <v/>
      </c>
      <c r="BD155" s="141">
        <f>AO155-AX155</f>
        <v/>
      </c>
      <c r="BE155" s="141">
        <f>BD155*AC155</f>
        <v/>
      </c>
      <c r="BF155" s="141">
        <f>AP155-AY155</f>
        <v/>
      </c>
      <c r="BG155" s="141">
        <f>BF155*AC155</f>
        <v/>
      </c>
      <c r="BH155" s="141">
        <f>BB155+BD155+BF155</f>
        <v/>
      </c>
      <c r="BI155" s="141">
        <f>BC155+BE155+BG155</f>
        <v/>
      </c>
      <c r="BJ155" s="324">
        <f>BL155+BS155+BV155+BY155+CB155+CE155+CH155+CK155</f>
        <v/>
      </c>
      <c r="BK155" s="320">
        <f>((AI155+AW155)*AB155)+((AJ155+AK155+AX155+AY155)*AC155)</f>
        <v/>
      </c>
      <c r="BL155" s="132">
        <f>BM155+BN155+AL155</f>
        <v/>
      </c>
      <c r="BM155" s="133" t="n"/>
      <c r="BN155" s="133" t="n"/>
      <c r="BO155" s="334" t="n"/>
      <c r="BP155" s="334" t="n"/>
      <c r="BQ155" s="334" t="n"/>
      <c r="BR155" s="334" t="n"/>
      <c r="BS155" s="143" t="n"/>
      <c r="BT155" s="334" t="n"/>
      <c r="BU155" s="320">
        <f>BS155*BT155</f>
        <v/>
      </c>
      <c r="BV155" s="143" t="n"/>
      <c r="BW155" s="334" t="n"/>
      <c r="BX155" s="334" t="n"/>
      <c r="BY155" s="143" t="n"/>
      <c r="BZ155" s="334" t="n"/>
      <c r="CA155" s="124">
        <f>BY155*BZ155</f>
        <v/>
      </c>
      <c r="CB155" s="143" t="n"/>
      <c r="CC155" s="334" t="n"/>
      <c r="CD155" s="143" t="n"/>
      <c r="CE155" s="143" t="n"/>
      <c r="CF155" s="334" t="n"/>
      <c r="CG155" s="143" t="n"/>
      <c r="CH155" s="143" t="n"/>
      <c r="CI155" s="334" t="n"/>
      <c r="CJ155" s="143" t="n"/>
      <c r="CK155" s="143" t="n"/>
      <c r="CL155" s="334" t="n"/>
      <c r="CM155" s="143" t="n"/>
      <c r="CN155" s="320">
        <f>BK155+BU155+BX155+CA155+CD155+CG155+CJ155+CM155</f>
        <v/>
      </c>
      <c r="CO155" s="141" t="n">
        <v>0</v>
      </c>
      <c r="CP155" s="320">
        <f>CR155*G155</f>
        <v/>
      </c>
      <c r="CQ155" s="124">
        <f>AL155+AZ155+AQ155</f>
        <v/>
      </c>
      <c r="CR155" s="159">
        <f>AV155-AZ155-BS155-BV155-BY155-CB155</f>
        <v/>
      </c>
      <c r="CS155" s="155" t="n"/>
      <c r="CT155" s="155" t="n"/>
      <c r="CU155" s="177" t="n"/>
      <c r="CV155" s="177" t="n"/>
      <c r="CW155" s="325" t="n"/>
    </row>
    <row r="156" ht="19.9" customFormat="1" customHeight="1" s="67">
      <c r="A156" s="120" t="n"/>
      <c r="B156" s="65" t="n"/>
      <c r="C156" s="120" t="inlineStr">
        <is>
          <t>Pousada Imperial</t>
        </is>
      </c>
      <c r="D156" s="121" t="inlineStr">
        <is>
          <t>PIRENÓPOLIS GO</t>
        </is>
      </c>
      <c r="E156" s="121" t="n"/>
      <c r="F156" s="141" t="n">
        <v>2921</v>
      </c>
      <c r="G156" s="334" t="n">
        <v>0.86</v>
      </c>
      <c r="H156" s="143">
        <f>F156*G156</f>
        <v/>
      </c>
      <c r="I156" s="140" t="n"/>
      <c r="J156" s="144" t="inlineStr">
        <is>
          <t>10 MICRO DEYE 2.000W</t>
        </is>
      </c>
      <c r="K156" s="66" t="inlineStr">
        <is>
          <t xml:space="preserve">40 de 560W </t>
        </is>
      </c>
      <c r="L156" s="140" t="n"/>
      <c r="M156" s="145" t="inlineStr">
        <is>
          <t>Agosto/2022</t>
        </is>
      </c>
      <c r="N156" s="145" t="inlineStr">
        <is>
          <t>18/07/2022 a 16/08/2022</t>
        </is>
      </c>
      <c r="O156" s="331" t="n"/>
      <c r="P156" s="331" t="n"/>
      <c r="Q156" s="331" t="n"/>
      <c r="R156" s="147" t="n"/>
      <c r="S156" s="331" t="n"/>
      <c r="T156" s="331" t="n"/>
      <c r="U156" s="331" t="n"/>
      <c r="V156" s="331" t="n"/>
      <c r="W156" s="331" t="n"/>
      <c r="X156" s="331" t="n"/>
      <c r="Y156" s="331" t="n"/>
      <c r="Z156" s="331" t="n"/>
      <c r="AA156" s="331" t="n"/>
      <c r="AB156" s="332" t="n">
        <v>0.80661</v>
      </c>
      <c r="AC156" s="332" t="n">
        <v>0.80661</v>
      </c>
      <c r="AD156" s="143" t="n"/>
      <c r="AE156" s="173" t="n"/>
      <c r="AF156" s="143" t="n"/>
      <c r="AG156" s="143" t="n"/>
      <c r="AH156" s="143" t="n"/>
      <c r="AI156" s="143">
        <f>AD156-AS156</f>
        <v/>
      </c>
      <c r="AJ156" s="143">
        <f>AE156-AT156</f>
        <v/>
      </c>
      <c r="AK156" s="143">
        <f>AF156-AU156</f>
        <v/>
      </c>
      <c r="AL156" s="208">
        <f>SUM(AI156:AK156)</f>
        <v/>
      </c>
      <c r="AM156" s="336">
        <f>(AI156*AB156)+((AJ156+AK156)*AC156)</f>
        <v/>
      </c>
      <c r="AN156" s="124" t="n">
        <v>0</v>
      </c>
      <c r="AO156" s="124" t="n">
        <v>2855</v>
      </c>
      <c r="AP156" s="124" t="n">
        <v>0</v>
      </c>
      <c r="AQ156" s="143">
        <f>SUM(AN156:AP156)</f>
        <v/>
      </c>
      <c r="AR156" s="331">
        <f>(AN156*AB156)+((AO156+AP156)*AC156)</f>
        <v/>
      </c>
      <c r="AS156" s="124" t="n">
        <v>0</v>
      </c>
      <c r="AT156" s="124" t="n">
        <v>0</v>
      </c>
      <c r="AU156" s="124" t="n">
        <v>0</v>
      </c>
      <c r="AV156" s="124">
        <f>SUM(AS156:AU156)</f>
        <v/>
      </c>
      <c r="AW156" s="124" t="n">
        <v>0</v>
      </c>
      <c r="AX156" s="124" t="n">
        <v>0</v>
      </c>
      <c r="AY156" s="124" t="n">
        <v>0</v>
      </c>
      <c r="AZ156" s="124">
        <f>SUM(AW156:AY156)</f>
        <v/>
      </c>
      <c r="BA156" s="335">
        <f>(AW156*AB156)+((AX156+AY156)*AC156)</f>
        <v/>
      </c>
      <c r="BB156" s="122">
        <f>AN156-AW156</f>
        <v/>
      </c>
      <c r="BC156" s="141">
        <f>BB156*AB156</f>
        <v/>
      </c>
      <c r="BD156" s="122">
        <f>AO156-AX156</f>
        <v/>
      </c>
      <c r="BE156" s="122">
        <f>BD156*AC156</f>
        <v/>
      </c>
      <c r="BF156" s="122">
        <f>AP156-AY156</f>
        <v/>
      </c>
      <c r="BG156" s="122">
        <f>BF156*AC156</f>
        <v/>
      </c>
      <c r="BH156" s="122">
        <f>BB156+BD156+BF156</f>
        <v/>
      </c>
      <c r="BI156" s="122">
        <f>BC156+BE156+BG156</f>
        <v/>
      </c>
      <c r="BJ156" s="324">
        <f>BL156+BS156+BV156+BY156+CB156+CE156+CH156+CK156</f>
        <v/>
      </c>
      <c r="BK156" s="320">
        <f>((AI156+AW156)*AB156)+((AJ156+AK156+AX156+AY156)*AC156)</f>
        <v/>
      </c>
      <c r="BL156" s="132">
        <f>BM156+BN156+AL156</f>
        <v/>
      </c>
      <c r="BM156" s="133" t="n"/>
      <c r="BN156" s="133" t="n"/>
      <c r="BO156" s="320" t="n"/>
      <c r="BP156" s="320" t="n"/>
      <c r="BQ156" s="320" t="n"/>
      <c r="BR156" s="320" t="n"/>
      <c r="BS156" s="124" t="n"/>
      <c r="BT156" s="320" t="n"/>
      <c r="BU156" s="320">
        <f>BS156*BT156</f>
        <v/>
      </c>
      <c r="BV156" s="124" t="n"/>
      <c r="BW156" s="320" t="n"/>
      <c r="BX156" s="320" t="n"/>
      <c r="BY156" s="124" t="n"/>
      <c r="BZ156" s="320" t="n"/>
      <c r="CA156" s="124">
        <f>BY156*BZ156</f>
        <v/>
      </c>
      <c r="CB156" s="124" t="n"/>
      <c r="CC156" s="320" t="n"/>
      <c r="CD156" s="124" t="n"/>
      <c r="CE156" s="124" t="n"/>
      <c r="CF156" s="320" t="n"/>
      <c r="CG156" s="124" t="n"/>
      <c r="CH156" s="124" t="n"/>
      <c r="CI156" s="320" t="n"/>
      <c r="CJ156" s="124" t="n"/>
      <c r="CK156" s="124" t="n"/>
      <c r="CL156" s="320" t="n"/>
      <c r="CM156" s="124" t="n"/>
      <c r="CN156" s="320">
        <f>BK156+BU156+BX156+CA156+CD156+CG156+CJ156+CM156</f>
        <v/>
      </c>
      <c r="CO156" s="122" t="n">
        <v>0</v>
      </c>
      <c r="CP156" s="320">
        <f>CR156*G156</f>
        <v/>
      </c>
      <c r="CQ156" s="124">
        <f>AL156+AZ156+AQ156</f>
        <v/>
      </c>
      <c r="CR156" s="159">
        <f>AV156-AZ156-BS156-BV156-BY156-CB156</f>
        <v/>
      </c>
      <c r="CS156" s="155" t="n"/>
      <c r="CT156" s="155" t="n"/>
      <c r="CU156" s="177" t="n"/>
      <c r="CV156" s="177" t="n"/>
      <c r="CW156" s="325" t="n"/>
    </row>
    <row r="157" ht="19.9" customFormat="1" customHeight="1" s="67">
      <c r="A157" s="139" t="n"/>
      <c r="B157" s="66" t="n"/>
      <c r="C157" s="139" t="inlineStr">
        <is>
          <t>Pousada Imperial</t>
        </is>
      </c>
      <c r="D157" s="140" t="inlineStr">
        <is>
          <t>PIRENÓPOLIS GO</t>
        </is>
      </c>
      <c r="E157" s="140" t="n"/>
      <c r="F157" s="122" t="n">
        <v>2921</v>
      </c>
      <c r="G157" s="320" t="n">
        <v>0.86</v>
      </c>
      <c r="H157" s="124">
        <f>F157*G157</f>
        <v/>
      </c>
      <c r="I157" s="121" t="n"/>
      <c r="J157" s="125" t="inlineStr">
        <is>
          <t>10 MICRO DEYE 2.000W</t>
        </is>
      </c>
      <c r="K157" s="65" t="inlineStr">
        <is>
          <t xml:space="preserve">40 de 560W </t>
        </is>
      </c>
      <c r="L157" s="121" t="n"/>
      <c r="M157" s="126" t="inlineStr">
        <is>
          <t>Setembro/2022</t>
        </is>
      </c>
      <c r="N157" s="126" t="inlineStr">
        <is>
          <t>16/08/2022 a 15/09/2022</t>
        </is>
      </c>
      <c r="O157" s="321" t="n"/>
      <c r="P157" s="321" t="n"/>
      <c r="Q157" s="321" t="n"/>
      <c r="R157" s="207" t="n"/>
      <c r="S157" s="321" t="n"/>
      <c r="T157" s="321" t="n"/>
      <c r="U157" s="321" t="n"/>
      <c r="V157" s="321" t="n"/>
      <c r="W157" s="321" t="n"/>
      <c r="X157" s="321" t="n"/>
      <c r="Y157" s="321" t="n"/>
      <c r="Z157" s="321" t="n"/>
      <c r="AA157" s="321" t="n"/>
      <c r="AB157" s="322" t="n">
        <v>0.8071700000000001</v>
      </c>
      <c r="AC157" s="322" t="n">
        <v>0.8071700000000001</v>
      </c>
      <c r="AD157" s="124" t="n"/>
      <c r="AE157" s="124" t="n"/>
      <c r="AF157" s="124" t="n"/>
      <c r="AG157" s="124" t="n"/>
      <c r="AH157" s="124" t="n"/>
      <c r="AI157" s="124">
        <f>AD157-AS157</f>
        <v/>
      </c>
      <c r="AJ157" s="124">
        <f>AE157-AT157</f>
        <v/>
      </c>
      <c r="AK157" s="124">
        <f>AF157-AU157</f>
        <v/>
      </c>
      <c r="AL157" s="210">
        <f>SUM(AI157:AK157)</f>
        <v/>
      </c>
      <c r="AM157" s="337">
        <f>(AI157*AB157)+((AJ157+AK157)*AC157)</f>
        <v/>
      </c>
      <c r="AN157" s="143" t="n">
        <v>0</v>
      </c>
      <c r="AO157" s="143" t="n">
        <v>3316</v>
      </c>
      <c r="AP157" s="143" t="n">
        <v>0</v>
      </c>
      <c r="AQ157" s="124">
        <f>SUM(AN157:AP157)</f>
        <v/>
      </c>
      <c r="AR157" s="321">
        <f>(AN157*AB157)+((AO157+AP157)*AC157)</f>
        <v/>
      </c>
      <c r="AS157" s="143" t="n">
        <v>0</v>
      </c>
      <c r="AT157" s="143" t="n">
        <v>0</v>
      </c>
      <c r="AU157" s="143" t="n">
        <v>0</v>
      </c>
      <c r="AV157" s="143">
        <f>SUM(AS157:AU157)</f>
        <v/>
      </c>
      <c r="AW157" s="143" t="n">
        <v>0</v>
      </c>
      <c r="AX157" s="143" t="n">
        <v>0</v>
      </c>
      <c r="AY157" s="143" t="n">
        <v>0</v>
      </c>
      <c r="AZ157" s="143">
        <f>SUM(AW157:AY157)</f>
        <v/>
      </c>
      <c r="BA157" s="335">
        <f>(AW157*AB157)+((AX157+AY157)*AC157)</f>
        <v/>
      </c>
      <c r="BB157" s="141">
        <f>AN157-AW157</f>
        <v/>
      </c>
      <c r="BC157" s="141">
        <f>BB157*AB157</f>
        <v/>
      </c>
      <c r="BD157" s="141">
        <f>AO157-AX157</f>
        <v/>
      </c>
      <c r="BE157" s="141">
        <f>BD157*AC157</f>
        <v/>
      </c>
      <c r="BF157" s="141">
        <f>AP157-AY157</f>
        <v/>
      </c>
      <c r="BG157" s="141">
        <f>BF157*AC157</f>
        <v/>
      </c>
      <c r="BH157" s="141">
        <f>BB157+BD157+BF157</f>
        <v/>
      </c>
      <c r="BI157" s="141">
        <f>BC157+BE157+BG157</f>
        <v/>
      </c>
      <c r="BJ157" s="324">
        <f>BL157+BS157+BV157+BY157+CB157+CE157+CH157+CK157</f>
        <v/>
      </c>
      <c r="BK157" s="320">
        <f>((AI157+AW157)*AB157)+((AJ157+AK157+AX157+AY157)*AC157)</f>
        <v/>
      </c>
      <c r="BL157" s="132">
        <f>BM157+BN157+AL157</f>
        <v/>
      </c>
      <c r="BM157" s="133" t="n"/>
      <c r="BN157" s="133" t="n"/>
      <c r="BO157" s="334" t="n"/>
      <c r="BP157" s="334" t="n"/>
      <c r="BQ157" s="334" t="n"/>
      <c r="BR157" s="334" t="n"/>
      <c r="BS157" s="143" t="n"/>
      <c r="BT157" s="334" t="n"/>
      <c r="BU157" s="320">
        <f>BS157*BT157</f>
        <v/>
      </c>
      <c r="BV157" s="143" t="n"/>
      <c r="BW157" s="334" t="n"/>
      <c r="BX157" s="334" t="n"/>
      <c r="BY157" s="143" t="n"/>
      <c r="BZ157" s="334" t="n"/>
      <c r="CA157" s="124">
        <f>BY157*BZ157</f>
        <v/>
      </c>
      <c r="CB157" s="143" t="n"/>
      <c r="CC157" s="334" t="n"/>
      <c r="CD157" s="143" t="n"/>
      <c r="CE157" s="143" t="n"/>
      <c r="CF157" s="334" t="n"/>
      <c r="CG157" s="143" t="n"/>
      <c r="CH157" s="143" t="n"/>
      <c r="CI157" s="334" t="n"/>
      <c r="CJ157" s="143" t="n"/>
      <c r="CK157" s="143" t="n"/>
      <c r="CL157" s="334" t="n"/>
      <c r="CM157" s="143" t="n"/>
      <c r="CN157" s="320">
        <f>BK157+BU157+BX157+CA157+CD157+CG157+CJ157+CM157</f>
        <v/>
      </c>
      <c r="CO157" s="141" t="n">
        <v>0</v>
      </c>
      <c r="CP157" s="320">
        <f>CR157*G157</f>
        <v/>
      </c>
      <c r="CQ157" s="124">
        <f>AL157+AZ157+AQ157</f>
        <v/>
      </c>
      <c r="CR157" s="159">
        <f>AV157-AZ157-BS157-BV157-BY157-CB157</f>
        <v/>
      </c>
      <c r="CS157" s="155" t="n"/>
      <c r="CT157" s="155" t="n"/>
      <c r="CU157" s="177" t="n"/>
      <c r="CV157" s="177" t="n"/>
      <c r="CW157" s="325" t="n"/>
    </row>
    <row r="158" ht="19.9" customFormat="1" customHeight="1" s="67">
      <c r="A158" s="120" t="n"/>
      <c r="B158" s="65" t="n"/>
      <c r="C158" s="120" t="inlineStr">
        <is>
          <t>Pousada Imperial</t>
        </is>
      </c>
      <c r="D158" s="121" t="inlineStr">
        <is>
          <t>PIRENÓPOLIS GO</t>
        </is>
      </c>
      <c r="E158" s="121" t="n"/>
      <c r="F158" s="141" t="n">
        <v>2921</v>
      </c>
      <c r="G158" s="334" t="n">
        <v>0.86</v>
      </c>
      <c r="H158" s="143">
        <f>F158*G158</f>
        <v/>
      </c>
      <c r="I158" s="140" t="n"/>
      <c r="J158" s="144" t="inlineStr">
        <is>
          <t>10 MICRO DEYE 2.000W</t>
        </is>
      </c>
      <c r="K158" s="66" t="inlineStr">
        <is>
          <t xml:space="preserve">40 de 560W </t>
        </is>
      </c>
      <c r="L158" s="140" t="n"/>
      <c r="M158" s="145" t="inlineStr">
        <is>
          <t>Outubro/2022</t>
        </is>
      </c>
      <c r="N158" s="145" t="inlineStr">
        <is>
          <t>15/09/2022 a 17/10/2022</t>
        </is>
      </c>
      <c r="O158" s="331" t="n"/>
      <c r="P158" s="331" t="n"/>
      <c r="Q158" s="331" t="n"/>
      <c r="R158" s="147" t="n"/>
      <c r="S158" s="331" t="n"/>
      <c r="T158" s="331" t="n"/>
      <c r="U158" s="331" t="n"/>
      <c r="V158" s="331" t="n"/>
      <c r="W158" s="331" t="n"/>
      <c r="X158" s="331" t="n"/>
      <c r="Y158" s="331" t="n"/>
      <c r="Z158" s="331" t="n"/>
      <c r="AA158" s="331" t="n"/>
      <c r="AB158" s="332" t="n">
        <v>0.79605</v>
      </c>
      <c r="AC158" s="332" t="n">
        <v>0.79605</v>
      </c>
      <c r="AD158" s="143" t="n"/>
      <c r="AE158" s="173" t="n"/>
      <c r="AF158" s="143" t="n"/>
      <c r="AG158" s="143" t="n"/>
      <c r="AH158" s="143" t="n"/>
      <c r="AI158" s="143">
        <f>AD158-AS158</f>
        <v/>
      </c>
      <c r="AJ158" s="143">
        <f>AE158-AT158</f>
        <v/>
      </c>
      <c r="AK158" s="143">
        <f>AF158-AU158</f>
        <v/>
      </c>
      <c r="AL158" s="208">
        <f>SUM(AI158:AK158)</f>
        <v/>
      </c>
      <c r="AM158" s="336">
        <f>(AI158*AB158)+((AJ158+AK158)*AC158)</f>
        <v/>
      </c>
      <c r="AN158" s="124" t="n">
        <v>0</v>
      </c>
      <c r="AO158" s="124" t="n">
        <v>3998</v>
      </c>
      <c r="AP158" s="124" t="n">
        <v>0</v>
      </c>
      <c r="AQ158" s="143">
        <f>SUM(AN158:AP158)</f>
        <v/>
      </c>
      <c r="AR158" s="331">
        <f>(AN158*AB158)+((AO158+AP158)*AC158)</f>
        <v/>
      </c>
      <c r="AS158" s="124" t="n">
        <v>0</v>
      </c>
      <c r="AT158" s="124" t="n">
        <v>0</v>
      </c>
      <c r="AU158" s="124" t="n">
        <v>0</v>
      </c>
      <c r="AV158" s="124">
        <f>SUM(AS158:AU158)</f>
        <v/>
      </c>
      <c r="AW158" s="124" t="n">
        <v>0</v>
      </c>
      <c r="AX158" s="124" t="n">
        <v>0</v>
      </c>
      <c r="AY158" s="124" t="n">
        <v>0</v>
      </c>
      <c r="AZ158" s="124">
        <f>SUM(AW158:AY158)</f>
        <v/>
      </c>
      <c r="BA158" s="335">
        <f>(AW158*AB158)+((AX158+AY158)*AC158)</f>
        <v/>
      </c>
      <c r="BB158" s="122">
        <f>AN158-AW158</f>
        <v/>
      </c>
      <c r="BC158" s="141">
        <f>BB158*AB158</f>
        <v/>
      </c>
      <c r="BD158" s="122">
        <f>AO158-AX158</f>
        <v/>
      </c>
      <c r="BE158" s="122">
        <f>BD158*AC158</f>
        <v/>
      </c>
      <c r="BF158" s="122">
        <f>AP158-AY158</f>
        <v/>
      </c>
      <c r="BG158" s="122">
        <f>BF158*AC158</f>
        <v/>
      </c>
      <c r="BH158" s="122">
        <f>BB158+BD158+BF158</f>
        <v/>
      </c>
      <c r="BI158" s="122">
        <f>BC158+BE158+BG158</f>
        <v/>
      </c>
      <c r="BJ158" s="324">
        <f>BL158+BS158+BV158+BY158+CB158+CE158+CH158+CK158</f>
        <v/>
      </c>
      <c r="BK158" s="320">
        <f>((AI158+AW158)*AB158)+((AJ158+AK158+AX158+AY158)*AC158)</f>
        <v/>
      </c>
      <c r="BL158" s="132">
        <f>BM158+BN158+AL158</f>
        <v/>
      </c>
      <c r="BM158" s="133" t="n"/>
      <c r="BN158" s="133" t="n"/>
      <c r="BO158" s="320" t="n"/>
      <c r="BP158" s="320" t="n"/>
      <c r="BQ158" s="320" t="n"/>
      <c r="BR158" s="320" t="n"/>
      <c r="BS158" s="124" t="n"/>
      <c r="BT158" s="320" t="n"/>
      <c r="BU158" s="320">
        <f>BS158*BT158</f>
        <v/>
      </c>
      <c r="BV158" s="124" t="n"/>
      <c r="BW158" s="320" t="n"/>
      <c r="BX158" s="320" t="n"/>
      <c r="BY158" s="124" t="n"/>
      <c r="BZ158" s="320" t="n"/>
      <c r="CA158" s="124">
        <f>BY158*BZ158</f>
        <v/>
      </c>
      <c r="CB158" s="124" t="n"/>
      <c r="CC158" s="320" t="n"/>
      <c r="CD158" s="124" t="n"/>
      <c r="CE158" s="124" t="n"/>
      <c r="CF158" s="320" t="n"/>
      <c r="CG158" s="124" t="n"/>
      <c r="CH158" s="124" t="n"/>
      <c r="CI158" s="320" t="n"/>
      <c r="CJ158" s="124" t="n"/>
      <c r="CK158" s="124" t="n"/>
      <c r="CL158" s="320" t="n"/>
      <c r="CM158" s="124" t="n"/>
      <c r="CN158" s="320">
        <f>BK158+BU158+BX158+CA158+CD158+CG158+CJ158+CM158</f>
        <v/>
      </c>
      <c r="CO158" s="122" t="n">
        <v>0</v>
      </c>
      <c r="CP158" s="320">
        <f>CR158*G158</f>
        <v/>
      </c>
      <c r="CQ158" s="124">
        <f>AL158+AZ158+AQ158</f>
        <v/>
      </c>
      <c r="CR158" s="159">
        <f>AV158-AZ158-BS158-BV158-BY158-CB158</f>
        <v/>
      </c>
      <c r="CS158" s="155" t="n"/>
      <c r="CT158" s="155" t="n"/>
      <c r="CU158" s="177" t="n"/>
      <c r="CV158" s="177" t="n"/>
      <c r="CW158" s="325" t="n"/>
    </row>
    <row r="159" ht="19.9" customFormat="1" customHeight="1" s="67">
      <c r="A159" s="233" t="n"/>
      <c r="B159" s="66" t="n"/>
      <c r="C159" s="233" t="inlineStr">
        <is>
          <t>Pousada Imperial</t>
        </is>
      </c>
      <c r="D159" s="140" t="inlineStr">
        <is>
          <t>PIRENÓPOLIS GO</t>
        </is>
      </c>
      <c r="E159" s="140" t="n"/>
      <c r="F159" s="122" t="n">
        <v>2921</v>
      </c>
      <c r="G159" s="320" t="n">
        <v>0.86</v>
      </c>
      <c r="H159" s="124">
        <f>F159*G159</f>
        <v/>
      </c>
      <c r="I159" s="121" t="n"/>
      <c r="J159" s="125" t="inlineStr">
        <is>
          <t>10 MICRO DEYE 2.000W</t>
        </is>
      </c>
      <c r="K159" s="65" t="inlineStr">
        <is>
          <t xml:space="preserve">40 de 560W </t>
        </is>
      </c>
      <c r="L159" s="121" t="n"/>
      <c r="M159" s="126" t="inlineStr">
        <is>
          <t>Novembro/2022</t>
        </is>
      </c>
      <c r="N159" s="126" t="inlineStr">
        <is>
          <t>17/10/2022 a 16/11/2022</t>
        </is>
      </c>
      <c r="O159" s="321" t="n"/>
      <c r="P159" s="321" t="n"/>
      <c r="Q159" s="321" t="n"/>
      <c r="R159" s="207" t="n"/>
      <c r="S159" s="321" t="n"/>
      <c r="T159" s="321" t="n"/>
      <c r="U159" s="321" t="n"/>
      <c r="V159" s="321" t="n"/>
      <c r="W159" s="321" t="n"/>
      <c r="X159" s="321" t="n"/>
      <c r="Y159" s="321" t="n"/>
      <c r="Z159" s="321" t="n"/>
      <c r="AA159" s="321" t="n"/>
      <c r="AB159" s="322" t="n">
        <v>0.84872</v>
      </c>
      <c r="AC159" s="322" t="n">
        <v>0.84872</v>
      </c>
      <c r="AD159" s="124" t="n"/>
      <c r="AE159" s="124" t="n"/>
      <c r="AF159" s="124" t="n"/>
      <c r="AG159" s="124" t="n"/>
      <c r="AH159" s="124" t="n"/>
      <c r="AI159" s="124">
        <f>AD159-AS159</f>
        <v/>
      </c>
      <c r="AJ159" s="124">
        <f>AE159-AT159</f>
        <v/>
      </c>
      <c r="AK159" s="124">
        <f>AF159-AU159</f>
        <v/>
      </c>
      <c r="AL159" s="210">
        <f>SUM(AI159:AK159)</f>
        <v/>
      </c>
      <c r="AM159" s="337">
        <f>(AI159*AB159)+((AJ159+AK159)*AC159)</f>
        <v/>
      </c>
      <c r="AN159" s="143" t="n">
        <v>0</v>
      </c>
      <c r="AO159" s="143" t="n">
        <v>3088</v>
      </c>
      <c r="AP159" s="143" t="n">
        <v>0</v>
      </c>
      <c r="AQ159" s="124">
        <f>SUM(AN159:AP159)</f>
        <v/>
      </c>
      <c r="AR159" s="321">
        <f>(AN159*AB159)+((AO159+AP159)*AC159)</f>
        <v/>
      </c>
      <c r="AS159" s="143" t="n">
        <v>0</v>
      </c>
      <c r="AT159" s="143" t="n">
        <v>0</v>
      </c>
      <c r="AU159" s="143" t="n">
        <v>0</v>
      </c>
      <c r="AV159" s="143">
        <f>SUM(AS159:AU159)</f>
        <v/>
      </c>
      <c r="AW159" s="143" t="n">
        <v>0</v>
      </c>
      <c r="AX159" s="143" t="n">
        <v>0</v>
      </c>
      <c r="AY159" s="143" t="n">
        <v>0</v>
      </c>
      <c r="AZ159" s="143">
        <f>SUM(AW159:AY159)</f>
        <v/>
      </c>
      <c r="BA159" s="335">
        <f>(AW159*AB159)+((AX159+AY159)*AC159)</f>
        <v/>
      </c>
      <c r="BB159" s="141">
        <f>AN159-AW159</f>
        <v/>
      </c>
      <c r="BC159" s="141">
        <f>BB159*AB159</f>
        <v/>
      </c>
      <c r="BD159" s="141">
        <f>AO159-AX159</f>
        <v/>
      </c>
      <c r="BE159" s="141">
        <f>BD159*AC159</f>
        <v/>
      </c>
      <c r="BF159" s="141">
        <f>AP159-AY159</f>
        <v/>
      </c>
      <c r="BG159" s="141">
        <f>BF159*AC159</f>
        <v/>
      </c>
      <c r="BH159" s="141">
        <f>BB159+BD159+BF159</f>
        <v/>
      </c>
      <c r="BI159" s="141">
        <f>BC159+BE159+BG159</f>
        <v/>
      </c>
      <c r="BJ159" s="324">
        <f>BL159+BS159+BV159+BY159+CB159+CE159+CH159+CK159</f>
        <v/>
      </c>
      <c r="BK159" s="320">
        <f>((AI159+AW159)*AB159)+((AJ159+AK159+AX159+AY159)*AC159)</f>
        <v/>
      </c>
      <c r="BL159" s="132">
        <f>BM159+BN159+AL159</f>
        <v/>
      </c>
      <c r="BM159" s="133" t="n"/>
      <c r="BN159" s="133" t="n"/>
      <c r="BO159" s="334" t="n"/>
      <c r="BP159" s="334" t="n"/>
      <c r="BQ159" s="334" t="n"/>
      <c r="BR159" s="334" t="n"/>
      <c r="BS159" s="143" t="n"/>
      <c r="BT159" s="334" t="n"/>
      <c r="BU159" s="320">
        <f>BS159*BT159</f>
        <v/>
      </c>
      <c r="BV159" s="143" t="n"/>
      <c r="BW159" s="334" t="n"/>
      <c r="BX159" s="334" t="n"/>
      <c r="BY159" s="143" t="n"/>
      <c r="BZ159" s="334" t="n"/>
      <c r="CA159" s="124">
        <f>BY159*BZ159</f>
        <v/>
      </c>
      <c r="CB159" s="143" t="n"/>
      <c r="CC159" s="334" t="n"/>
      <c r="CD159" s="143" t="n"/>
      <c r="CE159" s="143" t="n"/>
      <c r="CF159" s="334" t="n"/>
      <c r="CG159" s="143" t="n"/>
      <c r="CH159" s="143" t="n"/>
      <c r="CI159" s="334" t="n"/>
      <c r="CJ159" s="143" t="n"/>
      <c r="CK159" s="143" t="n"/>
      <c r="CL159" s="334" t="n"/>
      <c r="CM159" s="143" t="n"/>
      <c r="CN159" s="320">
        <f>BK159+BU159+BX159+CA159+CD159+CG159+CJ159+CM159</f>
        <v/>
      </c>
      <c r="CO159" s="141" t="n">
        <v>0</v>
      </c>
      <c r="CP159" s="320">
        <f>CR159*G159</f>
        <v/>
      </c>
      <c r="CQ159" s="124">
        <f>AL159+AZ159+AQ159</f>
        <v/>
      </c>
      <c r="CR159" s="159">
        <f>AV159-AZ159-BS159-BV159-BY159-CB159</f>
        <v/>
      </c>
      <c r="CS159" s="155" t="n"/>
      <c r="CT159" s="155" t="n"/>
      <c r="CU159" s="177" t="n"/>
      <c r="CV159" s="177" t="n"/>
      <c r="CW159" s="325" t="n"/>
    </row>
    <row r="160" ht="19.9" customFormat="1" customHeight="1" s="67">
      <c r="A160" s="120" t="n"/>
      <c r="B160" s="65" t="n"/>
      <c r="C160" s="120" t="inlineStr">
        <is>
          <t>Pousada Imperial</t>
        </is>
      </c>
      <c r="D160" s="121" t="inlineStr">
        <is>
          <t>PIRENÓPOLIS GO</t>
        </is>
      </c>
      <c r="E160" s="121" t="n"/>
      <c r="F160" s="141" t="n">
        <v>2921</v>
      </c>
      <c r="G160" s="334" t="n">
        <v>0.86</v>
      </c>
      <c r="H160" s="143">
        <f>F160*G160</f>
        <v/>
      </c>
      <c r="I160" s="140" t="n"/>
      <c r="J160" s="144" t="inlineStr">
        <is>
          <t>10 MICRO DEYE 2.000W</t>
        </is>
      </c>
      <c r="K160" s="66" t="inlineStr">
        <is>
          <t xml:space="preserve">40 de 560W </t>
        </is>
      </c>
      <c r="L160" s="140" t="n"/>
      <c r="M160" s="145" t="inlineStr">
        <is>
          <t>Dezembro/2022</t>
        </is>
      </c>
      <c r="N160" s="145" t="inlineStr">
        <is>
          <t>16/11/2022 a 19/12/2022</t>
        </is>
      </c>
      <c r="O160" s="331" t="n"/>
      <c r="P160" s="331" t="n"/>
      <c r="Q160" s="331" t="n"/>
      <c r="R160" s="147" t="n"/>
      <c r="S160" s="331" t="n"/>
      <c r="T160" s="331" t="n"/>
      <c r="U160" s="331" t="n"/>
      <c r="V160" s="331" t="n"/>
      <c r="W160" s="331" t="n"/>
      <c r="X160" s="331" t="n"/>
      <c r="Y160" s="331" t="n"/>
      <c r="Z160" s="331" t="n"/>
      <c r="AA160" s="331" t="n"/>
      <c r="AB160" s="332" t="n">
        <v>0.86013</v>
      </c>
      <c r="AC160" s="332" t="n">
        <v>0.86013</v>
      </c>
      <c r="AD160" s="143" t="n"/>
      <c r="AE160" s="173" t="n"/>
      <c r="AF160" s="143" t="n"/>
      <c r="AG160" s="143" t="n"/>
      <c r="AH160" s="143" t="n"/>
      <c r="AI160" s="143">
        <f>AD160-AS160</f>
        <v/>
      </c>
      <c r="AJ160" s="143">
        <f>AE160-AT160</f>
        <v/>
      </c>
      <c r="AK160" s="143">
        <f>AF160-AU160</f>
        <v/>
      </c>
      <c r="AL160" s="208">
        <f>SUM(AI160:AK160)</f>
        <v/>
      </c>
      <c r="AM160" s="336">
        <f>(AI160*AB160)+((AJ160+AK160)*AC160)</f>
        <v/>
      </c>
      <c r="AN160" s="124" t="n">
        <v>0</v>
      </c>
      <c r="AO160" s="124" t="n">
        <v>2664</v>
      </c>
      <c r="AP160" s="124" t="n">
        <v>0</v>
      </c>
      <c r="AQ160" s="143">
        <f>SUM(AN160:AP160)</f>
        <v/>
      </c>
      <c r="AR160" s="331">
        <f>(AN160*AB160)+((AO160+AP160)*AC160)</f>
        <v/>
      </c>
      <c r="AS160" s="124" t="n">
        <v>0</v>
      </c>
      <c r="AT160" s="124" t="n">
        <v>0</v>
      </c>
      <c r="AU160" s="124" t="n">
        <v>0</v>
      </c>
      <c r="AV160" s="124">
        <f>SUM(AS160:AU160)</f>
        <v/>
      </c>
      <c r="AW160" s="124" t="n">
        <v>0</v>
      </c>
      <c r="AX160" s="124" t="n">
        <v>0</v>
      </c>
      <c r="AY160" s="124" t="n">
        <v>0</v>
      </c>
      <c r="AZ160" s="124">
        <f>SUM(AW160:AY160)</f>
        <v/>
      </c>
      <c r="BA160" s="335">
        <f>(AW160*AB160)+((AX160+AY160)*AC160)</f>
        <v/>
      </c>
      <c r="BB160" s="122">
        <f>AN160-AW160</f>
        <v/>
      </c>
      <c r="BC160" s="141">
        <f>BB160*AB160</f>
        <v/>
      </c>
      <c r="BD160" s="122">
        <f>AO160-AX160</f>
        <v/>
      </c>
      <c r="BE160" s="122">
        <f>BD160*AC160</f>
        <v/>
      </c>
      <c r="BF160" s="122">
        <f>AP160-AY160</f>
        <v/>
      </c>
      <c r="BG160" s="122">
        <f>BF160*AC160</f>
        <v/>
      </c>
      <c r="BH160" s="122">
        <f>BB160+BD160+BF160</f>
        <v/>
      </c>
      <c r="BI160" s="122">
        <f>BC160+BE160+BG160</f>
        <v/>
      </c>
      <c r="BJ160" s="324">
        <f>BL160+BS160+BV160+BY160+CB160+CE160+CH160+CK160</f>
        <v/>
      </c>
      <c r="BK160" s="320">
        <f>((AI160+AW160)*AB160)+((AJ160+AK160+AX160+AY160)*AC160)</f>
        <v/>
      </c>
      <c r="BL160" s="132">
        <f>BM160+BN160+AL160</f>
        <v/>
      </c>
      <c r="BM160" s="133" t="n"/>
      <c r="BN160" s="133" t="n"/>
      <c r="BO160" s="320" t="n"/>
      <c r="BP160" s="320" t="n"/>
      <c r="BQ160" s="320" t="n"/>
      <c r="BR160" s="320" t="n"/>
      <c r="BS160" s="124" t="n"/>
      <c r="BT160" s="320" t="n"/>
      <c r="BU160" s="320">
        <f>BS160*BT160</f>
        <v/>
      </c>
      <c r="BV160" s="124" t="n"/>
      <c r="BW160" s="320" t="n"/>
      <c r="BX160" s="320" t="n"/>
      <c r="BY160" s="124" t="n"/>
      <c r="BZ160" s="320" t="n"/>
      <c r="CA160" s="124">
        <f>BY160*BZ160</f>
        <v/>
      </c>
      <c r="CB160" s="124" t="n"/>
      <c r="CC160" s="320" t="n"/>
      <c r="CD160" s="124" t="n"/>
      <c r="CE160" s="124" t="n"/>
      <c r="CF160" s="320" t="n"/>
      <c r="CG160" s="124" t="n"/>
      <c r="CH160" s="124" t="n"/>
      <c r="CI160" s="320" t="n"/>
      <c r="CJ160" s="124" t="n"/>
      <c r="CK160" s="124" t="n"/>
      <c r="CL160" s="320" t="n"/>
      <c r="CM160" s="124" t="n"/>
      <c r="CN160" s="320">
        <f>BK160+BU160+BX160+CA160+CD160+CG160+CJ160+CM160</f>
        <v/>
      </c>
      <c r="CO160" s="122" t="n">
        <v>0</v>
      </c>
      <c r="CP160" s="320">
        <f>CR160*G160</f>
        <v/>
      </c>
      <c r="CQ160" s="124">
        <f>AL160+AZ160+AQ160</f>
        <v/>
      </c>
      <c r="CR160" s="159">
        <f>AV160-AZ160-BS160-BV160-BY160-CB160</f>
        <v/>
      </c>
      <c r="CS160" s="155" t="n"/>
      <c r="CT160" s="155" t="n"/>
      <c r="CU160" s="177" t="n"/>
      <c r="CV160" s="177" t="n"/>
      <c r="CW160" s="325" t="n"/>
    </row>
    <row r="161" ht="19.9" customFormat="1" customHeight="1" s="67">
      <c r="A161" s="139" t="n"/>
      <c r="B161" s="66" t="n"/>
      <c r="C161" s="139" t="inlineStr">
        <is>
          <t>Pousada Imperial</t>
        </is>
      </c>
      <c r="D161" s="140" t="inlineStr">
        <is>
          <t>PIRENÓPOLIS GO</t>
        </is>
      </c>
      <c r="E161" s="140" t="n"/>
      <c r="F161" s="122" t="n">
        <v>2921</v>
      </c>
      <c r="G161" s="320" t="n">
        <v>0.86</v>
      </c>
      <c r="H161" s="124">
        <f>F161*G161</f>
        <v/>
      </c>
      <c r="I161" s="121" t="n"/>
      <c r="J161" s="125" t="inlineStr">
        <is>
          <t>10 MICRO DEYE 2.000W</t>
        </is>
      </c>
      <c r="K161" s="65" t="inlineStr">
        <is>
          <t xml:space="preserve">40 de 560W </t>
        </is>
      </c>
      <c r="L161" s="121" t="n"/>
      <c r="M161" s="126" t="inlineStr">
        <is>
          <t>Janeiro/2023</t>
        </is>
      </c>
      <c r="N161" s="126" t="inlineStr">
        <is>
          <t>19/12/2022 a 17/01/2023</t>
        </is>
      </c>
      <c r="O161" s="321" t="n"/>
      <c r="P161" s="321" t="n"/>
      <c r="Q161" s="321" t="n"/>
      <c r="R161" s="207" t="n"/>
      <c r="S161" s="321" t="n"/>
      <c r="T161" s="321" t="n"/>
      <c r="U161" s="321" t="n"/>
      <c r="V161" s="321" t="n"/>
      <c r="W161" s="321" t="n"/>
      <c r="X161" s="321" t="n"/>
      <c r="Y161" s="321" t="n"/>
      <c r="Z161" s="321" t="n"/>
      <c r="AA161" s="321" t="n"/>
      <c r="AB161" s="322" t="n">
        <v>0.83287</v>
      </c>
      <c r="AC161" s="322" t="n">
        <v>0.83287</v>
      </c>
      <c r="AD161" s="124" t="n"/>
      <c r="AE161" s="124" t="n"/>
      <c r="AF161" s="124" t="n"/>
      <c r="AG161" s="124" t="n"/>
      <c r="AH161" s="124" t="n"/>
      <c r="AI161" s="124">
        <f>AD161-AS161</f>
        <v/>
      </c>
      <c r="AJ161" s="124">
        <f>AE161-AT161</f>
        <v/>
      </c>
      <c r="AK161" s="124">
        <f>AF161-AU161</f>
        <v/>
      </c>
      <c r="AL161" s="210">
        <f>SUM(AI161:AK161)</f>
        <v/>
      </c>
      <c r="AM161" s="337">
        <f>(AI161*AB161)+((AJ161+AK161)*AC161)</f>
        <v/>
      </c>
      <c r="AN161" s="143" t="n">
        <v>0</v>
      </c>
      <c r="AO161" s="143" t="n">
        <v>2371</v>
      </c>
      <c r="AP161" s="143" t="n">
        <v>0</v>
      </c>
      <c r="AQ161" s="124">
        <f>SUM(AN161:AP161)</f>
        <v/>
      </c>
      <c r="AR161" s="321">
        <f>(AN161*AB161)+((AO161+AP161)*AC161)</f>
        <v/>
      </c>
      <c r="AS161" s="143" t="n">
        <v>0</v>
      </c>
      <c r="AT161" s="143" t="n">
        <v>0</v>
      </c>
      <c r="AU161" s="143" t="n">
        <v>0</v>
      </c>
      <c r="AV161" s="143">
        <f>SUM(AS161:AU161)</f>
        <v/>
      </c>
      <c r="AW161" s="143" t="n">
        <v>0</v>
      </c>
      <c r="AX161" s="143" t="n">
        <v>0</v>
      </c>
      <c r="AY161" s="143" t="n">
        <v>0</v>
      </c>
      <c r="AZ161" s="143">
        <f>SUM(AW161:AY161)</f>
        <v/>
      </c>
      <c r="BA161" s="335">
        <f>(AW161*AB161)+((AX161+AY161)*AC161)</f>
        <v/>
      </c>
      <c r="BB161" s="141">
        <f>AN161-AW161</f>
        <v/>
      </c>
      <c r="BC161" s="141">
        <f>BB161*AB161</f>
        <v/>
      </c>
      <c r="BD161" s="141">
        <f>AO161-AX161</f>
        <v/>
      </c>
      <c r="BE161" s="141">
        <f>BD161*AC161</f>
        <v/>
      </c>
      <c r="BF161" s="141">
        <f>AP161-AY161</f>
        <v/>
      </c>
      <c r="BG161" s="141">
        <f>BF161*AC161</f>
        <v/>
      </c>
      <c r="BH161" s="141">
        <f>BB161+BD161+BF161</f>
        <v/>
      </c>
      <c r="BI161" s="141">
        <f>BC161+BE161+BG161</f>
        <v/>
      </c>
      <c r="BJ161" s="324">
        <f>BL161+BS161+BV161+BY161+CB161+CE161+CH161+CK161</f>
        <v/>
      </c>
      <c r="BK161" s="320">
        <f>((AI161+AW161)*AB161)+((AJ161+AK161+AX161+AY161)*AC161)</f>
        <v/>
      </c>
      <c r="BL161" s="132">
        <f>BM161+BN161+AL161</f>
        <v/>
      </c>
      <c r="BM161" s="133" t="n"/>
      <c r="BN161" s="133" t="n"/>
      <c r="BO161" s="334" t="n"/>
      <c r="BP161" s="334" t="n"/>
      <c r="BQ161" s="334" t="n"/>
      <c r="BR161" s="334" t="n"/>
      <c r="BS161" s="143" t="n"/>
      <c r="BT161" s="334" t="n"/>
      <c r="BU161" s="320">
        <f>BS161*BT161</f>
        <v/>
      </c>
      <c r="BV161" s="143" t="n"/>
      <c r="BW161" s="334" t="n"/>
      <c r="BX161" s="334" t="n"/>
      <c r="BY161" s="143" t="n"/>
      <c r="BZ161" s="334" t="n"/>
      <c r="CA161" s="124">
        <f>BY161*BZ161</f>
        <v/>
      </c>
      <c r="CB161" s="143" t="n"/>
      <c r="CC161" s="334" t="n"/>
      <c r="CD161" s="143" t="n"/>
      <c r="CE161" s="143" t="n"/>
      <c r="CF161" s="334" t="n"/>
      <c r="CG161" s="143" t="n"/>
      <c r="CH161" s="143" t="n"/>
      <c r="CI161" s="334" t="n"/>
      <c r="CJ161" s="143" t="n"/>
      <c r="CK161" s="143" t="n"/>
      <c r="CL161" s="334" t="n"/>
      <c r="CM161" s="143" t="n"/>
      <c r="CN161" s="320">
        <f>BK161+BU161+BX161+CA161+CD161+CG161+CJ161+CM161</f>
        <v/>
      </c>
      <c r="CO161" s="141" t="n">
        <v>0</v>
      </c>
      <c r="CP161" s="320">
        <f>CR161*G161</f>
        <v/>
      </c>
      <c r="CQ161" s="124">
        <f>AL161+AZ161+AQ161</f>
        <v/>
      </c>
      <c r="CR161" s="159">
        <f>AV161-AZ161-BS161-BV161-BY161-CB161</f>
        <v/>
      </c>
      <c r="CS161" s="155" t="n"/>
      <c r="CT161" s="155" t="n"/>
      <c r="CU161" s="177" t="n"/>
      <c r="CV161" s="177" t="n"/>
      <c r="CW161" s="325" t="n"/>
    </row>
    <row r="162" ht="19.9" customFormat="1" customHeight="1" s="67">
      <c r="A162" s="120" t="n"/>
      <c r="B162" s="65" t="n"/>
      <c r="C162" s="120" t="inlineStr">
        <is>
          <t>Pousada Imperial</t>
        </is>
      </c>
      <c r="D162" s="121" t="inlineStr">
        <is>
          <t>PIRENÓPOLIS GO</t>
        </is>
      </c>
      <c r="E162" s="121" t="n"/>
      <c r="F162" s="141" t="n">
        <v>2921</v>
      </c>
      <c r="G162" s="334" t="n">
        <v>0.86</v>
      </c>
      <c r="H162" s="143">
        <f>F162*G162</f>
        <v/>
      </c>
      <c r="I162" s="140" t="n"/>
      <c r="J162" s="144" t="inlineStr">
        <is>
          <t>10 MICRO DEYE 2.000W</t>
        </is>
      </c>
      <c r="K162" s="66" t="inlineStr">
        <is>
          <t xml:space="preserve">40 de 560W </t>
        </is>
      </c>
      <c r="L162" s="140" t="n"/>
      <c r="M162" s="145" t="inlineStr">
        <is>
          <t>Fevereiro/2023</t>
        </is>
      </c>
      <c r="N162" s="145" t="inlineStr">
        <is>
          <t>17/01/2023 a 14/02/2023</t>
        </is>
      </c>
      <c r="O162" s="331" t="n"/>
      <c r="P162" s="331" t="n"/>
      <c r="Q162" s="331" t="n"/>
      <c r="R162" s="147" t="n"/>
      <c r="S162" s="331" t="n"/>
      <c r="T162" s="331" t="n"/>
      <c r="U162" s="331" t="n"/>
      <c r="V162" s="331" t="n"/>
      <c r="W162" s="331" t="n"/>
      <c r="X162" s="331" t="n"/>
      <c r="Y162" s="331" t="n"/>
      <c r="Z162" s="331" t="n"/>
      <c r="AA162" s="331" t="n"/>
      <c r="AB162" s="332" t="n">
        <v>0.83219</v>
      </c>
      <c r="AC162" s="332" t="n">
        <v>0.83219</v>
      </c>
      <c r="AD162" s="143" t="n"/>
      <c r="AE162" s="173" t="n"/>
      <c r="AF162" s="143" t="n"/>
      <c r="AG162" s="143" t="n"/>
      <c r="AH162" s="143" t="n"/>
      <c r="AI162" s="143">
        <f>AD162-AS162</f>
        <v/>
      </c>
      <c r="AJ162" s="143">
        <f>AE162-AT162</f>
        <v/>
      </c>
      <c r="AK162" s="143">
        <f>AF162-AU162</f>
        <v/>
      </c>
      <c r="AL162" s="208">
        <f>SUM(AI162:AK162)</f>
        <v/>
      </c>
      <c r="AM162" s="336">
        <f>(AI162*AB162)+((AJ162+AK162)*AC162)</f>
        <v/>
      </c>
      <c r="AN162" s="124" t="n">
        <v>0</v>
      </c>
      <c r="AO162" s="124" t="n">
        <v>756</v>
      </c>
      <c r="AP162" s="124" t="n">
        <v>0</v>
      </c>
      <c r="AQ162" s="143">
        <f>SUM(AN162:AP162)</f>
        <v/>
      </c>
      <c r="AR162" s="331">
        <f>(AN162*AB162)+((AO162+AP162)*AC162)</f>
        <v/>
      </c>
      <c r="AS162" s="124" t="n">
        <v>0</v>
      </c>
      <c r="AT162" s="124" t="n">
        <v>0</v>
      </c>
      <c r="AU162" s="124" t="n">
        <v>0</v>
      </c>
      <c r="AV162" s="124">
        <f>SUM(AS162:AU162)</f>
        <v/>
      </c>
      <c r="AW162" s="124" t="n">
        <v>0</v>
      </c>
      <c r="AX162" s="124" t="n">
        <v>0</v>
      </c>
      <c r="AY162" s="124" t="n">
        <v>0</v>
      </c>
      <c r="AZ162" s="124">
        <f>SUM(AW162:AY162)</f>
        <v/>
      </c>
      <c r="BA162" s="335">
        <f>(AW162*AB162)+((AX162+AY162)*AC162)</f>
        <v/>
      </c>
      <c r="BB162" s="122">
        <f>AN162-AW162</f>
        <v/>
      </c>
      <c r="BC162" s="141">
        <f>BB162*AB162</f>
        <v/>
      </c>
      <c r="BD162" s="122">
        <f>AO162-AX162</f>
        <v/>
      </c>
      <c r="BE162" s="122">
        <f>BD162*AC162</f>
        <v/>
      </c>
      <c r="BF162" s="122">
        <f>AP162-AY162</f>
        <v/>
      </c>
      <c r="BG162" s="122">
        <f>BF162*AC162</f>
        <v/>
      </c>
      <c r="BH162" s="122">
        <f>BB162+BD162+BF162</f>
        <v/>
      </c>
      <c r="BI162" s="122">
        <f>BC162+BE162+BG162</f>
        <v/>
      </c>
      <c r="BJ162" s="324">
        <f>BL162+BS162+BV162+BY162+CB162+CE162+CH162+CK162</f>
        <v/>
      </c>
      <c r="BK162" s="320">
        <f>((AI162+AW162)*AB162)+((AJ162+AK162+AX162+AY162)*AC162)</f>
        <v/>
      </c>
      <c r="BL162" s="132">
        <f>BM162+BN162+AL162</f>
        <v/>
      </c>
      <c r="BM162" s="133" t="n"/>
      <c r="BN162" s="133" t="n"/>
      <c r="BO162" s="320" t="n"/>
      <c r="BP162" s="320" t="n"/>
      <c r="BQ162" s="320" t="n"/>
      <c r="BR162" s="320" t="n"/>
      <c r="BS162" s="124" t="n"/>
      <c r="BT162" s="320" t="n"/>
      <c r="BU162" s="320">
        <f>BS162*BT162</f>
        <v/>
      </c>
      <c r="BV162" s="124" t="n"/>
      <c r="BW162" s="320" t="n"/>
      <c r="BX162" s="320" t="n"/>
      <c r="BY162" s="124" t="n"/>
      <c r="BZ162" s="320" t="n"/>
      <c r="CA162" s="124">
        <f>BY162*BZ162</f>
        <v/>
      </c>
      <c r="CB162" s="124" t="n"/>
      <c r="CC162" s="320" t="n"/>
      <c r="CD162" s="124" t="n"/>
      <c r="CE162" s="124" t="n"/>
      <c r="CF162" s="320" t="n"/>
      <c r="CG162" s="124" t="n"/>
      <c r="CH162" s="124" t="n"/>
      <c r="CI162" s="320" t="n"/>
      <c r="CJ162" s="124" t="n"/>
      <c r="CK162" s="124" t="n"/>
      <c r="CL162" s="320" t="n"/>
      <c r="CM162" s="124" t="n"/>
      <c r="CN162" s="320">
        <f>BK162+BU162+BX162+CA162+CD162+CG162+CJ162+CM162</f>
        <v/>
      </c>
      <c r="CO162" s="122" t="n">
        <v>0</v>
      </c>
      <c r="CP162" s="320">
        <f>CR162*G162</f>
        <v/>
      </c>
      <c r="CQ162" s="124">
        <f>AL162+AZ162+AQ162</f>
        <v/>
      </c>
      <c r="CR162" s="159">
        <f>AV162-AZ162-BS162-BV162-BY162-CB162</f>
        <v/>
      </c>
      <c r="CS162" s="155" t="n"/>
      <c r="CT162" s="155" t="n"/>
      <c r="CU162" s="177" t="n"/>
      <c r="CV162" s="177" t="n"/>
      <c r="CW162" s="325" t="n"/>
    </row>
    <row r="163" ht="19.9" customFormat="1" customHeight="1" s="67">
      <c r="A163" s="233" t="n"/>
      <c r="B163" s="66" t="n"/>
      <c r="C163" s="233" t="inlineStr">
        <is>
          <t>Pousada Imperial</t>
        </is>
      </c>
      <c r="D163" s="140" t="inlineStr">
        <is>
          <t>PIRENÓPOLIS GO</t>
        </is>
      </c>
      <c r="E163" s="140" t="n"/>
      <c r="F163" s="122" t="n">
        <v>2921</v>
      </c>
      <c r="G163" s="320" t="n">
        <v>0.86</v>
      </c>
      <c r="H163" s="124">
        <f>F163*G163</f>
        <v/>
      </c>
      <c r="I163" s="121" t="n"/>
      <c r="J163" s="125" t="inlineStr">
        <is>
          <t>10 MICRO DEYE 2.000W</t>
        </is>
      </c>
      <c r="K163" s="65" t="inlineStr">
        <is>
          <t xml:space="preserve">40 de 560W </t>
        </is>
      </c>
      <c r="L163" s="121" t="n"/>
      <c r="M163" s="126" t="inlineStr">
        <is>
          <t>Março/2023</t>
        </is>
      </c>
      <c r="N163" s="126" t="inlineStr">
        <is>
          <t>14/02/2023 a 15/03/2023</t>
        </is>
      </c>
      <c r="O163" s="321" t="n"/>
      <c r="P163" s="321" t="n"/>
      <c r="Q163" s="321" t="n"/>
      <c r="R163" s="207" t="n"/>
      <c r="S163" s="321" t="n"/>
      <c r="T163" s="321" t="n"/>
      <c r="U163" s="321" t="n"/>
      <c r="V163" s="321" t="n"/>
      <c r="W163" s="321" t="n"/>
      <c r="X163" s="321" t="n"/>
      <c r="Y163" s="321" t="n"/>
      <c r="Z163" s="321" t="n"/>
      <c r="AA163" s="321" t="n"/>
      <c r="AB163" s="322" t="n">
        <v>0.86587</v>
      </c>
      <c r="AC163" s="322" t="n">
        <v>0.86587</v>
      </c>
      <c r="AD163" s="124" t="n"/>
      <c r="AE163" s="124" t="n"/>
      <c r="AF163" s="124" t="n"/>
      <c r="AG163" s="124" t="n"/>
      <c r="AH163" s="124" t="n"/>
      <c r="AI163" s="124">
        <f>AD163-AS163</f>
        <v/>
      </c>
      <c r="AJ163" s="124">
        <f>AE163-AT163</f>
        <v/>
      </c>
      <c r="AK163" s="124">
        <f>AF163-AU163</f>
        <v/>
      </c>
      <c r="AL163" s="210">
        <f>SUM(AI163:AK163)</f>
        <v/>
      </c>
      <c r="AM163" s="337">
        <f>(AI163*AB163)+((AJ163+AK163)*AC163)</f>
        <v/>
      </c>
      <c r="AN163" s="143" t="n">
        <v>0</v>
      </c>
      <c r="AO163" s="143" t="n">
        <v>940</v>
      </c>
      <c r="AP163" s="143" t="n">
        <v>0</v>
      </c>
      <c r="AQ163" s="124">
        <f>SUM(AN163:AP163)</f>
        <v/>
      </c>
      <c r="AR163" s="321">
        <f>(AN163*AB163)+((AO163+AP163)*AC163)</f>
        <v/>
      </c>
      <c r="AS163" s="143" t="n">
        <v>0</v>
      </c>
      <c r="AT163" s="143" t="n">
        <v>0</v>
      </c>
      <c r="AU163" s="143" t="n">
        <v>0</v>
      </c>
      <c r="AV163" s="143">
        <f>SUM(AS163:AU163)</f>
        <v/>
      </c>
      <c r="AW163" s="143" t="n">
        <v>0</v>
      </c>
      <c r="AX163" s="143" t="n">
        <v>0</v>
      </c>
      <c r="AY163" s="143" t="n">
        <v>0</v>
      </c>
      <c r="AZ163" s="143">
        <f>SUM(AW163:AY163)</f>
        <v/>
      </c>
      <c r="BA163" s="335">
        <f>(AW163*AB163)+((AX163+AY163)*AC163)</f>
        <v/>
      </c>
      <c r="BB163" s="141">
        <f>AN163-AW163</f>
        <v/>
      </c>
      <c r="BC163" s="141">
        <f>BB163*AB163</f>
        <v/>
      </c>
      <c r="BD163" s="141">
        <f>AO163-AX163</f>
        <v/>
      </c>
      <c r="BE163" s="141">
        <f>BD163*AC163</f>
        <v/>
      </c>
      <c r="BF163" s="141">
        <f>AP163-AY163</f>
        <v/>
      </c>
      <c r="BG163" s="141">
        <f>BF163*AC163</f>
        <v/>
      </c>
      <c r="BH163" s="141">
        <f>BB163+BD163+BF163</f>
        <v/>
      </c>
      <c r="BI163" s="141">
        <f>BC163+BE163+BG163</f>
        <v/>
      </c>
      <c r="BJ163" s="324">
        <f>BL163+BS163+BV163+BY163+CB163+CE163+CH163+CK163</f>
        <v/>
      </c>
      <c r="BK163" s="320">
        <f>((AI163+AW163)*AB163)+((AJ163+AK163+AX163+AY163)*AC163)</f>
        <v/>
      </c>
      <c r="BL163" s="132">
        <f>BM163+BN163+AL163</f>
        <v/>
      </c>
      <c r="BM163" s="133" t="n"/>
      <c r="BN163" s="133" t="n"/>
      <c r="BO163" s="334" t="n"/>
      <c r="BP163" s="334" t="n"/>
      <c r="BQ163" s="334" t="n"/>
      <c r="BR163" s="334" t="n"/>
      <c r="BS163" s="143" t="n"/>
      <c r="BT163" s="334" t="n"/>
      <c r="BU163" s="320">
        <f>BS163*BT163</f>
        <v/>
      </c>
      <c r="BV163" s="143" t="n"/>
      <c r="BW163" s="334" t="n"/>
      <c r="BX163" s="334" t="n"/>
      <c r="BY163" s="143" t="n"/>
      <c r="BZ163" s="334" t="n"/>
      <c r="CA163" s="124">
        <f>BY163*BZ163</f>
        <v/>
      </c>
      <c r="CB163" s="143" t="n"/>
      <c r="CC163" s="334" t="n"/>
      <c r="CD163" s="143" t="n"/>
      <c r="CE163" s="143" t="n"/>
      <c r="CF163" s="334" t="n"/>
      <c r="CG163" s="143" t="n"/>
      <c r="CH163" s="143" t="n"/>
      <c r="CI163" s="334" t="n"/>
      <c r="CJ163" s="143" t="n"/>
      <c r="CK163" s="143" t="n"/>
      <c r="CL163" s="334" t="n"/>
      <c r="CM163" s="143" t="n"/>
      <c r="CN163" s="320">
        <f>BK163+BU163+BX163+CA163+CD163+CG163+CJ163+CM163</f>
        <v/>
      </c>
      <c r="CO163" s="141" t="n">
        <v>0</v>
      </c>
      <c r="CP163" s="320">
        <f>CR163*G163</f>
        <v/>
      </c>
      <c r="CQ163" s="124">
        <f>AL163+AZ163+AQ163</f>
        <v/>
      </c>
      <c r="CR163" s="159">
        <f>AV163-AZ163-BS163-BV163-BY163-CB163</f>
        <v/>
      </c>
      <c r="CS163" s="155" t="n"/>
      <c r="CT163" s="155" t="n"/>
      <c r="CU163" s="177" t="n"/>
      <c r="CV163" s="177" t="n"/>
      <c r="CW163" s="325" t="n"/>
    </row>
    <row r="164" ht="19.9" customFormat="1" customHeight="1" s="67">
      <c r="A164" s="120" t="n"/>
      <c r="B164" s="65" t="n"/>
      <c r="C164" s="120" t="inlineStr">
        <is>
          <t>Pousada Imperial</t>
        </is>
      </c>
      <c r="D164" s="121" t="inlineStr">
        <is>
          <t>PIRENÓPOLIS GO</t>
        </is>
      </c>
      <c r="E164" s="121" t="n"/>
      <c r="F164" s="141" t="n">
        <v>2921</v>
      </c>
      <c r="G164" s="334" t="n">
        <v>0.86</v>
      </c>
      <c r="H164" s="143">
        <f>F164*G164</f>
        <v/>
      </c>
      <c r="I164" s="140" t="n"/>
      <c r="J164" s="144" t="inlineStr">
        <is>
          <t>10 MICRO DEYE 2.000W</t>
        </is>
      </c>
      <c r="K164" s="66" t="inlineStr">
        <is>
          <t xml:space="preserve">40 de 560W </t>
        </is>
      </c>
      <c r="L164" s="140" t="n"/>
      <c r="M164" s="145" t="inlineStr">
        <is>
          <t>Abril/2023</t>
        </is>
      </c>
      <c r="N164" s="145" t="inlineStr">
        <is>
          <t>15/03/2023 a 15/04/2023</t>
        </is>
      </c>
      <c r="O164" s="331" t="n"/>
      <c r="P164" s="331" t="n"/>
      <c r="Q164" s="331" t="n"/>
      <c r="R164" s="147" t="n"/>
      <c r="S164" s="331" t="n"/>
      <c r="T164" s="331" t="n"/>
      <c r="U164" s="331" t="n"/>
      <c r="V164" s="331" t="n"/>
      <c r="W164" s="331" t="n"/>
      <c r="X164" s="331" t="n"/>
      <c r="Y164" s="331" t="n"/>
      <c r="Z164" s="331" t="n"/>
      <c r="AA164" s="331" t="n"/>
      <c r="AB164" s="332" t="n">
        <v>0.86064</v>
      </c>
      <c r="AC164" s="332" t="n">
        <v>0.86064</v>
      </c>
      <c r="AD164" s="143" t="n"/>
      <c r="AE164" s="173" t="n"/>
      <c r="AF164" s="143" t="n"/>
      <c r="AG164" s="143" t="n"/>
      <c r="AH164" s="143" t="n"/>
      <c r="AI164" s="143">
        <f>AD164-AS164</f>
        <v/>
      </c>
      <c r="AJ164" s="143">
        <f>AE164-AT164</f>
        <v/>
      </c>
      <c r="AK164" s="143">
        <f>AF164-AU164</f>
        <v/>
      </c>
      <c r="AL164" s="208">
        <f>SUM(AI164:AK164)</f>
        <v/>
      </c>
      <c r="AM164" s="336">
        <f>(AI164*AB164)+((AJ164+AK164)*AC164)</f>
        <v/>
      </c>
      <c r="AN164" s="124" t="n">
        <v>0</v>
      </c>
      <c r="AO164" s="124" t="n">
        <v>1140</v>
      </c>
      <c r="AP164" s="124" t="n">
        <v>0</v>
      </c>
      <c r="AQ164" s="143">
        <f>SUM(AN164:AP164)</f>
        <v/>
      </c>
      <c r="AR164" s="331">
        <f>(AN164*AB164)+((AO164+AP164)*AC164)</f>
        <v/>
      </c>
      <c r="AS164" s="124" t="n">
        <v>0</v>
      </c>
      <c r="AT164" s="124" t="n">
        <v>0</v>
      </c>
      <c r="AU164" s="124" t="n">
        <v>0</v>
      </c>
      <c r="AV164" s="124">
        <f>SUM(AS164:AU164)</f>
        <v/>
      </c>
      <c r="AW164" s="124" t="n">
        <v>0</v>
      </c>
      <c r="AX164" s="124" t="n">
        <v>0</v>
      </c>
      <c r="AY164" s="124" t="n">
        <v>0</v>
      </c>
      <c r="AZ164" s="124">
        <f>SUM(AW164:AY164)</f>
        <v/>
      </c>
      <c r="BA164" s="335">
        <f>(AW164*AB164)+((AX164+AY164)*AC164)</f>
        <v/>
      </c>
      <c r="BB164" s="122">
        <f>AN164-AW164</f>
        <v/>
      </c>
      <c r="BC164" s="141">
        <f>BB164*AB164</f>
        <v/>
      </c>
      <c r="BD164" s="122">
        <f>AO164-AX164</f>
        <v/>
      </c>
      <c r="BE164" s="122">
        <f>BD164*AC164</f>
        <v/>
      </c>
      <c r="BF164" s="122">
        <f>AP164-AY164</f>
        <v/>
      </c>
      <c r="BG164" s="122">
        <f>BF164*AC164</f>
        <v/>
      </c>
      <c r="BH164" s="122">
        <f>BB164+BD164+BF164</f>
        <v/>
      </c>
      <c r="BI164" s="122">
        <f>BC164+BE164+BG164</f>
        <v/>
      </c>
      <c r="BJ164" s="324">
        <f>BL164+BS164+BV164+BY164+CB164+CE164+CH164+CK164</f>
        <v/>
      </c>
      <c r="BK164" s="320">
        <f>((AI164+AW164)*AB164)+((AJ164+AK164+AX164+AY164)*AC164)</f>
        <v/>
      </c>
      <c r="BL164" s="132">
        <f>BM164+BN164+AL164</f>
        <v/>
      </c>
      <c r="BM164" s="133" t="n"/>
      <c r="BN164" s="133" t="n"/>
      <c r="BO164" s="320" t="n"/>
      <c r="BP164" s="320" t="n"/>
      <c r="BQ164" s="320" t="n"/>
      <c r="BR164" s="320" t="n"/>
      <c r="BS164" s="124" t="n"/>
      <c r="BT164" s="320" t="n"/>
      <c r="BU164" s="320">
        <f>BS164*BT164</f>
        <v/>
      </c>
      <c r="BV164" s="124" t="n"/>
      <c r="BW164" s="320" t="n"/>
      <c r="BX164" s="320" t="n"/>
      <c r="BY164" s="124" t="n"/>
      <c r="BZ164" s="320" t="n"/>
      <c r="CA164" s="124">
        <f>BY164*BZ164</f>
        <v/>
      </c>
      <c r="CB164" s="124" t="n"/>
      <c r="CC164" s="320" t="n"/>
      <c r="CD164" s="124" t="n"/>
      <c r="CE164" s="124" t="n"/>
      <c r="CF164" s="320" t="n"/>
      <c r="CG164" s="124" t="n"/>
      <c r="CH164" s="124" t="n"/>
      <c r="CI164" s="320" t="n"/>
      <c r="CJ164" s="124" t="n"/>
      <c r="CK164" s="124" t="n"/>
      <c r="CL164" s="320" t="n"/>
      <c r="CM164" s="124" t="n"/>
      <c r="CN164" s="320">
        <f>BK164+BU164+BX164+CA164+CD164+CG164+CJ164+CM164</f>
        <v/>
      </c>
      <c r="CO164" s="122" t="n">
        <v>0</v>
      </c>
      <c r="CP164" s="320">
        <f>CR164*G164</f>
        <v/>
      </c>
      <c r="CQ164" s="124">
        <f>AL164+AZ164+AQ164</f>
        <v/>
      </c>
      <c r="CR164" s="159">
        <f>AV164-AZ164-BS164-BV164-BY164-CB164</f>
        <v/>
      </c>
      <c r="CS164" s="155" t="n"/>
      <c r="CT164" s="155" t="n"/>
      <c r="CU164" s="177" t="n"/>
      <c r="CV164" s="177" t="n"/>
      <c r="CW164" s="325" t="n"/>
    </row>
    <row r="165" ht="19.9" customFormat="1" customHeight="1" s="67">
      <c r="A165" s="139" t="n"/>
      <c r="B165" s="66" t="n"/>
      <c r="C165" s="139" t="inlineStr">
        <is>
          <t>Pousada Imperial</t>
        </is>
      </c>
      <c r="D165" s="140" t="inlineStr">
        <is>
          <t>PIRENÓPOLIS GO</t>
        </is>
      </c>
      <c r="E165" s="140" t="n"/>
      <c r="F165" s="122" t="n">
        <v>2921</v>
      </c>
      <c r="G165" s="320" t="n">
        <v>0.86</v>
      </c>
      <c r="H165" s="124">
        <f>F165*G165</f>
        <v/>
      </c>
      <c r="I165" s="121" t="n"/>
      <c r="J165" s="125" t="inlineStr">
        <is>
          <t>10 MICRO DEYE 2.000W</t>
        </is>
      </c>
      <c r="K165" s="65" t="inlineStr">
        <is>
          <t xml:space="preserve">40 de 560W </t>
        </is>
      </c>
      <c r="L165" s="121" t="n"/>
      <c r="M165" s="126" t="inlineStr">
        <is>
          <t>Maio/2023</t>
        </is>
      </c>
      <c r="N165" s="126" t="inlineStr">
        <is>
          <t>15/04/2023 a 16/05/2023</t>
        </is>
      </c>
      <c r="O165" s="321" t="n"/>
      <c r="P165" s="321" t="n"/>
      <c r="Q165" s="321" t="n"/>
      <c r="R165" s="207" t="n"/>
      <c r="S165" s="321" t="n"/>
      <c r="T165" s="321" t="n"/>
      <c r="U165" s="321" t="n"/>
      <c r="V165" s="321" t="n"/>
      <c r="W165" s="321" t="n"/>
      <c r="X165" s="321" t="n"/>
      <c r="Y165" s="321" t="n"/>
      <c r="Z165" s="321" t="n"/>
      <c r="AA165" s="321" t="n"/>
      <c r="AB165" s="322" t="n">
        <v>0.864042</v>
      </c>
      <c r="AC165" s="322" t="n">
        <v>0.864042</v>
      </c>
      <c r="AD165" s="124" t="n"/>
      <c r="AE165" s="124" t="n"/>
      <c r="AF165" s="124" t="n"/>
      <c r="AG165" s="124" t="n"/>
      <c r="AH165" s="124" t="n"/>
      <c r="AI165" s="124">
        <f>AD165-AS165</f>
        <v/>
      </c>
      <c r="AJ165" s="124">
        <f>AE165-AT165</f>
        <v/>
      </c>
      <c r="AK165" s="124">
        <f>AF165-AU165</f>
        <v/>
      </c>
      <c r="AL165" s="210">
        <f>SUM(AI165:AK165)</f>
        <v/>
      </c>
      <c r="AM165" s="337">
        <f>(AI165*AB165)+((AJ165+AK165)*AC165)</f>
        <v/>
      </c>
      <c r="AN165" s="143" t="n">
        <v>0</v>
      </c>
      <c r="AO165" s="143" t="n">
        <v>1284</v>
      </c>
      <c r="AP165" s="143" t="n">
        <v>0</v>
      </c>
      <c r="AQ165" s="124">
        <f>SUM(AN165:AP165)</f>
        <v/>
      </c>
      <c r="AR165" s="321">
        <f>(AN165*AB165)+((AO165+AP165)*AC165)</f>
        <v/>
      </c>
      <c r="AS165" s="143" t="n">
        <v>0</v>
      </c>
      <c r="AT165" s="143" t="n">
        <v>0</v>
      </c>
      <c r="AU165" s="143" t="n">
        <v>0</v>
      </c>
      <c r="AV165" s="143">
        <f>SUM(AS165:AU165)</f>
        <v/>
      </c>
      <c r="AW165" s="143" t="n">
        <v>0</v>
      </c>
      <c r="AX165" s="143" t="n">
        <v>0</v>
      </c>
      <c r="AY165" s="143" t="n">
        <v>0</v>
      </c>
      <c r="AZ165" s="143">
        <f>SUM(AW165:AY165)</f>
        <v/>
      </c>
      <c r="BA165" s="335">
        <f>(AW165*AB165)+((AX165+AY165)*AC165)</f>
        <v/>
      </c>
      <c r="BB165" s="141">
        <f>AN165-AW165</f>
        <v/>
      </c>
      <c r="BC165" s="141">
        <f>BB165*AB165</f>
        <v/>
      </c>
      <c r="BD165" s="141">
        <f>AO165-AX165</f>
        <v/>
      </c>
      <c r="BE165" s="141">
        <f>BD165*AC165</f>
        <v/>
      </c>
      <c r="BF165" s="141">
        <f>AP165-AY165</f>
        <v/>
      </c>
      <c r="BG165" s="141">
        <f>BF165*AC165</f>
        <v/>
      </c>
      <c r="BH165" s="141">
        <f>BB165+BD165+BF165</f>
        <v/>
      </c>
      <c r="BI165" s="141">
        <f>BC165+BE165+BG165</f>
        <v/>
      </c>
      <c r="BJ165" s="324">
        <f>BL165+BS165+BV165+BY165+CB165+CE165+CH165+CK165</f>
        <v/>
      </c>
      <c r="BK165" s="320">
        <f>((AI165+AW165)*AB165)+((AJ165+AK165+AX165+AY165)*AC165)</f>
        <v/>
      </c>
      <c r="BL165" s="132">
        <f>BM165+BN165+AL165</f>
        <v/>
      </c>
      <c r="BM165" s="133" t="n"/>
      <c r="BN165" s="133" t="n"/>
      <c r="BO165" s="334" t="n"/>
      <c r="BP165" s="334" t="n"/>
      <c r="BQ165" s="334" t="n"/>
      <c r="BR165" s="334" t="n"/>
      <c r="BS165" s="143" t="n"/>
      <c r="BT165" s="334" t="n"/>
      <c r="BU165" s="320">
        <f>BS165*BT165</f>
        <v/>
      </c>
      <c r="BV165" s="143" t="n"/>
      <c r="BW165" s="334" t="n"/>
      <c r="BX165" s="334" t="n"/>
      <c r="BY165" s="143" t="n"/>
      <c r="BZ165" s="334" t="n"/>
      <c r="CA165" s="124">
        <f>BY165*BZ165</f>
        <v/>
      </c>
      <c r="CB165" s="143" t="n"/>
      <c r="CC165" s="334" t="n"/>
      <c r="CD165" s="143" t="n"/>
      <c r="CE165" s="143" t="n"/>
      <c r="CF165" s="334" t="n"/>
      <c r="CG165" s="143" t="n"/>
      <c r="CH165" s="143" t="n"/>
      <c r="CI165" s="334" t="n"/>
      <c r="CJ165" s="143" t="n"/>
      <c r="CK165" s="143" t="n"/>
      <c r="CL165" s="334" t="n"/>
      <c r="CM165" s="143" t="n"/>
      <c r="CN165" s="320">
        <f>BK165+BU165+BX165+CA165+CD165+CG165+CJ165+CM165</f>
        <v/>
      </c>
      <c r="CO165" s="141" t="n">
        <v>0</v>
      </c>
      <c r="CP165" s="320">
        <f>CR165*G165</f>
        <v/>
      </c>
      <c r="CQ165" s="124">
        <f>AL165+AZ165+AQ165</f>
        <v/>
      </c>
      <c r="CR165" s="159">
        <f>AV165-AZ165-BS165-BV165-BY165-CB165</f>
        <v/>
      </c>
      <c r="CS165" s="155" t="n"/>
      <c r="CT165" s="155" t="n"/>
      <c r="CU165" s="177" t="n"/>
      <c r="CV165" s="177" t="n"/>
      <c r="CW165" s="325" t="n"/>
    </row>
    <row r="166" ht="19.9" customFormat="1" customHeight="1" s="67">
      <c r="A166" s="120" t="n"/>
      <c r="B166" s="65" t="n"/>
      <c r="C166" s="120" t="inlineStr">
        <is>
          <t>Pousada Imperial</t>
        </is>
      </c>
      <c r="D166" s="121" t="inlineStr">
        <is>
          <t>PIRENÓPOLIS GO</t>
        </is>
      </c>
      <c r="E166" s="121" t="n"/>
      <c r="F166" s="141" t="n">
        <v>2921</v>
      </c>
      <c r="G166" s="334" t="n">
        <v>0.86</v>
      </c>
      <c r="H166" s="143">
        <f>F166*G166</f>
        <v/>
      </c>
      <c r="I166" s="140" t="n"/>
      <c r="J166" s="144" t="inlineStr">
        <is>
          <t>10 MICRO DEYE 2.000W</t>
        </is>
      </c>
      <c r="K166" s="66" t="inlineStr">
        <is>
          <t xml:space="preserve">40 de 560W </t>
        </is>
      </c>
      <c r="L166" s="140" t="n"/>
      <c r="M166" s="145" t="inlineStr">
        <is>
          <t>Junho/2023</t>
        </is>
      </c>
      <c r="N166" s="145" t="inlineStr">
        <is>
          <t>16/05/2023 a 15/06/2023</t>
        </is>
      </c>
      <c r="O166" s="331" t="n"/>
      <c r="P166" s="331" t="n"/>
      <c r="Q166" s="331" t="n"/>
      <c r="R166" s="147" t="n"/>
      <c r="S166" s="331" t="n"/>
      <c r="T166" s="331" t="n"/>
      <c r="U166" s="331" t="n"/>
      <c r="V166" s="331" t="n"/>
      <c r="W166" s="331" t="n"/>
      <c r="X166" s="331" t="n"/>
      <c r="Y166" s="331" t="n"/>
      <c r="Z166" s="331" t="n"/>
      <c r="AA166" s="331" t="n"/>
      <c r="AB166" s="332" t="n">
        <v>0.824586</v>
      </c>
      <c r="AC166" s="332" t="n">
        <v>0.824586</v>
      </c>
      <c r="AD166" s="143" t="n"/>
      <c r="AE166" s="173" t="n"/>
      <c r="AF166" s="143" t="n"/>
      <c r="AG166" s="143" t="n"/>
      <c r="AH166" s="143" t="n"/>
      <c r="AI166" s="143">
        <f>AD166-AS166</f>
        <v/>
      </c>
      <c r="AJ166" s="143">
        <f>AE166-AT166</f>
        <v/>
      </c>
      <c r="AK166" s="143">
        <f>AF166-AU166</f>
        <v/>
      </c>
      <c r="AL166" s="208">
        <f>SUM(AI166:AK166)</f>
        <v/>
      </c>
      <c r="AM166" s="336">
        <f>(AI166*AB166)+((AJ166+AK166)*AC166)</f>
        <v/>
      </c>
      <c r="AN166" s="124" t="n">
        <v>0</v>
      </c>
      <c r="AO166" s="124" t="n">
        <v>1129</v>
      </c>
      <c r="AP166" s="124" t="n">
        <v>0</v>
      </c>
      <c r="AQ166" s="143">
        <f>SUM(AN166:AP166)</f>
        <v/>
      </c>
      <c r="AR166" s="331">
        <f>(AN166*AB166)+((AO166+AP166)*AC166)</f>
        <v/>
      </c>
      <c r="AS166" s="124" t="n">
        <v>0</v>
      </c>
      <c r="AT166" s="124" t="n">
        <v>0</v>
      </c>
      <c r="AU166" s="124" t="n">
        <v>0</v>
      </c>
      <c r="AV166" s="124">
        <f>SUM(AS166:AU166)</f>
        <v/>
      </c>
      <c r="AW166" s="124" t="n">
        <v>0</v>
      </c>
      <c r="AX166" s="124" t="n">
        <v>0</v>
      </c>
      <c r="AY166" s="124" t="n">
        <v>0</v>
      </c>
      <c r="AZ166" s="124">
        <f>SUM(AW166:AY166)</f>
        <v/>
      </c>
      <c r="BA166" s="335">
        <f>(AW166*AB166)+((AX166+AY166)*AC166)</f>
        <v/>
      </c>
      <c r="BB166" s="122">
        <f>AN166-AW166</f>
        <v/>
      </c>
      <c r="BC166" s="141">
        <f>BB166*AB166</f>
        <v/>
      </c>
      <c r="BD166" s="122">
        <f>AO166-AX166</f>
        <v/>
      </c>
      <c r="BE166" s="122">
        <f>BD166*AC166</f>
        <v/>
      </c>
      <c r="BF166" s="122">
        <f>AP166-AY166</f>
        <v/>
      </c>
      <c r="BG166" s="122">
        <f>BF166*AC166</f>
        <v/>
      </c>
      <c r="BH166" s="122">
        <f>BB166+BD166+BF166</f>
        <v/>
      </c>
      <c r="BI166" s="122">
        <f>BC166+BE166+BG166</f>
        <v/>
      </c>
      <c r="BJ166" s="324">
        <f>BL166+BS166+BV166+BY166+CB166+CE166+CH166+CK166</f>
        <v/>
      </c>
      <c r="BK166" s="320">
        <f>((AI166+AW166)*AB166)+((AJ166+AK166+AX166+AY166)*AC166)</f>
        <v/>
      </c>
      <c r="BL166" s="132">
        <f>BM166+BN166+AL166</f>
        <v/>
      </c>
      <c r="BM166" s="133" t="n"/>
      <c r="BN166" s="133" t="n"/>
      <c r="BO166" s="320" t="n"/>
      <c r="BP166" s="320" t="n"/>
      <c r="BQ166" s="320" t="n"/>
      <c r="BR166" s="320" t="n"/>
      <c r="BS166" s="124" t="n"/>
      <c r="BT166" s="320" t="n"/>
      <c r="BU166" s="320">
        <f>BS166*BT166</f>
        <v/>
      </c>
      <c r="BV166" s="124" t="n"/>
      <c r="BW166" s="320" t="n"/>
      <c r="BX166" s="320" t="n"/>
      <c r="BY166" s="124" t="n"/>
      <c r="BZ166" s="320" t="n"/>
      <c r="CA166" s="124">
        <f>BY166*BZ166</f>
        <v/>
      </c>
      <c r="CB166" s="124" t="n"/>
      <c r="CC166" s="320" t="n"/>
      <c r="CD166" s="124" t="n"/>
      <c r="CE166" s="124" t="n"/>
      <c r="CF166" s="320" t="n"/>
      <c r="CG166" s="124" t="n"/>
      <c r="CH166" s="124" t="n"/>
      <c r="CI166" s="320" t="n"/>
      <c r="CJ166" s="124" t="n"/>
      <c r="CK166" s="124" t="n"/>
      <c r="CL166" s="320" t="n"/>
      <c r="CM166" s="124" t="n"/>
      <c r="CN166" s="320">
        <f>BK166+BU166+BX166+CA166+CD166+CG166+CJ166+CM166</f>
        <v/>
      </c>
      <c r="CO166" s="122" t="n">
        <v>0</v>
      </c>
      <c r="CP166" s="320">
        <f>CR166*G166</f>
        <v/>
      </c>
      <c r="CQ166" s="124">
        <f>AL166+AZ166+AQ166</f>
        <v/>
      </c>
      <c r="CR166" s="159">
        <f>AV166-AZ166-BS166-BV166-BY166-CB166</f>
        <v/>
      </c>
      <c r="CS166" s="155" t="n"/>
      <c r="CT166" s="155" t="n"/>
      <c r="CU166" s="177" t="n"/>
      <c r="CV166" s="177" t="n"/>
      <c r="CW166" s="325" t="n"/>
    </row>
    <row r="167" ht="19.9" customFormat="1" customHeight="1" s="67">
      <c r="A167" s="233" t="n"/>
      <c r="B167" s="66" t="n"/>
      <c r="C167" s="233" t="inlineStr">
        <is>
          <t>Pousada Imperial</t>
        </is>
      </c>
      <c r="D167" s="140" t="inlineStr">
        <is>
          <t>PIRENÓPOLIS GO</t>
        </is>
      </c>
      <c r="E167" s="140" t="n"/>
      <c r="F167" s="122" t="n">
        <v>2921</v>
      </c>
      <c r="G167" s="320" t="n">
        <v>0.86</v>
      </c>
      <c r="H167" s="124">
        <f>F167*G167</f>
        <v/>
      </c>
      <c r="I167" s="121" t="n"/>
      <c r="J167" s="125" t="inlineStr">
        <is>
          <t>10 MICRO DEYE 2.000W</t>
        </is>
      </c>
      <c r="K167" s="65" t="inlineStr">
        <is>
          <t xml:space="preserve">40 de 560W </t>
        </is>
      </c>
      <c r="L167" s="121" t="n"/>
      <c r="M167" s="126" t="inlineStr">
        <is>
          <t>Julho/2023</t>
        </is>
      </c>
      <c r="N167" s="126" t="inlineStr">
        <is>
          <t>15/06/2023 a 15/07/2023</t>
        </is>
      </c>
      <c r="O167" s="321" t="n"/>
      <c r="P167" s="321" t="n"/>
      <c r="Q167" s="321" t="n"/>
      <c r="R167" s="207" t="n"/>
      <c r="S167" s="321" t="n"/>
      <c r="T167" s="321" t="n"/>
      <c r="U167" s="321" t="n"/>
      <c r="V167" s="321" t="n"/>
      <c r="W167" s="321" t="n"/>
      <c r="X167" s="321" t="n"/>
      <c r="Y167" s="321" t="n"/>
      <c r="Z167" s="321" t="n"/>
      <c r="AA167" s="321" t="n"/>
      <c r="AB167" s="322" t="n">
        <v>0.835099</v>
      </c>
      <c r="AC167" s="322" t="n">
        <v>0.835099</v>
      </c>
      <c r="AD167" s="124" t="n"/>
      <c r="AE167" s="124" t="n"/>
      <c r="AF167" s="124" t="n"/>
      <c r="AG167" s="124" t="n"/>
      <c r="AH167" s="124" t="n"/>
      <c r="AI167" s="124">
        <f>AD167-AS167</f>
        <v/>
      </c>
      <c r="AJ167" s="124">
        <f>AE167-AT167</f>
        <v/>
      </c>
      <c r="AK167" s="124">
        <f>AF167-AU167</f>
        <v/>
      </c>
      <c r="AL167" s="210">
        <f>SUM(AI167:AK167)</f>
        <v/>
      </c>
      <c r="AM167" s="337">
        <f>(AI167*AB167)+((AJ167+AK167)*AC167)</f>
        <v/>
      </c>
      <c r="AN167" s="143" t="n">
        <v>0</v>
      </c>
      <c r="AO167" s="143" t="n">
        <v>2280</v>
      </c>
      <c r="AP167" s="143" t="n">
        <v>0</v>
      </c>
      <c r="AQ167" s="124">
        <f>SUM(AN167:AP167)</f>
        <v/>
      </c>
      <c r="AR167" s="321">
        <f>(AN167*AB167)+((AO167+AP167)*AC167)</f>
        <v/>
      </c>
      <c r="AS167" s="143" t="n">
        <v>0</v>
      </c>
      <c r="AT167" s="143" t="n">
        <v>0</v>
      </c>
      <c r="AU167" s="143" t="n">
        <v>0</v>
      </c>
      <c r="AV167" s="143">
        <f>SUM(AS167:AU167)</f>
        <v/>
      </c>
      <c r="AW167" s="143" t="n">
        <v>0</v>
      </c>
      <c r="AX167" s="143" t="n">
        <v>0</v>
      </c>
      <c r="AY167" s="143" t="n">
        <v>0</v>
      </c>
      <c r="AZ167" s="143">
        <f>SUM(AW167:AY167)</f>
        <v/>
      </c>
      <c r="BA167" s="335">
        <f>(AW167*AB167)+((AX167+AY167)*AC167)</f>
        <v/>
      </c>
      <c r="BB167" s="141">
        <f>AN167-AW167</f>
        <v/>
      </c>
      <c r="BC167" s="141">
        <f>BB167*AB167</f>
        <v/>
      </c>
      <c r="BD167" s="141">
        <f>AO167-AX167</f>
        <v/>
      </c>
      <c r="BE167" s="141">
        <f>BD167*AC167</f>
        <v/>
      </c>
      <c r="BF167" s="141">
        <f>AP167-AY167</f>
        <v/>
      </c>
      <c r="BG167" s="141">
        <f>BF167*AC167</f>
        <v/>
      </c>
      <c r="BH167" s="141">
        <f>BB167+BD167+BF167</f>
        <v/>
      </c>
      <c r="BI167" s="141">
        <f>BC167+BE167+BG167</f>
        <v/>
      </c>
      <c r="BJ167" s="324">
        <f>BL167+BS167+BV167+BY167+CB167+CE167+CH167+CK167</f>
        <v/>
      </c>
      <c r="BK167" s="320">
        <f>((AI167+AW167)*AB167)+((AJ167+AK167+AX167+AY167)*AC167)</f>
        <v/>
      </c>
      <c r="BL167" s="132">
        <f>BM167+BN167+AL167</f>
        <v/>
      </c>
      <c r="BM167" s="133" t="n"/>
      <c r="BN167" s="133" t="n"/>
      <c r="BO167" s="334" t="n"/>
      <c r="BP167" s="334" t="n"/>
      <c r="BQ167" s="334" t="n"/>
      <c r="BR167" s="334" t="n"/>
      <c r="BS167" s="143" t="n"/>
      <c r="BT167" s="334" t="n"/>
      <c r="BU167" s="320">
        <f>BS167*BT167</f>
        <v/>
      </c>
      <c r="BV167" s="143" t="n"/>
      <c r="BW167" s="334" t="n"/>
      <c r="BX167" s="334" t="n"/>
      <c r="BY167" s="143" t="n"/>
      <c r="BZ167" s="334" t="n"/>
      <c r="CA167" s="124">
        <f>BY167*BZ167</f>
        <v/>
      </c>
      <c r="CB167" s="143" t="n"/>
      <c r="CC167" s="334" t="n"/>
      <c r="CD167" s="143" t="n"/>
      <c r="CE167" s="143" t="n"/>
      <c r="CF167" s="334" t="n"/>
      <c r="CG167" s="143" t="n"/>
      <c r="CH167" s="143" t="n"/>
      <c r="CI167" s="334" t="n"/>
      <c r="CJ167" s="143" t="n"/>
      <c r="CK167" s="143" t="n"/>
      <c r="CL167" s="334" t="n"/>
      <c r="CM167" s="143" t="n"/>
      <c r="CN167" s="320">
        <f>BK167+BU167+BX167+CA167+CD167+CG167+CJ167+CM167</f>
        <v/>
      </c>
      <c r="CO167" s="141" t="n">
        <v>0</v>
      </c>
      <c r="CP167" s="320">
        <f>CR167*G167</f>
        <v/>
      </c>
      <c r="CQ167" s="124">
        <f>AL167+AZ167+AQ167</f>
        <v/>
      </c>
      <c r="CR167" s="159">
        <f>AV167-AZ167-BS167-BV167-BY167-CB167</f>
        <v/>
      </c>
      <c r="CS167" s="155" t="n"/>
      <c r="CT167" s="155" t="n"/>
      <c r="CU167" s="177" t="n"/>
      <c r="CV167" s="177" t="n"/>
      <c r="CW167" s="325" t="n"/>
    </row>
    <row r="168" ht="19.9" customFormat="1" customHeight="1" s="67">
      <c r="A168" s="120" t="n"/>
      <c r="B168" s="65" t="n"/>
      <c r="C168" s="120" t="inlineStr">
        <is>
          <t>Pousada Imperial</t>
        </is>
      </c>
      <c r="D168" s="121" t="inlineStr">
        <is>
          <t>PIRENÓPOLIS GO</t>
        </is>
      </c>
      <c r="E168" s="121" t="n"/>
      <c r="F168" s="141" t="n">
        <v>2921</v>
      </c>
      <c r="G168" s="334" t="n">
        <v>0.86</v>
      </c>
      <c r="H168" s="143">
        <f>F168*G168</f>
        <v/>
      </c>
      <c r="I168" s="140" t="n"/>
      <c r="J168" s="144" t="inlineStr">
        <is>
          <t>10 MICRO DEYE 2.000W</t>
        </is>
      </c>
      <c r="K168" s="66" t="inlineStr">
        <is>
          <t xml:space="preserve">40 de 560W </t>
        </is>
      </c>
      <c r="L168" s="140" t="n"/>
      <c r="M168" s="145" t="inlineStr">
        <is>
          <t>Agosto/2023</t>
        </is>
      </c>
      <c r="N168" s="145" t="inlineStr">
        <is>
          <t>15/07/2023 a 15/08/2023</t>
        </is>
      </c>
      <c r="O168" s="331" t="n"/>
      <c r="P168" s="331" t="n"/>
      <c r="Q168" s="331" t="n"/>
      <c r="R168" s="147" t="n"/>
      <c r="S168" s="331" t="n"/>
      <c r="T168" s="331" t="n"/>
      <c r="U168" s="331" t="n"/>
      <c r="V168" s="331" t="n"/>
      <c r="W168" s="331" t="n"/>
      <c r="X168" s="331" t="n"/>
      <c r="Y168" s="331" t="n"/>
      <c r="Z168" s="331" t="n"/>
      <c r="AA168" s="331" t="n"/>
      <c r="AB168" s="332" t="n">
        <v>0.844714</v>
      </c>
      <c r="AC168" s="332" t="n">
        <v>0.844714</v>
      </c>
      <c r="AD168" s="143" t="n"/>
      <c r="AE168" s="173" t="n"/>
      <c r="AF168" s="143" t="n"/>
      <c r="AG168" s="143" t="n"/>
      <c r="AH168" s="143" t="n"/>
      <c r="AI168" s="143">
        <f>AD168-AS168</f>
        <v/>
      </c>
      <c r="AJ168" s="143">
        <f>AE168-AT168</f>
        <v/>
      </c>
      <c r="AK168" s="143">
        <f>AF168-AU168</f>
        <v/>
      </c>
      <c r="AL168" s="208">
        <f>SUM(AI168:AK168)</f>
        <v/>
      </c>
      <c r="AM168" s="336">
        <f>(AI168*AB168)+((AJ168+AK168)*AC168)</f>
        <v/>
      </c>
      <c r="AN168" s="124" t="n">
        <v>0</v>
      </c>
      <c r="AO168" s="124" t="n">
        <v>3675</v>
      </c>
      <c r="AP168" s="124" t="n">
        <v>0</v>
      </c>
      <c r="AQ168" s="143">
        <f>SUM(AN168:AP168)</f>
        <v/>
      </c>
      <c r="AR168" s="331">
        <f>(AN168*AB168)+((AO168+AP168)*AC168)</f>
        <v/>
      </c>
      <c r="AS168" s="124" t="n">
        <v>0</v>
      </c>
      <c r="AT168" s="124" t="n">
        <v>0</v>
      </c>
      <c r="AU168" s="124" t="n">
        <v>0</v>
      </c>
      <c r="AV168" s="124">
        <f>SUM(AS168:AU168)</f>
        <v/>
      </c>
      <c r="AW168" s="124" t="n">
        <v>0</v>
      </c>
      <c r="AX168" s="124" t="n">
        <v>0</v>
      </c>
      <c r="AY168" s="124" t="n">
        <v>0</v>
      </c>
      <c r="AZ168" s="124">
        <f>SUM(AW168:AY168)</f>
        <v/>
      </c>
      <c r="BA168" s="335">
        <f>(AW168*AB168)+((AX168+AY168)*AC168)</f>
        <v/>
      </c>
      <c r="BB168" s="122">
        <f>AN168-AW168</f>
        <v/>
      </c>
      <c r="BC168" s="141">
        <f>BB168*AB168</f>
        <v/>
      </c>
      <c r="BD168" s="122">
        <f>AO168-AX168</f>
        <v/>
      </c>
      <c r="BE168" s="122">
        <f>BD168*AC168</f>
        <v/>
      </c>
      <c r="BF168" s="122">
        <f>AP168-AY168</f>
        <v/>
      </c>
      <c r="BG168" s="122">
        <f>BF168*AC168</f>
        <v/>
      </c>
      <c r="BH168" s="122">
        <f>BB168+BD168+BF168</f>
        <v/>
      </c>
      <c r="BI168" s="122">
        <f>BC168+BE168+BG168</f>
        <v/>
      </c>
      <c r="BJ168" s="324">
        <f>BL168+BS168+BV168+BY168+CB168+CE168+CH168+CK168</f>
        <v/>
      </c>
      <c r="BK168" s="320">
        <f>((AI168+AW168)*AB168)+((AJ168+AK168+AX168+AY168)*AC168)</f>
        <v/>
      </c>
      <c r="BL168" s="132">
        <f>BM168+BN168+AL168</f>
        <v/>
      </c>
      <c r="BM168" s="133" t="n"/>
      <c r="BN168" s="133" t="n"/>
      <c r="BO168" s="320" t="n"/>
      <c r="BP168" s="320" t="n"/>
      <c r="BQ168" s="320" t="n"/>
      <c r="BR168" s="320" t="n"/>
      <c r="BS168" s="124" t="n"/>
      <c r="BT168" s="320" t="n"/>
      <c r="BU168" s="320">
        <f>BS168*BT168</f>
        <v/>
      </c>
      <c r="BV168" s="124" t="n"/>
      <c r="BW168" s="320" t="n"/>
      <c r="BX168" s="320" t="n"/>
      <c r="BY168" s="124" t="n"/>
      <c r="BZ168" s="320" t="n"/>
      <c r="CA168" s="124">
        <f>BY168*BZ168</f>
        <v/>
      </c>
      <c r="CB168" s="124" t="n"/>
      <c r="CC168" s="320" t="n"/>
      <c r="CD168" s="124" t="n"/>
      <c r="CE168" s="124" t="n"/>
      <c r="CF168" s="320" t="n"/>
      <c r="CG168" s="124" t="n"/>
      <c r="CH168" s="124" t="n"/>
      <c r="CI168" s="320" t="n"/>
      <c r="CJ168" s="124" t="n"/>
      <c r="CK168" s="124" t="n"/>
      <c r="CL168" s="320" t="n"/>
      <c r="CM168" s="124" t="n"/>
      <c r="CN168" s="320">
        <f>BK168+BU168+BX168+CA168+CD168+CG168+CJ168+CM168</f>
        <v/>
      </c>
      <c r="CO168" s="122" t="n">
        <v>0</v>
      </c>
      <c r="CP168" s="320">
        <f>CR168*G168</f>
        <v/>
      </c>
      <c r="CQ168" s="124">
        <f>AL168+AZ168+AQ168</f>
        <v/>
      </c>
      <c r="CR168" s="159">
        <f>AV168-AZ168-BS168-BV168-BY168-CB168</f>
        <v/>
      </c>
      <c r="CS168" s="155" t="n"/>
      <c r="CT168" s="155" t="n"/>
      <c r="CU168" s="177" t="n"/>
      <c r="CV168" s="177" t="n"/>
      <c r="CW168" s="325" t="n"/>
    </row>
    <row r="169" ht="19.9" customFormat="1" customHeight="1" s="67">
      <c r="A169" s="139" t="n"/>
      <c r="B169" s="66" t="n"/>
      <c r="C169" s="139" t="inlineStr">
        <is>
          <t>Pousada Imperial</t>
        </is>
      </c>
      <c r="D169" s="140" t="inlineStr">
        <is>
          <t>PIRENÓPOLIS GO</t>
        </is>
      </c>
      <c r="E169" s="140" t="n"/>
      <c r="F169" s="122" t="n">
        <v>2921</v>
      </c>
      <c r="G169" s="320" t="n">
        <v>0.86</v>
      </c>
      <c r="H169" s="124">
        <f>F169*G169</f>
        <v/>
      </c>
      <c r="I169" s="121" t="n"/>
      <c r="J169" s="125" t="inlineStr">
        <is>
          <t>10 MICRO DEYE 2.000W</t>
        </is>
      </c>
      <c r="K169" s="65" t="inlineStr">
        <is>
          <t xml:space="preserve">40 de 560W </t>
        </is>
      </c>
      <c r="L169" s="121" t="n"/>
      <c r="M169" s="126" t="inlineStr">
        <is>
          <t>Setembro/2023</t>
        </is>
      </c>
      <c r="N169" s="126" t="inlineStr">
        <is>
          <t>15/08/2023 a 14/09/2023</t>
        </is>
      </c>
      <c r="O169" s="321" t="n"/>
      <c r="P169" s="321" t="n"/>
      <c r="Q169" s="321" t="n"/>
      <c r="R169" s="207" t="n"/>
      <c r="S169" s="321" t="n"/>
      <c r="T169" s="321" t="n"/>
      <c r="U169" s="321" t="n"/>
      <c r="V169" s="321" t="n"/>
      <c r="W169" s="321" t="n"/>
      <c r="X169" s="321" t="n"/>
      <c r="Y169" s="321" t="n"/>
      <c r="Z169" s="321" t="n"/>
      <c r="AA169" s="321" t="n"/>
      <c r="AB169" s="322" t="n">
        <v>0.822137</v>
      </c>
      <c r="AC169" s="322" t="n">
        <v>0.822137</v>
      </c>
      <c r="AD169" s="124" t="n"/>
      <c r="AE169" s="124" t="n"/>
      <c r="AF169" s="124" t="n"/>
      <c r="AG169" s="124" t="n"/>
      <c r="AH169" s="124" t="n"/>
      <c r="AI169" s="124">
        <f>AD169-AS169</f>
        <v/>
      </c>
      <c r="AJ169" s="124">
        <f>AE169-AT169</f>
        <v/>
      </c>
      <c r="AK169" s="124">
        <f>AF169-AU169</f>
        <v/>
      </c>
      <c r="AL169" s="210">
        <f>SUM(AI169:AK169)</f>
        <v/>
      </c>
      <c r="AM169" s="337">
        <f>(AI169*AB169)+((AJ169+AK169)*AC169)</f>
        <v/>
      </c>
      <c r="AN169" s="143" t="n">
        <v>0</v>
      </c>
      <c r="AO169" s="143" t="n">
        <v>1764</v>
      </c>
      <c r="AP169" s="143" t="n">
        <v>0</v>
      </c>
      <c r="AQ169" s="124">
        <f>SUM(AN169:AP169)</f>
        <v/>
      </c>
      <c r="AR169" s="321">
        <f>(AN169*AB169)+((AO169+AP169)*AC169)</f>
        <v/>
      </c>
      <c r="AS169" s="143" t="n">
        <v>0</v>
      </c>
      <c r="AT169" s="143" t="n">
        <v>0</v>
      </c>
      <c r="AU169" s="143" t="n">
        <v>0</v>
      </c>
      <c r="AV169" s="143">
        <f>SUM(AS169:AU169)</f>
        <v/>
      </c>
      <c r="AW169" s="143" t="n">
        <v>0</v>
      </c>
      <c r="AX169" s="143" t="n">
        <v>0</v>
      </c>
      <c r="AY169" s="143" t="n">
        <v>0</v>
      </c>
      <c r="AZ169" s="143">
        <f>SUM(AW169:AY169)</f>
        <v/>
      </c>
      <c r="BA169" s="335">
        <f>(AW169*AB169)+((AX169+AY169)*AC169)</f>
        <v/>
      </c>
      <c r="BB169" s="141">
        <f>AN169-AW169</f>
        <v/>
      </c>
      <c r="BC169" s="141">
        <f>BB169*AB169</f>
        <v/>
      </c>
      <c r="BD169" s="141">
        <f>AO169-AX169</f>
        <v/>
      </c>
      <c r="BE169" s="141">
        <f>BD169*AC169</f>
        <v/>
      </c>
      <c r="BF169" s="141">
        <f>AP169-AY169</f>
        <v/>
      </c>
      <c r="BG169" s="141">
        <f>BF169*AC169</f>
        <v/>
      </c>
      <c r="BH169" s="141">
        <f>BB169+BD169+BF169</f>
        <v/>
      </c>
      <c r="BI169" s="141">
        <f>BC169+BE169+BG169</f>
        <v/>
      </c>
      <c r="BJ169" s="324">
        <f>BL169+BS169+BV169+BY169+CB169+CE169+CH169+CK169</f>
        <v/>
      </c>
      <c r="BK169" s="320">
        <f>((AI169+AW169)*AB169)+((AJ169+AK169+AX169+AY169)*AC169)</f>
        <v/>
      </c>
      <c r="BL169" s="132">
        <f>BM169+BN169+AL169</f>
        <v/>
      </c>
      <c r="BM169" s="133" t="n"/>
      <c r="BN169" s="133" t="n"/>
      <c r="BO169" s="334" t="n"/>
      <c r="BP169" s="334" t="n"/>
      <c r="BQ169" s="334" t="n"/>
      <c r="BR169" s="334" t="n"/>
      <c r="BS169" s="143" t="n"/>
      <c r="BT169" s="334" t="n"/>
      <c r="BU169" s="320">
        <f>BS169*BT169</f>
        <v/>
      </c>
      <c r="BV169" s="143" t="n"/>
      <c r="BW169" s="334" t="n"/>
      <c r="BX169" s="334" t="n"/>
      <c r="BY169" s="143" t="n"/>
      <c r="BZ169" s="334" t="n"/>
      <c r="CA169" s="124">
        <f>BY169*BZ169</f>
        <v/>
      </c>
      <c r="CB169" s="143" t="n"/>
      <c r="CC169" s="334" t="n"/>
      <c r="CD169" s="143" t="n"/>
      <c r="CE169" s="143" t="n"/>
      <c r="CF169" s="334" t="n"/>
      <c r="CG169" s="143" t="n"/>
      <c r="CH169" s="143" t="n"/>
      <c r="CI169" s="334" t="n"/>
      <c r="CJ169" s="143" t="n"/>
      <c r="CK169" s="143" t="n"/>
      <c r="CL169" s="334" t="n"/>
      <c r="CM169" s="143" t="n"/>
      <c r="CN169" s="320">
        <f>BK169+BU169+BX169+CA169+CD169+CG169+CJ169+CM169</f>
        <v/>
      </c>
      <c r="CO169" s="141" t="n">
        <v>0</v>
      </c>
      <c r="CP169" s="320">
        <f>CR169*G169</f>
        <v/>
      </c>
      <c r="CQ169" s="124">
        <f>AL169+AZ169+AQ169</f>
        <v/>
      </c>
      <c r="CR169" s="159">
        <f>AV169-AZ169-BS169-BV169-BY169-CB169</f>
        <v/>
      </c>
      <c r="CS169" s="155" t="n"/>
      <c r="CT169" s="155" t="n"/>
      <c r="CU169" s="177" t="n"/>
      <c r="CV169" s="177" t="n"/>
      <c r="CW169" s="325" t="n"/>
    </row>
    <row r="170" ht="19.9" customFormat="1" customHeight="1" s="67">
      <c r="A170" s="120" t="n"/>
      <c r="B170" s="65" t="n"/>
      <c r="C170" s="120" t="inlineStr">
        <is>
          <t>Pousada Imperial</t>
        </is>
      </c>
      <c r="D170" s="121" t="inlineStr">
        <is>
          <t>PIRENÓPOLIS GO</t>
        </is>
      </c>
      <c r="E170" s="121" t="n"/>
      <c r="F170" s="141" t="n">
        <v>2921</v>
      </c>
      <c r="G170" s="334" t="n">
        <v>0.86</v>
      </c>
      <c r="H170" s="143">
        <f>F170*G170</f>
        <v/>
      </c>
      <c r="I170" s="140" t="n"/>
      <c r="J170" s="144" t="inlineStr">
        <is>
          <t>10 MICRO DEYE 2.000W</t>
        </is>
      </c>
      <c r="K170" s="66" t="inlineStr">
        <is>
          <t xml:space="preserve">40 de 560W </t>
        </is>
      </c>
      <c r="L170" s="140" t="n"/>
      <c r="M170" s="145" t="inlineStr">
        <is>
          <t>Outubro/2023</t>
        </is>
      </c>
      <c r="N170" s="145" t="inlineStr">
        <is>
          <t>14/09/2023 a 16/10/2023</t>
        </is>
      </c>
      <c r="O170" s="331" t="n"/>
      <c r="P170" s="331" t="n"/>
      <c r="Q170" s="331" t="n"/>
      <c r="R170" s="147" t="n"/>
      <c r="S170" s="331" t="n"/>
      <c r="T170" s="331" t="n"/>
      <c r="U170" s="331" t="n"/>
      <c r="V170" s="331" t="n"/>
      <c r="W170" s="331" t="n"/>
      <c r="X170" s="331" t="n"/>
      <c r="Y170" s="331" t="n"/>
      <c r="Z170" s="331" t="n"/>
      <c r="AA170" s="331" t="n"/>
      <c r="AB170" s="332" t="n">
        <v>0.8394</v>
      </c>
      <c r="AC170" s="332" t="n">
        <v>0.8394</v>
      </c>
      <c r="AD170" s="143" t="n"/>
      <c r="AE170" s="173" t="n"/>
      <c r="AF170" s="143" t="n"/>
      <c r="AG170" s="143" t="n"/>
      <c r="AH170" s="143" t="n"/>
      <c r="AI170" s="143">
        <f>AD170-AS170</f>
        <v/>
      </c>
      <c r="AJ170" s="143">
        <f>AE170-AT170</f>
        <v/>
      </c>
      <c r="AK170" s="143">
        <f>AF170-AU170</f>
        <v/>
      </c>
      <c r="AL170" s="208">
        <f>SUM(AI170:AK170)</f>
        <v/>
      </c>
      <c r="AM170" s="336">
        <f>(AI170*AB170)+((AJ170+AK170)*AC170)</f>
        <v/>
      </c>
      <c r="AN170" s="124" t="n">
        <v>0</v>
      </c>
      <c r="AO170" s="124" t="n">
        <v>2279</v>
      </c>
      <c r="AP170" s="124" t="n">
        <v>0</v>
      </c>
      <c r="AQ170" s="143">
        <f>SUM(AN170:AP170)</f>
        <v/>
      </c>
      <c r="AR170" s="331">
        <f>(AN170*AB170)+((AO170+AP170)*AC170)</f>
        <v/>
      </c>
      <c r="AS170" s="124" t="n">
        <v>0</v>
      </c>
      <c r="AT170" s="124" t="n">
        <v>0</v>
      </c>
      <c r="AU170" s="124" t="n">
        <v>0</v>
      </c>
      <c r="AV170" s="124">
        <f>SUM(AS170:AU170)</f>
        <v/>
      </c>
      <c r="AW170" s="124" t="n">
        <v>0</v>
      </c>
      <c r="AX170" s="124" t="n">
        <v>0</v>
      </c>
      <c r="AY170" s="124" t="n">
        <v>0</v>
      </c>
      <c r="AZ170" s="124">
        <f>SUM(AW170:AY170)</f>
        <v/>
      </c>
      <c r="BA170" s="335">
        <f>(AW170*AB170)+((AX170+AY170)*AC170)</f>
        <v/>
      </c>
      <c r="BB170" s="122">
        <f>AN170-AW170</f>
        <v/>
      </c>
      <c r="BC170" s="141">
        <f>BB170*AB170</f>
        <v/>
      </c>
      <c r="BD170" s="122">
        <f>AO170-AX170</f>
        <v/>
      </c>
      <c r="BE170" s="122">
        <f>BD170*AC170</f>
        <v/>
      </c>
      <c r="BF170" s="122">
        <f>AP170-AY170</f>
        <v/>
      </c>
      <c r="BG170" s="122">
        <f>BF170*AC170</f>
        <v/>
      </c>
      <c r="BH170" s="122">
        <f>BB170+BD170+BF170</f>
        <v/>
      </c>
      <c r="BI170" s="122">
        <f>BC170+BE170+BG170</f>
        <v/>
      </c>
      <c r="BJ170" s="324">
        <f>BL170+BS170+BV170+BY170+CB170+CE170+CH170+CK170</f>
        <v/>
      </c>
      <c r="BK170" s="320">
        <f>((AI170+AW170)*AB170)+((AJ170+AK170+AX170+AY170)*AC170)</f>
        <v/>
      </c>
      <c r="BL170" s="132">
        <f>BM170+BN170+AL170</f>
        <v/>
      </c>
      <c r="BM170" s="133" t="n"/>
      <c r="BN170" s="133" t="n"/>
      <c r="BO170" s="320" t="n"/>
      <c r="BP170" s="320" t="n"/>
      <c r="BQ170" s="320" t="n"/>
      <c r="BR170" s="320" t="n"/>
      <c r="BS170" s="124" t="n"/>
      <c r="BT170" s="320" t="n"/>
      <c r="BU170" s="320">
        <f>BS170*BT170</f>
        <v/>
      </c>
      <c r="BV170" s="124" t="n"/>
      <c r="BW170" s="320" t="n"/>
      <c r="BX170" s="320" t="n"/>
      <c r="BY170" s="124" t="n"/>
      <c r="BZ170" s="320" t="n"/>
      <c r="CA170" s="124">
        <f>BY170*BZ170</f>
        <v/>
      </c>
      <c r="CB170" s="124" t="n"/>
      <c r="CC170" s="320" t="n"/>
      <c r="CD170" s="124" t="n"/>
      <c r="CE170" s="124" t="n"/>
      <c r="CF170" s="320" t="n"/>
      <c r="CG170" s="124" t="n"/>
      <c r="CH170" s="124" t="n"/>
      <c r="CI170" s="320" t="n"/>
      <c r="CJ170" s="124" t="n"/>
      <c r="CK170" s="124" t="n"/>
      <c r="CL170" s="320" t="n"/>
      <c r="CM170" s="124" t="n"/>
      <c r="CN170" s="320">
        <f>BK170+BU170+BX170+CA170+CD170+CG170+CJ170+CM170</f>
        <v/>
      </c>
      <c r="CO170" s="122" t="n">
        <v>0</v>
      </c>
      <c r="CP170" s="320">
        <f>CR170*G170</f>
        <v/>
      </c>
      <c r="CQ170" s="124">
        <f>AL170+AZ170+AQ170</f>
        <v/>
      </c>
      <c r="CR170" s="159">
        <f>AV170-AZ170-BS170-BV170-BY170-CB170</f>
        <v/>
      </c>
      <c r="CS170" s="155" t="n"/>
      <c r="CT170" s="155" t="n"/>
      <c r="CU170" s="177" t="n"/>
      <c r="CV170" s="177" t="n"/>
      <c r="CW170" s="325" t="n"/>
    </row>
    <row r="171" ht="19.9" customFormat="1" customHeight="1" s="67">
      <c r="A171" s="233" t="n"/>
      <c r="B171" s="66" t="n"/>
      <c r="C171" s="233" t="inlineStr">
        <is>
          <t>Pousada Imperial</t>
        </is>
      </c>
      <c r="D171" s="140" t="inlineStr">
        <is>
          <t>PIRENÓPOLIS GO</t>
        </is>
      </c>
      <c r="E171" s="140" t="n"/>
      <c r="F171" s="122" t="n">
        <v>2921</v>
      </c>
      <c r="G171" s="320" t="n">
        <v>0.86</v>
      </c>
      <c r="H171" s="124">
        <f>F171*G171</f>
        <v/>
      </c>
      <c r="I171" s="121" t="n"/>
      <c r="J171" s="125" t="inlineStr">
        <is>
          <t>10 MICRO DEYE 2.000W</t>
        </is>
      </c>
      <c r="K171" s="65" t="inlineStr">
        <is>
          <t xml:space="preserve">40 de 560W </t>
        </is>
      </c>
      <c r="L171" s="121" t="n"/>
      <c r="M171" s="126" t="inlineStr">
        <is>
          <t>Novembro/2023</t>
        </is>
      </c>
      <c r="N171" s="126" t="inlineStr">
        <is>
          <t>18/10/2023 a 16/11/2023</t>
        </is>
      </c>
      <c r="O171" s="321" t="n"/>
      <c r="P171" s="321" t="n"/>
      <c r="Q171" s="321" t="n"/>
      <c r="R171" s="207" t="n"/>
      <c r="S171" s="321" t="n"/>
      <c r="T171" s="321" t="n"/>
      <c r="U171" s="321" t="n"/>
      <c r="V171" s="321" t="n"/>
      <c r="W171" s="321" t="n"/>
      <c r="X171" s="321" t="n"/>
      <c r="Y171" s="321" t="n"/>
      <c r="Z171" s="321" t="n"/>
      <c r="AA171" s="321" t="n"/>
      <c r="AB171" s="322" t="n">
        <v>0.891501</v>
      </c>
      <c r="AC171" s="322" t="n">
        <v>0.891501</v>
      </c>
      <c r="AD171" s="124" t="n"/>
      <c r="AE171" s="124" t="n"/>
      <c r="AF171" s="124" t="n"/>
      <c r="AG171" s="124" t="n"/>
      <c r="AH171" s="124" t="n"/>
      <c r="AI171" s="124">
        <f>AD171-AS171</f>
        <v/>
      </c>
      <c r="AJ171" s="124">
        <f>AE171-AT171</f>
        <v/>
      </c>
      <c r="AK171" s="124">
        <f>AF171-AU171</f>
        <v/>
      </c>
      <c r="AL171" s="210">
        <f>SUM(AI171:AK171)</f>
        <v/>
      </c>
      <c r="AM171" s="337">
        <f>(AI171*AB171)+((AJ171+AK171)*AC171)</f>
        <v/>
      </c>
      <c r="AN171" s="143" t="n">
        <v>0</v>
      </c>
      <c r="AO171" s="143" t="n">
        <v>2133</v>
      </c>
      <c r="AP171" s="143" t="n">
        <v>0</v>
      </c>
      <c r="AQ171" s="124">
        <f>SUM(AN171:AP171)</f>
        <v/>
      </c>
      <c r="AR171" s="321">
        <f>(AN171*AB171)+((AO171+AP171)*AC171)</f>
        <v/>
      </c>
      <c r="AS171" s="143" t="n">
        <v>0</v>
      </c>
      <c r="AT171" s="143" t="n">
        <v>0</v>
      </c>
      <c r="AU171" s="143" t="n">
        <v>0</v>
      </c>
      <c r="AV171" s="143">
        <f>SUM(AS171:AU171)</f>
        <v/>
      </c>
      <c r="AW171" s="143" t="n">
        <v>0</v>
      </c>
      <c r="AX171" s="143" t="n">
        <v>0</v>
      </c>
      <c r="AY171" s="143" t="n">
        <v>0</v>
      </c>
      <c r="AZ171" s="143">
        <f>SUM(AW171:AY171)</f>
        <v/>
      </c>
      <c r="BA171" s="335">
        <f>(AW171*AB171)+((AX171+AY171)*AC171)</f>
        <v/>
      </c>
      <c r="BB171" s="141">
        <f>AN171-AW171</f>
        <v/>
      </c>
      <c r="BC171" s="141">
        <f>BB171*AB171</f>
        <v/>
      </c>
      <c r="BD171" s="141">
        <f>AO171-AX171</f>
        <v/>
      </c>
      <c r="BE171" s="141">
        <f>BD171*AC171</f>
        <v/>
      </c>
      <c r="BF171" s="141">
        <f>AP171-AY171</f>
        <v/>
      </c>
      <c r="BG171" s="141">
        <f>BF171*AC171</f>
        <v/>
      </c>
      <c r="BH171" s="141">
        <f>BB171+BD171+BF171</f>
        <v/>
      </c>
      <c r="BI171" s="141">
        <f>BC171+BE171+BG171</f>
        <v/>
      </c>
      <c r="BJ171" s="324">
        <f>BL171+BS171+BV171+BY171+CB171+CE171+CH171+CK171</f>
        <v/>
      </c>
      <c r="BK171" s="320">
        <f>((AI171+AW171)*AB171)+((AJ171+AK171+AX171+AY171)*AC171)</f>
        <v/>
      </c>
      <c r="BL171" s="132">
        <f>BM171+BN171+AL171</f>
        <v/>
      </c>
      <c r="BM171" s="133" t="n"/>
      <c r="BN171" s="133" t="n"/>
      <c r="BO171" s="334" t="n"/>
      <c r="BP171" s="334" t="n"/>
      <c r="BQ171" s="334" t="n"/>
      <c r="BR171" s="334" t="n"/>
      <c r="BS171" s="143" t="n"/>
      <c r="BT171" s="334" t="n"/>
      <c r="BU171" s="320">
        <f>BS171*BT171</f>
        <v/>
      </c>
      <c r="BV171" s="143" t="n"/>
      <c r="BW171" s="334" t="n"/>
      <c r="BX171" s="334" t="n"/>
      <c r="BY171" s="143" t="n"/>
      <c r="BZ171" s="334" t="n"/>
      <c r="CA171" s="124">
        <f>BY171*BZ171</f>
        <v/>
      </c>
      <c r="CB171" s="143" t="n"/>
      <c r="CC171" s="334" t="n"/>
      <c r="CD171" s="143" t="n"/>
      <c r="CE171" s="143" t="n"/>
      <c r="CF171" s="334" t="n"/>
      <c r="CG171" s="143" t="n"/>
      <c r="CH171" s="143" t="n"/>
      <c r="CI171" s="334" t="n"/>
      <c r="CJ171" s="143" t="n"/>
      <c r="CK171" s="143" t="n"/>
      <c r="CL171" s="334" t="n"/>
      <c r="CM171" s="143" t="n"/>
      <c r="CN171" s="320">
        <f>BK171+BU171+BX171+CA171+CD171+CG171+CJ171+CM171</f>
        <v/>
      </c>
      <c r="CO171" s="141" t="n">
        <v>0</v>
      </c>
      <c r="CP171" s="320">
        <f>CR171*G171</f>
        <v/>
      </c>
      <c r="CQ171" s="124">
        <f>AL171+AZ171+AQ171</f>
        <v/>
      </c>
      <c r="CR171" s="159">
        <f>AV171-AZ171-BS171-BV171-BY171-CB171</f>
        <v/>
      </c>
      <c r="CS171" s="155" t="n"/>
      <c r="CT171" s="155" t="n"/>
      <c r="CU171" s="177" t="n"/>
      <c r="CV171" s="177" t="n"/>
      <c r="CW171" s="325" t="n"/>
    </row>
    <row r="172" ht="19.9" customFormat="1" customHeight="1" s="67">
      <c r="A172" s="120" t="n"/>
      <c r="B172" s="65" t="n"/>
      <c r="C172" s="120" t="inlineStr">
        <is>
          <t>Pousada Imperial</t>
        </is>
      </c>
      <c r="D172" s="121" t="inlineStr">
        <is>
          <t>PIRENÓPOLIS GO</t>
        </is>
      </c>
      <c r="E172" s="121" t="n"/>
      <c r="F172" s="141" t="n">
        <v>2921</v>
      </c>
      <c r="G172" s="334" t="n">
        <v>0.86</v>
      </c>
      <c r="H172" s="143">
        <f>F172*G172</f>
        <v/>
      </c>
      <c r="I172" s="140" t="n"/>
      <c r="J172" s="144" t="inlineStr">
        <is>
          <t>10 MICRO DEYE 2.000W</t>
        </is>
      </c>
      <c r="K172" s="66" t="inlineStr">
        <is>
          <t xml:space="preserve">40 de 560W </t>
        </is>
      </c>
      <c r="L172" s="140" t="n"/>
      <c r="M172" s="145" t="inlineStr">
        <is>
          <t>Dezembro/2023</t>
        </is>
      </c>
      <c r="N172" s="145" t="inlineStr">
        <is>
          <t>16/11/2023  a 18/12/2023</t>
        </is>
      </c>
      <c r="O172" s="331" t="n"/>
      <c r="P172" s="331" t="n"/>
      <c r="Q172" s="331" t="n"/>
      <c r="R172" s="147" t="n"/>
      <c r="S172" s="331" t="n"/>
      <c r="T172" s="331" t="n"/>
      <c r="U172" s="331" t="n"/>
      <c r="V172" s="331" t="n"/>
      <c r="W172" s="331" t="n"/>
      <c r="X172" s="331" t="n"/>
      <c r="Y172" s="331" t="n"/>
      <c r="Z172" s="331" t="n"/>
      <c r="AA172" s="331" t="n"/>
      <c r="AB172" s="332" t="n">
        <v>0.905265</v>
      </c>
      <c r="AC172" s="332" t="n">
        <v>0.905265</v>
      </c>
      <c r="AD172" s="143" t="n"/>
      <c r="AE172" s="173" t="n"/>
      <c r="AF172" s="143" t="n"/>
      <c r="AG172" s="143" t="n"/>
      <c r="AH172" s="143" t="n"/>
      <c r="AI172" s="143">
        <f>AD172-AS172</f>
        <v/>
      </c>
      <c r="AJ172" s="143">
        <f>AE172-AT172</f>
        <v/>
      </c>
      <c r="AK172" s="143">
        <f>AF172-AU172</f>
        <v/>
      </c>
      <c r="AL172" s="208">
        <f>SUM(AI172:AK172)</f>
        <v/>
      </c>
      <c r="AM172" s="336">
        <f>(AI172*AB172)+((AJ172+AK172)*AC172)</f>
        <v/>
      </c>
      <c r="AN172" s="124" t="n">
        <v>0</v>
      </c>
      <c r="AO172" s="124" t="n">
        <v>4395</v>
      </c>
      <c r="AP172" s="124" t="n">
        <v>0</v>
      </c>
      <c r="AQ172" s="143">
        <f>SUM(AN172:AP172)</f>
        <v/>
      </c>
      <c r="AR172" s="331">
        <f>(AN172*AB172)+((AO172+AP172)*AC172)</f>
        <v/>
      </c>
      <c r="AS172" s="124" t="n">
        <v>0</v>
      </c>
      <c r="AT172" s="124" t="n">
        <v>0</v>
      </c>
      <c r="AU172" s="124" t="n">
        <v>0</v>
      </c>
      <c r="AV172" s="124">
        <f>SUM(AS172:AU172)</f>
        <v/>
      </c>
      <c r="AW172" s="124" t="n">
        <v>0</v>
      </c>
      <c r="AX172" s="124" t="n">
        <v>0</v>
      </c>
      <c r="AY172" s="124" t="n">
        <v>0</v>
      </c>
      <c r="AZ172" s="124">
        <f>SUM(AW172:AY172)</f>
        <v/>
      </c>
      <c r="BA172" s="335">
        <f>(AW172*AB172)+((AX172+AY172)*AC172)</f>
        <v/>
      </c>
      <c r="BB172" s="122">
        <f>AN172-AW172</f>
        <v/>
      </c>
      <c r="BC172" s="141">
        <f>BB172*AB172</f>
        <v/>
      </c>
      <c r="BD172" s="122">
        <f>AO172-AX172</f>
        <v/>
      </c>
      <c r="BE172" s="122">
        <f>BD172*AC172</f>
        <v/>
      </c>
      <c r="BF172" s="122">
        <f>AP172-AY172</f>
        <v/>
      </c>
      <c r="BG172" s="122">
        <f>BF172*AC172</f>
        <v/>
      </c>
      <c r="BH172" s="122">
        <f>BB172+BD172+BF172</f>
        <v/>
      </c>
      <c r="BI172" s="122">
        <f>BC172+BE172+BG172</f>
        <v/>
      </c>
      <c r="BJ172" s="324">
        <f>BL172+BS172+BV172+BY172+CB172+CE172+CH172+CK172</f>
        <v/>
      </c>
      <c r="BK172" s="320">
        <f>((AI172+AW172)*AB172)+((AJ172+AK172+AX172+AY172)*AC172)</f>
        <v/>
      </c>
      <c r="BL172" s="132">
        <f>BM172+BN172+AL172</f>
        <v/>
      </c>
      <c r="BM172" s="133" t="n"/>
      <c r="BN172" s="133" t="n"/>
      <c r="BO172" s="320" t="n"/>
      <c r="BP172" s="320" t="n"/>
      <c r="BQ172" s="320" t="n"/>
      <c r="BR172" s="320" t="n"/>
      <c r="BS172" s="124" t="n"/>
      <c r="BT172" s="320" t="n"/>
      <c r="BU172" s="320">
        <f>BS172*BT172</f>
        <v/>
      </c>
      <c r="BV172" s="124" t="n"/>
      <c r="BW172" s="320" t="n"/>
      <c r="BX172" s="320" t="n"/>
      <c r="BY172" s="124" t="n"/>
      <c r="BZ172" s="320" t="n"/>
      <c r="CA172" s="124">
        <f>BY172*BZ172</f>
        <v/>
      </c>
      <c r="CB172" s="124" t="n"/>
      <c r="CC172" s="320" t="n"/>
      <c r="CD172" s="124" t="n"/>
      <c r="CE172" s="124" t="n"/>
      <c r="CF172" s="320" t="n"/>
      <c r="CG172" s="124" t="n"/>
      <c r="CH172" s="124" t="n"/>
      <c r="CI172" s="320" t="n"/>
      <c r="CJ172" s="124" t="n"/>
      <c r="CK172" s="124" t="n"/>
      <c r="CL172" s="320" t="n"/>
      <c r="CM172" s="124" t="n"/>
      <c r="CN172" s="320">
        <f>BK172+BU172+BX172+CA172+CD172+CG172+CJ172+CM172</f>
        <v/>
      </c>
      <c r="CO172" s="122" t="n">
        <v>0</v>
      </c>
      <c r="CP172" s="320">
        <f>CR172*G172</f>
        <v/>
      </c>
      <c r="CQ172" s="124">
        <f>AL172+AZ172+AQ172</f>
        <v/>
      </c>
      <c r="CR172" s="159">
        <f>AV172-AZ172-BS172-BV172-BY172-CB172</f>
        <v/>
      </c>
      <c r="CS172" s="155" t="n"/>
      <c r="CT172" s="155" t="n"/>
      <c r="CU172" s="177" t="n"/>
      <c r="CV172" s="177" t="n"/>
      <c r="CW172" s="325" t="n"/>
    </row>
    <row r="173" ht="19.9" customFormat="1" customHeight="1" s="67">
      <c r="A173" s="233" t="n"/>
      <c r="B173" s="66" t="n">
        <v>10036862957</v>
      </c>
      <c r="C173" s="233" t="inlineStr">
        <is>
          <t>Fazenda Capoeirao</t>
        </is>
      </c>
      <c r="D173" s="140" t="inlineStr">
        <is>
          <t xml:space="preserve"> DAMOLANDIA</t>
        </is>
      </c>
      <c r="E173" s="246" t="inlineStr">
        <is>
          <t>Agosto/2023</t>
        </is>
      </c>
      <c r="F173" s="141" t="n">
        <v>16726</v>
      </c>
      <c r="G173" s="326" t="n">
        <v>0.77</v>
      </c>
      <c r="H173" s="173">
        <f>F173*G173</f>
        <v/>
      </c>
      <c r="I173" s="121" t="inlineStr">
        <is>
          <t>Novembro/2023</t>
        </is>
      </c>
      <c r="J173" s="125" t="inlineStr">
        <is>
          <t>1 SUNGROW 110KW</t>
        </is>
      </c>
      <c r="K173" s="65" t="inlineStr">
        <is>
          <t>222 de 665W</t>
        </is>
      </c>
      <c r="L173" s="121" t="n"/>
      <c r="M173" s="126" t="inlineStr">
        <is>
          <t>Dezembro/2023</t>
        </is>
      </c>
      <c r="N173" s="126" t="inlineStr">
        <is>
          <t>01/12/2023 a 01/01/2024</t>
        </is>
      </c>
      <c r="O173" s="321" t="n">
        <v>6047.92</v>
      </c>
      <c r="P173" s="321" t="n">
        <v>0</v>
      </c>
      <c r="Q173" s="321" t="n">
        <v>0</v>
      </c>
      <c r="R173" s="207" t="n"/>
      <c r="S173" s="321">
        <f>81.48+20.88</f>
        <v/>
      </c>
      <c r="T173" s="321" t="n">
        <v>0</v>
      </c>
      <c r="U173" s="321" t="n">
        <v>0</v>
      </c>
      <c r="V173" s="321" t="n">
        <v>0</v>
      </c>
      <c r="W173" s="321" t="n">
        <v>0</v>
      </c>
      <c r="X173" s="321" t="n">
        <v>0</v>
      </c>
      <c r="Y173" s="321" t="n">
        <v>0</v>
      </c>
      <c r="Z173" s="321" t="n">
        <v>0</v>
      </c>
      <c r="AA173" s="321" t="n"/>
      <c r="AB173" s="322" t="n">
        <v>0.8418846691810147</v>
      </c>
      <c r="AC173" s="322" t="n">
        <v>0.8418846691810147</v>
      </c>
      <c r="AD173" s="124" t="n">
        <v>39.45</v>
      </c>
      <c r="AE173" s="124">
        <f>9.92+17905.12</f>
        <v/>
      </c>
      <c r="AF173" s="124" t="n">
        <v>0</v>
      </c>
      <c r="AG173" s="124">
        <f>SUM(AD173:AF173)</f>
        <v/>
      </c>
      <c r="AH173" s="124">
        <f>(AD173*AB173)+((AE173+AF173)*AC173)</f>
        <v/>
      </c>
      <c r="AI173" s="124">
        <f>AD173-AS173</f>
        <v/>
      </c>
      <c r="AJ173" s="124">
        <f>AE173-AT173</f>
        <v/>
      </c>
      <c r="AK173" s="124">
        <f>AF173-AU173</f>
        <v/>
      </c>
      <c r="AL173" s="210">
        <f>SUM(AI173:AK173)</f>
        <v/>
      </c>
      <c r="AM173" s="337">
        <f>(AI173*AB173)+((AJ173+AK173)*AC173)</f>
        <v/>
      </c>
      <c r="AN173" s="124" t="n">
        <v>2815.34</v>
      </c>
      <c r="AO173" s="124" t="n">
        <v>10327.8</v>
      </c>
      <c r="AP173" s="124" t="n">
        <v>7169.4</v>
      </c>
      <c r="AQ173" s="143">
        <f>SUM(AN173:AP173)</f>
        <v/>
      </c>
      <c r="AR173" s="331">
        <f>(AN173*AB173)+((AO173+AP173)*AC173)</f>
        <v/>
      </c>
      <c r="AS173" s="124" t="n">
        <v>0</v>
      </c>
      <c r="AT173" s="124" t="n">
        <v>3570</v>
      </c>
      <c r="AU173" s="124" t="n">
        <v>0</v>
      </c>
      <c r="AV173" s="124">
        <f>SUM(AS173:AU173)</f>
        <v/>
      </c>
      <c r="AW173" s="124" t="n">
        <v>0</v>
      </c>
      <c r="AX173" s="124" t="n">
        <v>10227.8</v>
      </c>
      <c r="AY173" s="124" t="n">
        <v>3022.53</v>
      </c>
      <c r="AZ173" s="124">
        <f>SUM(AW173:AY173)</f>
        <v/>
      </c>
      <c r="BA173" s="335">
        <f>(AW173*AB173)+((AX173+AY173)*AC173)</f>
        <v/>
      </c>
      <c r="BB173" s="122">
        <f>AN173-AW173</f>
        <v/>
      </c>
      <c r="BC173" s="141">
        <f>BB173*AB173</f>
        <v/>
      </c>
      <c r="BD173" s="122">
        <f>AO173-AX173</f>
        <v/>
      </c>
      <c r="BE173" s="122">
        <f>BD173*AC173</f>
        <v/>
      </c>
      <c r="BF173" s="122">
        <f>AP173-AY173</f>
        <v/>
      </c>
      <c r="BG173" s="122">
        <f>BF173*AC173</f>
        <v/>
      </c>
      <c r="BH173" s="122">
        <f>BB173+BD173+BF173</f>
        <v/>
      </c>
      <c r="BI173" s="122">
        <f>BC173+BE173+BG173</f>
        <v/>
      </c>
      <c r="BJ173" s="324">
        <f>BL173+BS173+BV173+BY173+CB173+CE173+CH173+CK173</f>
        <v/>
      </c>
      <c r="BK173" s="320">
        <f>((AI173+AW173)*AB173)+((AJ173+AK173+AX173+AY173)*AC173)</f>
        <v/>
      </c>
      <c r="BL173" s="132">
        <f>BM173+BN173+AL173</f>
        <v/>
      </c>
      <c r="BM173" s="133">
        <f>AW173</f>
        <v/>
      </c>
      <c r="BN173" s="133">
        <f>AX173+AY173</f>
        <v/>
      </c>
      <c r="BO173" s="320" t="n"/>
      <c r="BP173" s="320" t="n"/>
      <c r="BQ173" s="320" t="n">
        <v>0</v>
      </c>
      <c r="BR173" s="320" t="n"/>
      <c r="BS173" s="124" t="n">
        <v>0</v>
      </c>
      <c r="BT173" s="320" t="n"/>
      <c r="BU173" s="320" t="n">
        <v>0</v>
      </c>
      <c r="BV173" s="124" t="n">
        <v>0</v>
      </c>
      <c r="BW173" s="320" t="n"/>
      <c r="BX173" s="320" t="n">
        <v>0</v>
      </c>
      <c r="BY173" s="124" t="n"/>
      <c r="BZ173" s="320" t="n"/>
      <c r="CA173" s="124">
        <f>BY173*BZ173</f>
        <v/>
      </c>
      <c r="CB173" s="124" t="n"/>
      <c r="CC173" s="320" t="n"/>
      <c r="CD173" s="124" t="n"/>
      <c r="CE173" s="124" t="n"/>
      <c r="CF173" s="320" t="n"/>
      <c r="CG173" s="124" t="n"/>
      <c r="CH173" s="124" t="n"/>
      <c r="CI173" s="320" t="n"/>
      <c r="CJ173" s="124" t="n"/>
      <c r="CK173" s="124" t="n"/>
      <c r="CL173" s="320" t="n"/>
      <c r="CM173" s="124" t="n"/>
      <c r="CN173" s="320">
        <f>BK173+BU173+BX173+CA173+CD173+CG173+CJ173+CM173</f>
        <v/>
      </c>
      <c r="CO173" s="122" t="n">
        <v>0</v>
      </c>
      <c r="CP173" s="320">
        <f>CR173*G173</f>
        <v/>
      </c>
      <c r="CQ173" s="124">
        <f>AL173+AZ173+AQ173</f>
        <v/>
      </c>
      <c r="CR173" s="159">
        <f>AV173-AZ173-BS173-BV173-BY173-CB173</f>
        <v/>
      </c>
      <c r="CS173" s="155" t="inlineStr">
        <is>
          <t>A economia estimada da proposta é de 18.424,22 kWh, e a economia gerada foi de 17.954,49 kWh, faltando 3% para atingir a meta de geração.</t>
        </is>
      </c>
      <c r="CT173" s="155" t="n"/>
      <c r="CU173" s="177" t="n"/>
      <c r="CV173" s="177" t="n"/>
      <c r="CW173" s="325" t="n"/>
    </row>
    <row r="174" ht="19.9" customFormat="1" customHeight="1" s="67">
      <c r="A174" s="120" t="n"/>
      <c r="B174" s="65" t="n">
        <v>10036862957</v>
      </c>
      <c r="C174" s="120" t="inlineStr">
        <is>
          <t>Fazenda Capoeirao</t>
        </is>
      </c>
      <c r="D174" s="121" t="inlineStr">
        <is>
          <t xml:space="preserve"> DAMOLANDIA</t>
        </is>
      </c>
      <c r="E174" s="125" t="inlineStr">
        <is>
          <t>Agosto/2023</t>
        </is>
      </c>
      <c r="F174" s="122" t="n">
        <v>16726</v>
      </c>
      <c r="G174" s="320" t="n">
        <v>0.77</v>
      </c>
      <c r="H174" s="124">
        <f>F174*G174</f>
        <v/>
      </c>
      <c r="I174" s="140" t="inlineStr">
        <is>
          <t>Novembro/2023</t>
        </is>
      </c>
      <c r="J174" s="144" t="inlineStr">
        <is>
          <t>1 SUNGROW 110KW</t>
        </is>
      </c>
      <c r="K174" s="66" t="inlineStr">
        <is>
          <t>222 de 665W</t>
        </is>
      </c>
      <c r="L174" s="140" t="n"/>
      <c r="M174" s="145" t="inlineStr">
        <is>
          <t>Janeiro/2024</t>
        </is>
      </c>
      <c r="N174" s="145" t="inlineStr">
        <is>
          <t>01/01/2024 a 01/02/2024</t>
        </is>
      </c>
      <c r="O174" s="331" t="n">
        <v>83.97</v>
      </c>
      <c r="P174" s="331" t="n">
        <v>0</v>
      </c>
      <c r="Q174" s="331" t="n">
        <v>0</v>
      </c>
      <c r="R174" s="147" t="n">
        <v>0</v>
      </c>
      <c r="S174" s="331" t="n">
        <v>0</v>
      </c>
      <c r="T174" s="331" t="n">
        <v>0</v>
      </c>
      <c r="U174" s="331" t="n">
        <v>0</v>
      </c>
      <c r="V174" s="331" t="n">
        <v>0</v>
      </c>
      <c r="W174" s="331" t="n">
        <v>0</v>
      </c>
      <c r="X174" s="331" t="n">
        <v>0</v>
      </c>
      <c r="Y174" s="331" t="n">
        <v>0</v>
      </c>
      <c r="Z174" s="331" t="n">
        <v>0</v>
      </c>
      <c r="AA174" s="331" t="n">
        <v>0</v>
      </c>
      <c r="AB174" s="332" t="n">
        <v>0.839619</v>
      </c>
      <c r="AC174" s="332" t="n">
        <v>0.839619</v>
      </c>
      <c r="AD174" s="143" t="n">
        <v>71.23999999999999</v>
      </c>
      <c r="AE174" s="173" t="n">
        <v>16047.98</v>
      </c>
      <c r="AF174" s="143" t="n">
        <v>0.68</v>
      </c>
      <c r="AG174" s="143">
        <f>SUM(AD174:AF174)</f>
        <v/>
      </c>
      <c r="AH174" s="143">
        <f>(AD174*AB174)+((AE174+AF174)*AC174)</f>
        <v/>
      </c>
      <c r="AI174" s="143">
        <f>AD174-AS174</f>
        <v/>
      </c>
      <c r="AJ174" s="143">
        <f>AE174-AT174</f>
        <v/>
      </c>
      <c r="AK174" s="143">
        <f>AF174-AU174</f>
        <v/>
      </c>
      <c r="AL174" s="208">
        <f>SUM(AI174:AK174)</f>
        <v/>
      </c>
      <c r="AM174" s="336">
        <f>(AI174*AB174)+((AJ174+AK174)*AC174)</f>
        <v/>
      </c>
      <c r="AN174" s="247" t="n">
        <v>864.1900000000001</v>
      </c>
      <c r="AO174" s="247" t="n">
        <v>2839.2</v>
      </c>
      <c r="AP174" s="247" t="n">
        <v>2515.8</v>
      </c>
      <c r="AQ174" s="143">
        <f>SUM(AN174:AP174)</f>
        <v/>
      </c>
      <c r="AR174" s="331">
        <f>(AN174*AB174)+((AO174+AP174)*AC174)</f>
        <v/>
      </c>
      <c r="AS174" s="185" t="n">
        <v>21.08</v>
      </c>
      <c r="AT174" s="185" t="n">
        <v>11205.6</v>
      </c>
      <c r="AU174" s="185" t="n">
        <v>0</v>
      </c>
      <c r="AV174" s="124">
        <f>SUM(AS174:AU174)</f>
        <v/>
      </c>
      <c r="AW174" s="185" t="n">
        <v>864.1900000000001</v>
      </c>
      <c r="AX174" s="185" t="n">
        <v>2739.2</v>
      </c>
      <c r="AY174" s="185" t="n">
        <v>2515.8</v>
      </c>
      <c r="AZ174" s="124">
        <f>SUM(AW174:AY174)</f>
        <v/>
      </c>
      <c r="BA174" s="335">
        <f>(AW174*AB174)+((AX174+AY174)*AC174)</f>
        <v/>
      </c>
      <c r="BB174" s="122">
        <f>AN174-AW174</f>
        <v/>
      </c>
      <c r="BC174" s="141">
        <f>BB174*AB174</f>
        <v/>
      </c>
      <c r="BD174" s="122">
        <f>AO174-AX174</f>
        <v/>
      </c>
      <c r="BE174" s="122">
        <f>BD174*AC174</f>
        <v/>
      </c>
      <c r="BF174" s="122">
        <f>AP174-AY174</f>
        <v/>
      </c>
      <c r="BG174" s="122">
        <f>BF174*AC174</f>
        <v/>
      </c>
      <c r="BH174" s="122">
        <f>BB174+BD174+BF174</f>
        <v/>
      </c>
      <c r="BI174" s="122">
        <f>BC174+BE174+BG174</f>
        <v/>
      </c>
      <c r="BJ174" s="324">
        <f>BL174+BS174+BV174+BY174+CB174+CE174+CH174+CK174</f>
        <v/>
      </c>
      <c r="BK174" s="320">
        <f>((AI174+AW174)*AB174)+((AJ174+AK174+AX174+AY174)*AC174)</f>
        <v/>
      </c>
      <c r="BL174" s="132">
        <f>BM174+BN174+AL174</f>
        <v/>
      </c>
      <c r="BM174" s="133">
        <f>AW174</f>
        <v/>
      </c>
      <c r="BN174" s="133">
        <f>AX174+AY174</f>
        <v/>
      </c>
      <c r="BO174" s="186" t="n"/>
      <c r="BP174" s="186" t="n"/>
      <c r="BQ174" s="186" t="n"/>
      <c r="BR174" s="186" t="n"/>
      <c r="BS174" s="186" t="n"/>
      <c r="BT174" s="186" t="n"/>
      <c r="BU174" s="186" t="n"/>
      <c r="BV174" s="186" t="n"/>
      <c r="BW174" s="186" t="n"/>
      <c r="BX174" s="186" t="n"/>
      <c r="BY174" s="186" t="n"/>
      <c r="BZ174" s="186" t="n"/>
      <c r="CA174" s="186" t="n"/>
      <c r="CB174" s="186" t="n"/>
      <c r="CC174" s="186" t="n"/>
      <c r="CD174" s="186" t="n"/>
      <c r="CE174" s="186" t="n"/>
      <c r="CF174" s="186" t="n"/>
      <c r="CG174" s="186" t="n"/>
      <c r="CH174" s="186" t="n"/>
      <c r="CI174" s="186" t="n"/>
      <c r="CJ174" s="186" t="n"/>
      <c r="CK174" s="186" t="n"/>
      <c r="CL174" s="186" t="n"/>
      <c r="CM174" s="186" t="n"/>
      <c r="CN174" s="320">
        <f>BK174+BU174+BX174+CA174+CD174+CG174+CJ174+CM174</f>
        <v/>
      </c>
      <c r="CO174" s="122">
        <f>(AV174-(AZ174+BV174+BY174+CB174+CE174+CH174+CK174+BS174)+CO231)</f>
        <v/>
      </c>
      <c r="CP174" s="320">
        <f>CR174*G174</f>
        <v/>
      </c>
      <c r="CQ174" s="124">
        <f>AL174+AZ174+AQ174</f>
        <v/>
      </c>
      <c r="CR174" s="159">
        <f>AV174-AZ174-BS174-BV174-BY174-CB174</f>
        <v/>
      </c>
      <c r="CU174" s="177" t="n"/>
      <c r="CV174" s="177" t="n"/>
      <c r="CW174" s="325" t="n"/>
    </row>
    <row r="175" ht="19.9" customFormat="1" customHeight="1" s="67">
      <c r="A175" s="233" t="n"/>
      <c r="B175" s="66" t="n">
        <v>10036862957</v>
      </c>
      <c r="C175" s="233" t="inlineStr">
        <is>
          <t>Fazenda Capoeirao</t>
        </is>
      </c>
      <c r="D175" s="140" t="inlineStr">
        <is>
          <t xml:space="preserve"> DAMOLANDIA</t>
        </is>
      </c>
      <c r="E175" s="144" t="inlineStr">
        <is>
          <t>Agosto/2023</t>
        </is>
      </c>
      <c r="F175" s="141" t="n">
        <v>16726</v>
      </c>
      <c r="G175" s="334" t="n">
        <v>0.77</v>
      </c>
      <c r="H175" s="143">
        <f>F175*G175</f>
        <v/>
      </c>
      <c r="I175" s="140" t="inlineStr">
        <is>
          <t>Novembro/2023</t>
        </is>
      </c>
      <c r="J175" s="144" t="inlineStr">
        <is>
          <t>1 SUNGROW 110KW</t>
        </is>
      </c>
      <c r="K175" s="66" t="inlineStr">
        <is>
          <t>222 de 665W</t>
        </is>
      </c>
      <c r="L175" s="140" t="n"/>
      <c r="M175" s="145" t="inlineStr">
        <is>
          <t>Fevereiro/2024</t>
        </is>
      </c>
      <c r="N175" s="145" t="inlineStr">
        <is>
          <t>01/02/2024 a 01/03/2024</t>
        </is>
      </c>
      <c r="O175" s="331" t="n">
        <v>13903.25</v>
      </c>
      <c r="P175" s="331" t="n"/>
      <c r="Q175" s="331" t="n">
        <v>0</v>
      </c>
      <c r="R175" s="147" t="n"/>
      <c r="S175" s="331" t="n">
        <v>11.44</v>
      </c>
      <c r="T175" s="331" t="n"/>
      <c r="U175" s="331" t="n"/>
      <c r="V175" s="331" t="n"/>
      <c r="W175" s="331" t="n"/>
      <c r="X175" s="331" t="n"/>
      <c r="Y175" s="331" t="n">
        <v>0</v>
      </c>
      <c r="Z175" s="331" t="n">
        <v>0</v>
      </c>
      <c r="AA175" s="331" t="n"/>
      <c r="AB175" s="332" t="n">
        <v>0.856689</v>
      </c>
      <c r="AC175" s="332" t="n">
        <v>0.856689</v>
      </c>
      <c r="AD175" s="143" t="n">
        <v>44.59</v>
      </c>
      <c r="AE175" s="173" t="n">
        <v>16073.94</v>
      </c>
      <c r="AF175" s="143" t="n">
        <v>0</v>
      </c>
      <c r="AG175" s="143">
        <f>SUM(AD175:AF175)</f>
        <v/>
      </c>
      <c r="AH175" s="143">
        <f>(AD175*AB175)+((AE175+AF175)*AC175)</f>
        <v/>
      </c>
      <c r="AI175" s="143">
        <f>AD175-AS175</f>
        <v/>
      </c>
      <c r="AJ175" s="143">
        <f>AE175-AT175</f>
        <v/>
      </c>
      <c r="AK175" s="143">
        <f>AF175-AU175</f>
        <v/>
      </c>
      <c r="AL175" s="208">
        <f>SUM(AI175:AK175)</f>
        <v/>
      </c>
      <c r="AM175" s="336">
        <f>(AI175*AB175)+((AJ175+AK175)*AC175)</f>
        <v/>
      </c>
      <c r="AN175" s="248" t="n">
        <v>3300.99</v>
      </c>
      <c r="AO175" s="248" t="n">
        <v>12075</v>
      </c>
      <c r="AP175" s="248" t="n">
        <v>7950.6</v>
      </c>
      <c r="AQ175" s="242">
        <f>SUM(AN175:AP175)</f>
        <v/>
      </c>
      <c r="AR175" s="331">
        <f>(AN175*AB175)+((AO175+AP175)*AC175)</f>
        <v/>
      </c>
      <c r="AS175" s="67" t="n">
        <v>0</v>
      </c>
      <c r="AT175" s="67" t="n">
        <v>2003.4</v>
      </c>
      <c r="AU175" s="67" t="n">
        <v>0</v>
      </c>
      <c r="AV175" s="243">
        <f>SUM(AS175:AU175)</f>
        <v/>
      </c>
      <c r="AW175" s="67" t="n">
        <v>0</v>
      </c>
      <c r="AX175" s="67" t="n">
        <v>7110.89</v>
      </c>
      <c r="AY175" s="67" t="n">
        <v>0</v>
      </c>
      <c r="AZ175" s="124">
        <f>SUM(AW175:AY175)</f>
        <v/>
      </c>
      <c r="BA175" s="335">
        <f>(AW175*AB175)+((AX175+AY175)*AC175)</f>
        <v/>
      </c>
      <c r="BB175" s="122">
        <f>AN175-AW175</f>
        <v/>
      </c>
      <c r="BC175" s="141">
        <f>BB175*AB175</f>
        <v/>
      </c>
      <c r="BD175" s="122">
        <f>AO175-AX175</f>
        <v/>
      </c>
      <c r="BE175" s="122">
        <f>BD175*AC175</f>
        <v/>
      </c>
      <c r="BF175" s="122">
        <f>AP175-AY175</f>
        <v/>
      </c>
      <c r="BG175" s="122">
        <f>BF175*AC175</f>
        <v/>
      </c>
      <c r="BH175" s="122">
        <f>BB175+BD175+BF175</f>
        <v/>
      </c>
      <c r="BI175" s="122">
        <f>BC175+BE175+BG175</f>
        <v/>
      </c>
      <c r="BJ175" s="324">
        <f>BL175+BS175+BV175+BY175+CB175+CE175+CH175+CK175</f>
        <v/>
      </c>
      <c r="BK175" s="320">
        <f>((AI175+AW175)*AB175)+((AJ175+AK175+AX175+AY175)*AC175)</f>
        <v/>
      </c>
      <c r="BL175" s="132">
        <f>BM175+BN175+AL175</f>
        <v/>
      </c>
      <c r="BM175" s="133">
        <f>AW175</f>
        <v/>
      </c>
      <c r="BN175" s="133">
        <f>AX175+AY175</f>
        <v/>
      </c>
      <c r="BO175" s="186" t="n"/>
      <c r="BP175" s="186" t="n"/>
      <c r="BQ175" s="186" t="n"/>
      <c r="BR175" s="186" t="n"/>
      <c r="BS175" s="186" t="n"/>
      <c r="BT175" s="186" t="n"/>
      <c r="BU175" s="186" t="n"/>
      <c r="BV175" s="186" t="n"/>
      <c r="BW175" s="186" t="n"/>
      <c r="BX175" s="186" t="n"/>
      <c r="BY175" s="186" t="n"/>
      <c r="BZ175" s="186" t="n"/>
      <c r="CA175" s="186" t="n"/>
      <c r="CB175" s="186" t="n"/>
      <c r="CC175" s="186" t="n"/>
      <c r="CD175" s="186" t="n"/>
      <c r="CE175" s="186" t="n"/>
      <c r="CF175" s="186" t="n"/>
      <c r="CG175" s="186" t="n"/>
      <c r="CH175" s="186" t="n"/>
      <c r="CI175" s="186" t="n"/>
      <c r="CJ175" s="186" t="n"/>
      <c r="CK175" s="186" t="n"/>
      <c r="CL175" s="186" t="n"/>
      <c r="CM175" s="186" t="n"/>
      <c r="CN175" s="361">
        <f>BK175+BU175+BX175+CA175+CD175+CG175+CJ175+CM175</f>
        <v/>
      </c>
      <c r="CO175" s="122">
        <f>(AV175-(AZ175+BV175+BY175+CB175+CE175+CH175+CK175+BS175)+CO232)</f>
        <v/>
      </c>
      <c r="CP175" s="361">
        <f>CR175*G175</f>
        <v/>
      </c>
      <c r="CQ175" s="243">
        <f>AL175+AZ175+AQ175</f>
        <v/>
      </c>
      <c r="CR175" s="245">
        <f>AV175-AZ175-BS175-BV175-BY175-CB175</f>
        <v/>
      </c>
      <c r="CS175" s="67" t="inlineStr">
        <is>
          <t>A geração da usina atingiu 96,37% do previsto.</t>
        </is>
      </c>
      <c r="CU175" s="177" t="n"/>
      <c r="CV175" s="177" t="n"/>
      <c r="CW175" s="325" t="n"/>
    </row>
    <row r="176" ht="19.9" customFormat="1" customHeight="1" s="67">
      <c r="A176" s="120" t="inlineStr">
        <is>
          <t>Grupo Alucentro</t>
        </is>
      </c>
      <c r="B176" s="65" t="n">
        <v>10035411331</v>
      </c>
      <c r="C176" s="120" t="inlineStr">
        <is>
          <t>UC: Washington Luís Assunção</t>
        </is>
      </c>
      <c r="D176" s="121" t="inlineStr">
        <is>
          <t>PIRENÓPOLIS GO</t>
        </is>
      </c>
      <c r="E176" s="121" t="n"/>
      <c r="F176" s="122" t="n"/>
      <c r="G176" s="320" t="n"/>
      <c r="H176" s="124">
        <f>F176*G176</f>
        <v/>
      </c>
      <c r="I176" s="121" t="n"/>
      <c r="J176" s="125" t="n"/>
      <c r="K176" s="65" t="n"/>
      <c r="L176" s="121" t="n"/>
      <c r="M176" s="126" t="inlineStr">
        <is>
          <t>Janeiro/2022</t>
        </is>
      </c>
      <c r="N176" s="126" t="n">
        <v>44574</v>
      </c>
      <c r="O176" s="321" t="n"/>
      <c r="P176" s="321" t="n"/>
      <c r="Q176" s="321" t="n"/>
      <c r="R176" s="207" t="n"/>
      <c r="S176" s="321" t="n"/>
      <c r="T176" s="321" t="n"/>
      <c r="U176" s="321" t="n"/>
      <c r="V176" s="321" t="n"/>
      <c r="W176" s="321" t="n"/>
      <c r="X176" s="321" t="n"/>
      <c r="Y176" s="321" t="n"/>
      <c r="Z176" s="321" t="n"/>
      <c r="AA176" s="321" t="n"/>
      <c r="AB176" s="322" t="n">
        <v>0.80633</v>
      </c>
      <c r="AC176" s="322" t="n">
        <v>0.80633</v>
      </c>
      <c r="AD176" s="124" t="n"/>
      <c r="AE176" s="124" t="n"/>
      <c r="AF176" s="124" t="n"/>
      <c r="AG176" s="124">
        <f>SUM(AD176:AF176)</f>
        <v/>
      </c>
      <c r="AH176" s="124">
        <f>(AD176*AB176)+((AE176+AF176)*AC176)</f>
        <v/>
      </c>
      <c r="AI176" s="124">
        <f>AD176-AS176</f>
        <v/>
      </c>
      <c r="AJ176" s="124">
        <f>AE176-AT176</f>
        <v/>
      </c>
      <c r="AK176" s="124">
        <f>AF176-AU176</f>
        <v/>
      </c>
      <c r="AL176" s="210">
        <f>SUM(AI176:AK176)</f>
        <v/>
      </c>
      <c r="AM176" s="337">
        <f>(AI176*AB176)+((AJ176+AK176)*AC176)</f>
        <v/>
      </c>
      <c r="AN176" s="124" t="n">
        <v>0</v>
      </c>
      <c r="AO176" s="124" t="n">
        <v>30</v>
      </c>
      <c r="AP176" s="124" t="n">
        <v>0</v>
      </c>
      <c r="AQ176" s="124">
        <f>SUM(AN176:AP176)</f>
        <v/>
      </c>
      <c r="AR176" s="321">
        <f>(AN176*AB176)+((AO176+AP176)*AC176)</f>
        <v/>
      </c>
      <c r="AS176" s="124" t="n"/>
      <c r="AT176" s="124" t="n"/>
      <c r="AU176" s="124" t="n"/>
      <c r="AV176" s="124">
        <f>SUM(AS176:AU176)</f>
        <v/>
      </c>
      <c r="AW176" s="124" t="n"/>
      <c r="AX176" s="124" t="n"/>
      <c r="AY176" s="124" t="n"/>
      <c r="AZ176" s="124">
        <f>SUM(AW176:AY176)</f>
        <v/>
      </c>
      <c r="BA176" s="323">
        <f>(AW176*AB176)+((AX176+AY176)*AC176)</f>
        <v/>
      </c>
      <c r="BB176" s="122">
        <f>AN176-AW176</f>
        <v/>
      </c>
      <c r="BC176" s="122">
        <f>BB176*AB176</f>
        <v/>
      </c>
      <c r="BD176" s="122">
        <f>AO176-AX176</f>
        <v/>
      </c>
      <c r="BE176" s="122">
        <f>BD176*AC176</f>
        <v/>
      </c>
      <c r="BF176" s="122">
        <f>AP176-AY176</f>
        <v/>
      </c>
      <c r="BG176" s="122">
        <f>BF176*AC176</f>
        <v/>
      </c>
      <c r="BH176" s="122">
        <f>BB176+BD176+BF176</f>
        <v/>
      </c>
      <c r="BI176" s="122">
        <f>BC176+BE176+BG176</f>
        <v/>
      </c>
      <c r="BJ176" s="324">
        <f>BL176+BS176+BV176+BY176+CB176+CE176+CH176+CK176</f>
        <v/>
      </c>
      <c r="BK176" s="320">
        <f>((AI176+AW176)*AB176)+((AJ176+AK176+AX176+AY176)*AC176)</f>
        <v/>
      </c>
      <c r="BL176" s="132">
        <f>BM176+BN176+AL176</f>
        <v/>
      </c>
      <c r="BM176" s="124">
        <f>AW176</f>
        <v/>
      </c>
      <c r="BN176" s="124">
        <f>AX176+AY176</f>
        <v/>
      </c>
      <c r="BO176" s="179" t="n"/>
      <c r="BP176" s="179" t="n"/>
      <c r="BQ176" s="179" t="n"/>
      <c r="BR176" s="179" t="n"/>
      <c r="BS176" s="179" t="n"/>
      <c r="BT176" s="179" t="n"/>
      <c r="BU176" s="320" t="n">
        <v>0</v>
      </c>
      <c r="BV176" s="179" t="n"/>
      <c r="BW176" s="179" t="n"/>
      <c r="BX176" s="179" t="n"/>
      <c r="BY176" s="179" t="n"/>
      <c r="BZ176" s="179" t="n"/>
      <c r="CA176" s="124">
        <f>BY176*BZ176</f>
        <v/>
      </c>
      <c r="CB176" s="179" t="n"/>
      <c r="CC176" s="179" t="n"/>
      <c r="CD176" s="179" t="n"/>
      <c r="CE176" s="179" t="n"/>
      <c r="CF176" s="179" t="n"/>
      <c r="CG176" s="179" t="n"/>
      <c r="CH176" s="179" t="n"/>
      <c r="CI176" s="179" t="n"/>
      <c r="CJ176" s="179" t="n"/>
      <c r="CK176" s="179" t="n"/>
      <c r="CL176" s="179" t="n"/>
      <c r="CM176" s="179" t="n"/>
      <c r="CN176" s="179" t="n"/>
      <c r="CO176" s="170" t="n"/>
      <c r="CP176" s="179" t="n"/>
      <c r="CQ176" s="179" t="n"/>
      <c r="CR176" s="170" t="n"/>
      <c r="CS176" s="155" t="n"/>
      <c r="CT176" s="124" t="n">
        <v>0</v>
      </c>
      <c r="CU176" s="177">
        <f>(BB176* AB176)+(BD176* AC176)+(BF176* AC176)+(S176+T176+U176+V176+W176+X176+Y176+Z176)</f>
        <v/>
      </c>
      <c r="CV176" s="177">
        <f>CU176-O176</f>
        <v/>
      </c>
      <c r="CW176" s="325" t="n"/>
    </row>
    <row r="177" ht="19.9" customFormat="1" customHeight="1" s="67">
      <c r="A177" s="233" t="inlineStr">
        <is>
          <t>Grupo Alucentro</t>
        </is>
      </c>
      <c r="B177" s="66" t="n">
        <v>10035411331</v>
      </c>
      <c r="C177" s="233" t="inlineStr">
        <is>
          <t>UC: Washington Luís Assunção</t>
        </is>
      </c>
      <c r="D177" s="140" t="inlineStr">
        <is>
          <t>PIRENÓPOLIS GO</t>
        </is>
      </c>
      <c r="E177" s="140" t="n"/>
      <c r="F177" s="122" t="n"/>
      <c r="G177" s="320" t="n"/>
      <c r="H177" s="124">
        <f>F177*G177</f>
        <v/>
      </c>
      <c r="I177" s="121" t="n"/>
      <c r="J177" s="125" t="n"/>
      <c r="K177" s="65" t="n"/>
      <c r="L177" s="121" t="n"/>
      <c r="M177" s="126" t="inlineStr">
        <is>
          <t>Fevereiro/2022</t>
        </is>
      </c>
      <c r="N177" s="126" t="inlineStr">
        <is>
          <t>12/01/2022 a 10/02/2022</t>
        </is>
      </c>
      <c r="O177" s="321" t="n"/>
      <c r="P177" s="321" t="n"/>
      <c r="Q177" s="321" t="n"/>
      <c r="R177" s="207" t="n"/>
      <c r="S177" s="321" t="n"/>
      <c r="T177" s="321" t="n"/>
      <c r="U177" s="321" t="n"/>
      <c r="V177" s="321" t="n"/>
      <c r="W177" s="321" t="n"/>
      <c r="X177" s="321" t="n"/>
      <c r="Y177" s="321" t="n"/>
      <c r="Z177" s="321" t="n"/>
      <c r="AA177" s="321" t="n"/>
      <c r="AB177" s="322" t="n">
        <v>0.81886</v>
      </c>
      <c r="AC177" s="322" t="n">
        <v>0.81886</v>
      </c>
      <c r="AD177" s="124" t="n"/>
      <c r="AE177" s="124" t="n"/>
      <c r="AF177" s="124" t="n"/>
      <c r="AG177" s="124">
        <f>SUM(AD177:AF177)</f>
        <v/>
      </c>
      <c r="AH177" s="124">
        <f>(AD177*AB177)+((AE177+AF177)*AC177)</f>
        <v/>
      </c>
      <c r="AI177" s="124">
        <f>AD177-AS177</f>
        <v/>
      </c>
      <c r="AJ177" s="124">
        <f>AE177-AT177</f>
        <v/>
      </c>
      <c r="AK177" s="124">
        <f>AF177-AU177</f>
        <v/>
      </c>
      <c r="AL177" s="210">
        <f>SUM(AI177:AK177)</f>
        <v/>
      </c>
      <c r="AM177" s="337">
        <f>(AI177*AB177)+((AJ177+AK177)*AC177)</f>
        <v/>
      </c>
      <c r="AN177" s="143" t="n">
        <v>0</v>
      </c>
      <c r="AO177" s="143" t="n">
        <v>30</v>
      </c>
      <c r="AP177" s="143" t="n">
        <v>0</v>
      </c>
      <c r="AQ177" s="143">
        <f>SUM(AN177:AP177)</f>
        <v/>
      </c>
      <c r="AR177" s="331">
        <f>(AN177*AB177)+((AO177+AP177)*AC177)</f>
        <v/>
      </c>
      <c r="AS177" s="155" t="n"/>
      <c r="AT177" s="155" t="n"/>
      <c r="AU177" s="155" t="n"/>
      <c r="AV177" s="124">
        <f>SUM(AS177:AU177)</f>
        <v/>
      </c>
      <c r="AW177" s="155" t="n"/>
      <c r="AX177" s="155" t="n"/>
      <c r="AY177" s="155" t="n"/>
      <c r="AZ177" s="124">
        <f>SUM(AW177:AY177)</f>
        <v/>
      </c>
      <c r="BA177" s="335">
        <f>(AW177*AB177)+((AX177+AY177)*AC177)</f>
        <v/>
      </c>
      <c r="BB177" s="122">
        <f>AN177-AW177</f>
        <v/>
      </c>
      <c r="BC177" s="141">
        <f>BB177*AB177</f>
        <v/>
      </c>
      <c r="BD177" s="122">
        <f>AO177-AX177</f>
        <v/>
      </c>
      <c r="BE177" s="122">
        <f>BD177*AC177</f>
        <v/>
      </c>
      <c r="BF177" s="122">
        <f>AP177-AY177</f>
        <v/>
      </c>
      <c r="BG177" s="122">
        <f>BF177*AC177</f>
        <v/>
      </c>
      <c r="BH177" s="122">
        <f>BB177+BD177+BF177</f>
        <v/>
      </c>
      <c r="BI177" s="122">
        <f>BC177+BE177+BG177</f>
        <v/>
      </c>
      <c r="BJ177" s="324">
        <f>BL177+BS177+BV177+BY177+CB177+CE177+CH177+CK177</f>
        <v/>
      </c>
      <c r="BK177" s="320">
        <f>((AI177+AW177)*AB177)+((AJ177+AK177+AX177+AY177)*AC177)</f>
        <v/>
      </c>
      <c r="BL177" s="132">
        <f>BM177+BN177+AL177</f>
        <v/>
      </c>
      <c r="BM177" s="133">
        <f>AW177</f>
        <v/>
      </c>
      <c r="BN177" s="133">
        <f>AX177+AY177</f>
        <v/>
      </c>
      <c r="BO177" s="179" t="n"/>
      <c r="BP177" s="179" t="n"/>
      <c r="BQ177" s="179" t="n"/>
      <c r="BR177" s="179" t="n"/>
      <c r="BS177" s="179" t="n"/>
      <c r="BT177" s="179" t="n"/>
      <c r="BU177" s="320" t="n">
        <v>0</v>
      </c>
      <c r="BV177" s="179" t="n"/>
      <c r="BW177" s="179" t="n"/>
      <c r="BX177" s="179" t="n"/>
      <c r="BY177" s="179" t="n"/>
      <c r="BZ177" s="179" t="n"/>
      <c r="CA177" s="124">
        <f>BY177*BZ177</f>
        <v/>
      </c>
      <c r="CB177" s="179" t="n"/>
      <c r="CC177" s="179" t="n"/>
      <c r="CD177" s="179" t="n"/>
      <c r="CE177" s="179" t="n"/>
      <c r="CF177" s="179" t="n"/>
      <c r="CG177" s="179" t="n"/>
      <c r="CH177" s="179" t="n"/>
      <c r="CI177" s="179" t="n"/>
      <c r="CJ177" s="179" t="n"/>
      <c r="CK177" s="179" t="n"/>
      <c r="CL177" s="179" t="n"/>
      <c r="CM177" s="179" t="n"/>
      <c r="CN177" s="179" t="n"/>
      <c r="CO177" s="170" t="n"/>
      <c r="CP177" s="179" t="n"/>
      <c r="CQ177" s="179" t="n"/>
      <c r="CR177" s="170" t="n"/>
      <c r="CS177" s="155" t="n"/>
      <c r="CT177" s="143" t="n">
        <v>0</v>
      </c>
      <c r="CU177" s="177">
        <f>(BB177* AB177)+(BD177* AC177)+(BF177* AC177)+(S177+T177+U177+V177+W177+X177+Y177+Z177)</f>
        <v/>
      </c>
      <c r="CV177" s="177">
        <f>CU177-O177</f>
        <v/>
      </c>
      <c r="CW177" s="325" t="n"/>
    </row>
    <row r="178" ht="19.9" customFormat="1" customHeight="1" s="67">
      <c r="A178" s="120" t="inlineStr">
        <is>
          <t>Grupo Alucentro</t>
        </is>
      </c>
      <c r="B178" s="65" t="n">
        <v>10035411331</v>
      </c>
      <c r="C178" s="120" t="inlineStr">
        <is>
          <t>UC: Washington Luís Assunção</t>
        </is>
      </c>
      <c r="D178" s="121" t="inlineStr">
        <is>
          <t>PIRENÓPOLIS GO</t>
        </is>
      </c>
      <c r="E178" s="121" t="n"/>
      <c r="F178" s="122" t="n"/>
      <c r="G178" s="320" t="n"/>
      <c r="H178" s="124">
        <f>F178*G178</f>
        <v/>
      </c>
      <c r="I178" s="121" t="n"/>
      <c r="J178" s="125" t="n"/>
      <c r="K178" s="65" t="n"/>
      <c r="L178" s="121" t="n"/>
      <c r="M178" s="126" t="inlineStr">
        <is>
          <t>Março/2022</t>
        </is>
      </c>
      <c r="N178" s="126" t="inlineStr">
        <is>
          <t>10/02/2022 a 11/03/2022</t>
        </is>
      </c>
      <c r="O178" s="321" t="n"/>
      <c r="P178" s="321" t="n"/>
      <c r="Q178" s="321" t="n"/>
      <c r="R178" s="207" t="n"/>
      <c r="S178" s="321" t="n"/>
      <c r="T178" s="321" t="n"/>
      <c r="U178" s="321" t="n"/>
      <c r="V178" s="321" t="n"/>
      <c r="W178" s="321" t="n"/>
      <c r="X178" s="321" t="n"/>
      <c r="Y178" s="321" t="n"/>
      <c r="Z178" s="321" t="n"/>
      <c r="AA178" s="321" t="n"/>
      <c r="AB178" s="322" t="n">
        <v>0.84959</v>
      </c>
      <c r="AC178" s="322" t="n">
        <v>0.84959</v>
      </c>
      <c r="AD178" s="124" t="n"/>
      <c r="AE178" s="124" t="n"/>
      <c r="AF178" s="124" t="n"/>
      <c r="AG178" s="124">
        <f>SUM(AD178:AF178)</f>
        <v/>
      </c>
      <c r="AH178" s="124">
        <f>(AD178*AB178)+((AE178+AF178)*AC178)</f>
        <v/>
      </c>
      <c r="AI178" s="124">
        <f>AD178-AS178</f>
        <v/>
      </c>
      <c r="AJ178" s="124">
        <f>AE178-AT178</f>
        <v/>
      </c>
      <c r="AK178" s="124">
        <f>AF178-AU178</f>
        <v/>
      </c>
      <c r="AL178" s="210">
        <f>SUM(AI178:AK178)</f>
        <v/>
      </c>
      <c r="AM178" s="337">
        <f>(AI178*AB178)+((AJ178+AK178)*AC178)</f>
        <v/>
      </c>
      <c r="AN178" s="124" t="n">
        <v>0</v>
      </c>
      <c r="AO178" s="124" t="n">
        <v>30</v>
      </c>
      <c r="AP178" s="124" t="n">
        <v>0</v>
      </c>
      <c r="AQ178" s="124">
        <f>SUM(AN178:AP178)</f>
        <v/>
      </c>
      <c r="AR178" s="321">
        <f>(AN178*AB178)+((AO178+AP178)*AC178)</f>
        <v/>
      </c>
      <c r="AS178" s="155" t="n"/>
      <c r="AT178" s="155" t="n"/>
      <c r="AU178" s="155" t="n"/>
      <c r="AV178" s="124">
        <f>SUM(AS178:AU178)</f>
        <v/>
      </c>
      <c r="AW178" s="155" t="n"/>
      <c r="AX178" s="155" t="n"/>
      <c r="AY178" s="155" t="n"/>
      <c r="AZ178" s="124">
        <f>SUM(AW178:AY178)</f>
        <v/>
      </c>
      <c r="BA178" s="323">
        <f>(AW178*AB178)+((AX178+AY178)*AC178)</f>
        <v/>
      </c>
      <c r="BB178" s="122">
        <f>AN178-AW178</f>
        <v/>
      </c>
      <c r="BC178" s="122">
        <f>BB178*AB178</f>
        <v/>
      </c>
      <c r="BD178" s="122">
        <f>AO178-AX178</f>
        <v/>
      </c>
      <c r="BE178" s="122">
        <f>BD178*AC178</f>
        <v/>
      </c>
      <c r="BF178" s="122">
        <f>AP178-AY178</f>
        <v/>
      </c>
      <c r="BG178" s="122">
        <f>BF178*AC178</f>
        <v/>
      </c>
      <c r="BH178" s="122">
        <f>BB178+BD178+BF178</f>
        <v/>
      </c>
      <c r="BI178" s="122">
        <f>BC178+BE178+BG178</f>
        <v/>
      </c>
      <c r="BJ178" s="324">
        <f>BL178+BS178+BV178+BY178+CB178+CE178+CH178+CK178</f>
        <v/>
      </c>
      <c r="BK178" s="320">
        <f>((AI178+AW178)*AB178)+((AJ178+AK178+AX178+AY178)*AC178)</f>
        <v/>
      </c>
      <c r="BL178" s="132">
        <f>BM178+BN178+AL178</f>
        <v/>
      </c>
      <c r="BM178" s="124">
        <f>AW178</f>
        <v/>
      </c>
      <c r="BN178" s="124">
        <f>AX178+AY178</f>
        <v/>
      </c>
      <c r="BO178" s="179" t="n"/>
      <c r="BP178" s="179" t="n"/>
      <c r="BQ178" s="179" t="n"/>
      <c r="BR178" s="179" t="n"/>
      <c r="BS178" s="179" t="n"/>
      <c r="BT178" s="179" t="n"/>
      <c r="BU178" s="320" t="n">
        <v>0</v>
      </c>
      <c r="BV178" s="179" t="n"/>
      <c r="BW178" s="179" t="n"/>
      <c r="BX178" s="179" t="n"/>
      <c r="BY178" s="179" t="n"/>
      <c r="BZ178" s="179" t="n"/>
      <c r="CA178" s="124">
        <f>BY178*BZ178</f>
        <v/>
      </c>
      <c r="CB178" s="179" t="n"/>
      <c r="CC178" s="179" t="n"/>
      <c r="CD178" s="179" t="n"/>
      <c r="CE178" s="179" t="n"/>
      <c r="CF178" s="179" t="n"/>
      <c r="CG178" s="179" t="n"/>
      <c r="CH178" s="179" t="n"/>
      <c r="CI178" s="179" t="n"/>
      <c r="CJ178" s="179" t="n"/>
      <c r="CK178" s="179" t="n"/>
      <c r="CL178" s="179" t="n"/>
      <c r="CM178" s="179" t="n"/>
      <c r="CN178" s="179" t="n"/>
      <c r="CO178" s="170" t="n"/>
      <c r="CP178" s="179" t="n"/>
      <c r="CQ178" s="179" t="n"/>
      <c r="CR178" s="170" t="n"/>
      <c r="CS178" s="155" t="n"/>
      <c r="CT178" s="124" t="n">
        <v>0</v>
      </c>
      <c r="CU178" s="177">
        <f>(BB178* AB178)+(BD178* AC178)+(BF178* AC178)+(S178+T178+U178+V178+W178+X178+Y178+Z178)</f>
        <v/>
      </c>
      <c r="CV178" s="177">
        <f>CU178-O178</f>
        <v/>
      </c>
      <c r="CW178" s="325" t="n"/>
    </row>
    <row r="179" ht="19.9" customFormat="1" customHeight="1" s="67">
      <c r="A179" s="139" t="inlineStr">
        <is>
          <t>Grupo Alucentro</t>
        </is>
      </c>
      <c r="B179" s="66" t="n">
        <v>10035411331</v>
      </c>
      <c r="C179" s="139" t="inlineStr">
        <is>
          <t>UC: Washington Luís Assunção</t>
        </is>
      </c>
      <c r="D179" s="140" t="inlineStr">
        <is>
          <t>PIRENÓPOLIS GO</t>
        </is>
      </c>
      <c r="E179" s="140" t="n"/>
      <c r="F179" s="122" t="n"/>
      <c r="G179" s="320" t="n"/>
      <c r="H179" s="124">
        <f>F179*G179</f>
        <v/>
      </c>
      <c r="I179" s="121" t="n"/>
      <c r="J179" s="125" t="n"/>
      <c r="K179" s="65" t="n"/>
      <c r="L179" s="121" t="n"/>
      <c r="M179" s="126" t="inlineStr">
        <is>
          <t>Abril/2022</t>
        </is>
      </c>
      <c r="N179" s="126" t="inlineStr">
        <is>
          <t>11/03/2022 a 08/04/2022</t>
        </is>
      </c>
      <c r="O179" s="321" t="n"/>
      <c r="P179" s="321" t="n"/>
      <c r="Q179" s="321" t="n"/>
      <c r="R179" s="207" t="n"/>
      <c r="S179" s="321" t="n"/>
      <c r="T179" s="321" t="n"/>
      <c r="U179" s="321" t="n"/>
      <c r="V179" s="321" t="n"/>
      <c r="W179" s="321" t="n"/>
      <c r="X179" s="321" t="n"/>
      <c r="Y179" s="321" t="n"/>
      <c r="Z179" s="321" t="n"/>
      <c r="AA179" s="321" t="n"/>
      <c r="AB179" s="322" t="n">
        <v>0.82541</v>
      </c>
      <c r="AC179" s="322" t="n">
        <v>0.82541</v>
      </c>
      <c r="AD179" s="124" t="n"/>
      <c r="AE179" s="124" t="n"/>
      <c r="AF179" s="124" t="n"/>
      <c r="AG179" s="124">
        <f>SUM(AD179:AF179)</f>
        <v/>
      </c>
      <c r="AH179" s="124">
        <f>(AD179*AB179)+((AE179+AF179)*AC179)</f>
        <v/>
      </c>
      <c r="AI179" s="124">
        <f>AD179-AS179</f>
        <v/>
      </c>
      <c r="AJ179" s="124">
        <f>AE179-AT179</f>
        <v/>
      </c>
      <c r="AK179" s="124">
        <f>AF179-AU179</f>
        <v/>
      </c>
      <c r="AL179" s="210">
        <f>SUM(AI179:AK179)</f>
        <v/>
      </c>
      <c r="AM179" s="337">
        <f>(AI179*AB179)+((AJ179+AK179)*AC179)</f>
        <v/>
      </c>
      <c r="AN179" s="143" t="n">
        <v>0</v>
      </c>
      <c r="AO179" s="143" t="n">
        <v>30</v>
      </c>
      <c r="AP179" s="143" t="n">
        <v>0</v>
      </c>
      <c r="AQ179" s="143">
        <f>SUM(AN179:AP179)</f>
        <v/>
      </c>
      <c r="AR179" s="331">
        <f>(AN179*AB179)+((AO179+AP179)*AC179)</f>
        <v/>
      </c>
      <c r="AS179" s="155" t="n"/>
      <c r="AT179" s="155" t="n"/>
      <c r="AU179" s="155" t="n"/>
      <c r="AV179" s="124">
        <f>SUM(AS179:AU179)</f>
        <v/>
      </c>
      <c r="AW179" s="155" t="n"/>
      <c r="AX179" s="155" t="n"/>
      <c r="AY179" s="155" t="n"/>
      <c r="AZ179" s="124">
        <f>SUM(AW179:AY179)</f>
        <v/>
      </c>
      <c r="BA179" s="335">
        <f>(AW179*AB179)+((AX179+AY179)*AC179)</f>
        <v/>
      </c>
      <c r="BB179" s="122">
        <f>AN179-AW179</f>
        <v/>
      </c>
      <c r="BC179" s="141">
        <f>BB179*AB179</f>
        <v/>
      </c>
      <c r="BD179" s="122">
        <f>AO179-AX179</f>
        <v/>
      </c>
      <c r="BE179" s="122">
        <f>BD179*AC179</f>
        <v/>
      </c>
      <c r="BF179" s="122">
        <f>AP179-AY179</f>
        <v/>
      </c>
      <c r="BG179" s="122">
        <f>BF179*AC179</f>
        <v/>
      </c>
      <c r="BH179" s="122">
        <f>BB179+BD179+BF179</f>
        <v/>
      </c>
      <c r="BI179" s="122">
        <f>BC179+BE179+BG179</f>
        <v/>
      </c>
      <c r="BJ179" s="324">
        <f>BL179+BS179+BV179+BY179+CB179+CE179+CH179+CK179</f>
        <v/>
      </c>
      <c r="BK179" s="320">
        <f>((AI179+AW179)*AB179)+((AJ179+AK179+AX179+AY179)*AC179)</f>
        <v/>
      </c>
      <c r="BL179" s="132">
        <f>BM179+BN179+AL179</f>
        <v/>
      </c>
      <c r="BM179" s="133">
        <f>AW179</f>
        <v/>
      </c>
      <c r="BN179" s="133">
        <f>AX179+AY179</f>
        <v/>
      </c>
      <c r="BO179" s="179" t="n"/>
      <c r="BP179" s="179" t="n"/>
      <c r="BQ179" s="179" t="n"/>
      <c r="BR179" s="179" t="n"/>
      <c r="BS179" s="179" t="n"/>
      <c r="BT179" s="179" t="n"/>
      <c r="BU179" s="320" t="n">
        <v>0</v>
      </c>
      <c r="BV179" s="179" t="n"/>
      <c r="BW179" s="179" t="n"/>
      <c r="BX179" s="179" t="n"/>
      <c r="BY179" s="179" t="n"/>
      <c r="BZ179" s="179" t="n"/>
      <c r="CA179" s="124">
        <f>BY179*BZ179</f>
        <v/>
      </c>
      <c r="CB179" s="179" t="n"/>
      <c r="CC179" s="179" t="n"/>
      <c r="CD179" s="179" t="n"/>
      <c r="CE179" s="179" t="n"/>
      <c r="CF179" s="179" t="n"/>
      <c r="CG179" s="179" t="n"/>
      <c r="CH179" s="179" t="n"/>
      <c r="CI179" s="179" t="n"/>
      <c r="CJ179" s="179" t="n"/>
      <c r="CK179" s="179" t="n"/>
      <c r="CL179" s="179" t="n"/>
      <c r="CM179" s="179" t="n"/>
      <c r="CN179" s="179" t="n"/>
      <c r="CO179" s="170" t="n"/>
      <c r="CP179" s="179" t="n"/>
      <c r="CQ179" s="179" t="n"/>
      <c r="CR179" s="170" t="n"/>
      <c r="CS179" s="155" t="n"/>
      <c r="CT179" s="143" t="n">
        <v>0</v>
      </c>
      <c r="CU179" s="177">
        <f>(BB179* AB179)+(BD179* AC179)+(BF179* AC179)+(S179+T179+U179+V179+W179+X179+Y179+Z179)</f>
        <v/>
      </c>
      <c r="CV179" s="177">
        <f>CU179-O179</f>
        <v/>
      </c>
      <c r="CW179" s="325" t="n"/>
    </row>
    <row r="180" ht="19.9" customFormat="1" customHeight="1" s="67">
      <c r="A180" s="120" t="inlineStr">
        <is>
          <t>Grupo Alucentro</t>
        </is>
      </c>
      <c r="B180" s="65" t="n">
        <v>10035411331</v>
      </c>
      <c r="C180" s="120" t="inlineStr">
        <is>
          <t>UC: Washington Luís Assunção</t>
        </is>
      </c>
      <c r="D180" s="121" t="inlineStr">
        <is>
          <t>PIRENÓPOLIS GO</t>
        </is>
      </c>
      <c r="E180" s="121" t="n"/>
      <c r="F180" s="141" t="n"/>
      <c r="G180" s="334" t="n"/>
      <c r="H180" s="143">
        <f>F180*G180</f>
        <v/>
      </c>
      <c r="I180" s="140" t="n"/>
      <c r="J180" s="144" t="n"/>
      <c r="K180" s="66" t="n"/>
      <c r="L180" s="140" t="n"/>
      <c r="M180" s="145" t="inlineStr">
        <is>
          <t>Maio/2022</t>
        </is>
      </c>
      <c r="N180" s="145" t="inlineStr">
        <is>
          <t>08/04/2022 a 10/05/2022</t>
        </is>
      </c>
      <c r="O180" s="331" t="n"/>
      <c r="P180" s="331" t="n"/>
      <c r="Q180" s="331" t="n"/>
      <c r="R180" s="147" t="n"/>
      <c r="S180" s="331" t="n"/>
      <c r="T180" s="331" t="n"/>
      <c r="U180" s="331" t="n"/>
      <c r="V180" s="331" t="n"/>
      <c r="W180" s="331" t="n"/>
      <c r="X180" s="331" t="n"/>
      <c r="Y180" s="331" t="n"/>
      <c r="Z180" s="331" t="n"/>
      <c r="AA180" s="331" t="n"/>
      <c r="AB180" s="332" t="n">
        <v>0.82206</v>
      </c>
      <c r="AC180" s="332" t="n">
        <v>0.82206</v>
      </c>
      <c r="AD180" s="143" t="n"/>
      <c r="AE180" s="173" t="n"/>
      <c r="AF180" s="143" t="n"/>
      <c r="AG180" s="143">
        <f>SUM(AD180:AF180)</f>
        <v/>
      </c>
      <c r="AH180" s="143">
        <f>(AD180*AB180)+((AE180+AF180)*AC180)</f>
        <v/>
      </c>
      <c r="AI180" s="143">
        <f>AD180-AS180</f>
        <v/>
      </c>
      <c r="AJ180" s="143">
        <f>AE180-AT180</f>
        <v/>
      </c>
      <c r="AK180" s="143">
        <f>AF180-AU180</f>
        <v/>
      </c>
      <c r="AL180" s="208">
        <f>SUM(AI180:AK180)</f>
        <v/>
      </c>
      <c r="AM180" s="336">
        <f>(AI180*AB180)+((AJ180+AK180)*AC180)</f>
        <v/>
      </c>
      <c r="AN180" s="143" t="n">
        <v>0</v>
      </c>
      <c r="AO180" s="143" t="n">
        <v>30</v>
      </c>
      <c r="AP180" s="143" t="n">
        <v>0</v>
      </c>
      <c r="AQ180" s="124">
        <f>SUM(AN180:AP180)</f>
        <v/>
      </c>
      <c r="AR180" s="321">
        <f>(AN180*AB180)+((AO180+AP180)*AC180)</f>
        <v/>
      </c>
      <c r="AS180" s="155" t="n"/>
      <c r="AT180" s="155" t="n"/>
      <c r="AU180" s="155" t="n"/>
      <c r="AV180" s="124">
        <f>SUM(AS180:AU180)</f>
        <v/>
      </c>
      <c r="AW180" s="155" t="n"/>
      <c r="AX180" s="155" t="n"/>
      <c r="AY180" s="155" t="n"/>
      <c r="AZ180" s="124">
        <f>SUM(AW180:AY180)</f>
        <v/>
      </c>
      <c r="BA180" s="335">
        <f>(AW180*AB180)+((AX180+AY180)*AC180)</f>
        <v/>
      </c>
      <c r="BB180" s="122">
        <f>AN180-AW180</f>
        <v/>
      </c>
      <c r="BC180" s="141">
        <f>BB180*AB180</f>
        <v/>
      </c>
      <c r="BD180" s="122">
        <f>AO180-AX180</f>
        <v/>
      </c>
      <c r="BE180" s="122">
        <f>BD180*AC180</f>
        <v/>
      </c>
      <c r="BF180" s="122">
        <f>AP180-AY180</f>
        <v/>
      </c>
      <c r="BG180" s="122">
        <f>BF180*AC180</f>
        <v/>
      </c>
      <c r="BH180" s="122">
        <f>BB180+BD180+BF180</f>
        <v/>
      </c>
      <c r="BI180" s="122">
        <f>BC180+BE180+BG180</f>
        <v/>
      </c>
      <c r="BJ180" s="324">
        <f>BL180+BS180+BV180+BY180+CB180+CE180+CH180+CK180</f>
        <v/>
      </c>
      <c r="BK180" s="320">
        <f>((AI180+AW180)*AB180)+((AJ180+AK180+AX180+AY180)*AC180)</f>
        <v/>
      </c>
      <c r="BL180" s="132">
        <f>BM180+BN180+AL180</f>
        <v/>
      </c>
      <c r="BM180" s="133">
        <f>AW180</f>
        <v/>
      </c>
      <c r="BN180" s="133">
        <f>AX180+AY180</f>
        <v/>
      </c>
      <c r="BO180" s="179" t="n"/>
      <c r="BP180" s="179" t="n"/>
      <c r="BQ180" s="179" t="n"/>
      <c r="BR180" s="179" t="n"/>
      <c r="BS180" s="179" t="n"/>
      <c r="BT180" s="179" t="n"/>
      <c r="BU180" s="320" t="n">
        <v>0</v>
      </c>
      <c r="BV180" s="179" t="n"/>
      <c r="BW180" s="179" t="n"/>
      <c r="BX180" s="179" t="n"/>
      <c r="BY180" s="179" t="n"/>
      <c r="BZ180" s="179" t="n"/>
      <c r="CA180" s="124">
        <f>BY180*BZ180</f>
        <v/>
      </c>
      <c r="CB180" s="179" t="n"/>
      <c r="CC180" s="179" t="n"/>
      <c r="CD180" s="179" t="n"/>
      <c r="CE180" s="179" t="n"/>
      <c r="CF180" s="179" t="n"/>
      <c r="CG180" s="179" t="n"/>
      <c r="CH180" s="179" t="n"/>
      <c r="CI180" s="179" t="n"/>
      <c r="CJ180" s="179" t="n"/>
      <c r="CK180" s="179" t="n"/>
      <c r="CL180" s="179" t="n"/>
      <c r="CM180" s="179" t="n"/>
      <c r="CN180" s="179" t="n"/>
      <c r="CO180" s="170" t="n"/>
      <c r="CP180" s="179" t="n"/>
      <c r="CQ180" s="179" t="n"/>
      <c r="CR180" s="170" t="n"/>
      <c r="CS180" s="155" t="n"/>
      <c r="CT180" s="143" t="n">
        <v>0</v>
      </c>
      <c r="CU180" s="177">
        <f>(BB180* AB180)+(BD180* AC180)+(BF180* AC180)+(S180+T180+U180+V180+W180+X180+Y180+Z180)</f>
        <v/>
      </c>
      <c r="CV180" s="177">
        <f>CU180-O180</f>
        <v/>
      </c>
      <c r="CW180" s="325" t="n"/>
    </row>
    <row r="181" ht="19.9" customFormat="1" customHeight="1" s="67">
      <c r="A181" s="233" t="inlineStr">
        <is>
          <t>Grupo Alucentro</t>
        </is>
      </c>
      <c r="B181" s="66" t="n">
        <v>10035411331</v>
      </c>
      <c r="C181" s="233" t="inlineStr">
        <is>
          <t>UC: Washington Luís Assunção</t>
        </is>
      </c>
      <c r="D181" s="140" t="inlineStr">
        <is>
          <t>PIRENÓPOLIS GO</t>
        </is>
      </c>
      <c r="E181" s="140" t="n"/>
      <c r="F181" s="122" t="n"/>
      <c r="G181" s="320" t="n"/>
      <c r="H181" s="124">
        <f>F181*G181</f>
        <v/>
      </c>
      <c r="I181" s="121" t="n"/>
      <c r="J181" s="125" t="n"/>
      <c r="K181" s="65" t="n"/>
      <c r="L181" s="121" t="n"/>
      <c r="M181" s="126" t="inlineStr">
        <is>
          <t>Junho/2022</t>
        </is>
      </c>
      <c r="N181" s="126" t="inlineStr">
        <is>
          <t>10/05/2022 a 09/06/2022</t>
        </is>
      </c>
      <c r="O181" s="321" t="n"/>
      <c r="P181" s="321" t="n"/>
      <c r="Q181" s="321" t="n"/>
      <c r="R181" s="207" t="n"/>
      <c r="S181" s="321" t="n"/>
      <c r="T181" s="321" t="n"/>
      <c r="U181" s="321" t="n"/>
      <c r="V181" s="321" t="n"/>
      <c r="W181" s="321" t="n"/>
      <c r="X181" s="321" t="n"/>
      <c r="Y181" s="321" t="n"/>
      <c r="Z181" s="321" t="n"/>
      <c r="AA181" s="321" t="n"/>
      <c r="AB181" s="322" t="n">
        <v>0.83888</v>
      </c>
      <c r="AC181" s="322" t="n">
        <v>0.83888</v>
      </c>
      <c r="AD181" s="124" t="n"/>
      <c r="AE181" s="124" t="n"/>
      <c r="AF181" s="124" t="n"/>
      <c r="AG181" s="124">
        <f>SUM(AD181:AF181)</f>
        <v/>
      </c>
      <c r="AH181" s="124">
        <f>(AD181*AB181)+((AE181+AF181)*AC181)</f>
        <v/>
      </c>
      <c r="AI181" s="124">
        <f>AD181-AS181</f>
        <v/>
      </c>
      <c r="AJ181" s="124">
        <f>AE181-AT181</f>
        <v/>
      </c>
      <c r="AK181" s="124">
        <f>AF181-AU181</f>
        <v/>
      </c>
      <c r="AL181" s="210">
        <f>SUM(AI181:AK181)</f>
        <v/>
      </c>
      <c r="AM181" s="337">
        <f>(AI181*AB181)+((AJ181+AK181)*AC181)</f>
        <v/>
      </c>
      <c r="AN181" s="143" t="n">
        <v>0</v>
      </c>
      <c r="AO181" s="143" t="n">
        <v>30</v>
      </c>
      <c r="AP181" s="143" t="n">
        <v>0</v>
      </c>
      <c r="AQ181" s="143">
        <f>SUM(AN181:AP181)</f>
        <v/>
      </c>
      <c r="AR181" s="331">
        <f>(AN181*AB181)+((AO181+AP181)*AC181)</f>
        <v/>
      </c>
      <c r="AS181" s="155" t="n"/>
      <c r="AT181" s="155" t="n"/>
      <c r="AU181" s="155" t="n"/>
      <c r="AV181" s="124">
        <f>SUM(AS181:AU181)</f>
        <v/>
      </c>
      <c r="AW181" s="155" t="n"/>
      <c r="AX181" s="155" t="n"/>
      <c r="AY181" s="155" t="n"/>
      <c r="AZ181" s="124">
        <f>SUM(AW181:AY181)</f>
        <v/>
      </c>
      <c r="BA181" s="335">
        <f>(AW181*AB181)+((AX181+AY181)*AC181)</f>
        <v/>
      </c>
      <c r="BB181" s="122">
        <f>AN181-AW181</f>
        <v/>
      </c>
      <c r="BC181" s="141">
        <f>BB181*AB181</f>
        <v/>
      </c>
      <c r="BD181" s="122">
        <f>AO181-AX181</f>
        <v/>
      </c>
      <c r="BE181" s="122">
        <f>BD181*AC181</f>
        <v/>
      </c>
      <c r="BF181" s="122">
        <f>AP181-AY181</f>
        <v/>
      </c>
      <c r="BG181" s="122">
        <f>BF181*AC181</f>
        <v/>
      </c>
      <c r="BH181" s="122">
        <f>BB181+BD181+BF181</f>
        <v/>
      </c>
      <c r="BI181" s="122">
        <f>BC181+BE181+BG181</f>
        <v/>
      </c>
      <c r="BJ181" s="324">
        <f>BL181+BS181+BV181+BY181+CB181+CE181+CH181+CK181</f>
        <v/>
      </c>
      <c r="BK181" s="320">
        <f>((AI181+AW181)*AB181)+((AJ181+AK181+AX181+AY181)*AC181)</f>
        <v/>
      </c>
      <c r="BL181" s="132">
        <f>BM181+BN181+AL181</f>
        <v/>
      </c>
      <c r="BM181" s="133">
        <f>AW181</f>
        <v/>
      </c>
      <c r="BN181" s="133">
        <f>AX181+AY181</f>
        <v/>
      </c>
      <c r="BO181" s="179" t="n"/>
      <c r="BP181" s="179" t="n"/>
      <c r="BQ181" s="179" t="n"/>
      <c r="BR181" s="179" t="n"/>
      <c r="BS181" s="179" t="n"/>
      <c r="BT181" s="179" t="n"/>
      <c r="BU181" s="320" t="n">
        <v>0</v>
      </c>
      <c r="BV181" s="179" t="n"/>
      <c r="BW181" s="179" t="n"/>
      <c r="BX181" s="179" t="n"/>
      <c r="BY181" s="179" t="n"/>
      <c r="BZ181" s="179" t="n"/>
      <c r="CA181" s="124">
        <f>BY181*BZ181</f>
        <v/>
      </c>
      <c r="CB181" s="179" t="n"/>
      <c r="CC181" s="179" t="n"/>
      <c r="CD181" s="179" t="n"/>
      <c r="CE181" s="179" t="n"/>
      <c r="CF181" s="179" t="n"/>
      <c r="CG181" s="179" t="n"/>
      <c r="CH181" s="179" t="n"/>
      <c r="CI181" s="179" t="n"/>
      <c r="CJ181" s="179" t="n"/>
      <c r="CK181" s="179" t="n"/>
      <c r="CL181" s="179" t="n"/>
      <c r="CM181" s="179" t="n"/>
      <c r="CN181" s="179" t="n"/>
      <c r="CO181" s="170" t="n"/>
      <c r="CP181" s="179" t="n"/>
      <c r="CQ181" s="179" t="n"/>
      <c r="CR181" s="170" t="n"/>
      <c r="CS181" s="155" t="n"/>
      <c r="CT181" s="143" t="n">
        <v>0</v>
      </c>
      <c r="CU181" s="177">
        <f>(BB181* AB181)+(BD181* AC181)+(BF181* AC181)+(S181+T181+U181+V181+W181+X181+Y181+Z181)</f>
        <v/>
      </c>
      <c r="CV181" s="177">
        <f>CU181-O181</f>
        <v/>
      </c>
      <c r="CW181" s="325" t="n"/>
    </row>
    <row r="182" ht="19.9" customFormat="1" customHeight="1" s="67">
      <c r="A182" s="120" t="inlineStr">
        <is>
          <t>Grupo Alucentro</t>
        </is>
      </c>
      <c r="B182" s="65" t="n">
        <v>10035411331</v>
      </c>
      <c r="C182" s="120" t="inlineStr">
        <is>
          <t>UC: Washington Luís Assunção</t>
        </is>
      </c>
      <c r="D182" s="121" t="inlineStr">
        <is>
          <t>PIRENÓPOLIS GO</t>
        </is>
      </c>
      <c r="E182" s="121" t="n"/>
      <c r="F182" s="141" t="n"/>
      <c r="G182" s="334" t="n"/>
      <c r="H182" s="143">
        <f>F182*G182</f>
        <v/>
      </c>
      <c r="I182" s="140" t="n"/>
      <c r="J182" s="144" t="n"/>
      <c r="K182" s="66" t="n"/>
      <c r="L182" s="140" t="n"/>
      <c r="M182" s="145" t="inlineStr">
        <is>
          <t>Julho/2022</t>
        </is>
      </c>
      <c r="N182" s="145" t="inlineStr">
        <is>
          <t>09/06/2022 a 12/07/2022</t>
        </is>
      </c>
      <c r="O182" s="331" t="n"/>
      <c r="P182" s="331" t="n"/>
      <c r="Q182" s="331" t="n"/>
      <c r="R182" s="147" t="n"/>
      <c r="S182" s="331" t="n"/>
      <c r="T182" s="331" t="n"/>
      <c r="U182" s="331" t="n"/>
      <c r="V182" s="331" t="n"/>
      <c r="W182" s="331" t="n"/>
      <c r="X182" s="331" t="n"/>
      <c r="Y182" s="331" t="n"/>
      <c r="Z182" s="331" t="n"/>
      <c r="AA182" s="331" t="n"/>
      <c r="AB182" s="332" t="n">
        <v>0.7009300000000001</v>
      </c>
      <c r="AC182" s="332" t="n">
        <v>0.7009300000000001</v>
      </c>
      <c r="AD182" s="143" t="n"/>
      <c r="AE182" s="173" t="n"/>
      <c r="AF182" s="143" t="n"/>
      <c r="AG182" s="143">
        <f>SUM(AD182:AF182)</f>
        <v/>
      </c>
      <c r="AH182" s="143">
        <f>(AD182*AB182)+((AE182+AF182)*AC182)</f>
        <v/>
      </c>
      <c r="AI182" s="143">
        <f>AD182-AS182</f>
        <v/>
      </c>
      <c r="AJ182" s="143">
        <f>AE182-AT182</f>
        <v/>
      </c>
      <c r="AK182" s="143">
        <f>AF182-AU182</f>
        <v/>
      </c>
      <c r="AL182" s="208">
        <f>SUM(AI182:AK182)</f>
        <v/>
      </c>
      <c r="AM182" s="336">
        <f>(AI182*AB182)+((AJ182+AK182)*AC182)</f>
        <v/>
      </c>
      <c r="AN182" s="143" t="n">
        <v>0</v>
      </c>
      <c r="AO182" s="143" t="n">
        <v>40.46</v>
      </c>
      <c r="AP182" s="143" t="n">
        <v>0</v>
      </c>
      <c r="AQ182" s="124">
        <f>SUM(AN182:AP182)</f>
        <v/>
      </c>
      <c r="AR182" s="321">
        <f>(AN182*AB182)+((AO182+AP182)*AC182)</f>
        <v/>
      </c>
      <c r="AS182" s="155" t="n"/>
      <c r="AT182" s="155" t="n"/>
      <c r="AU182" s="155" t="n"/>
      <c r="AV182" s="124">
        <f>SUM(AS182:AU182)</f>
        <v/>
      </c>
      <c r="AW182" s="155" t="n"/>
      <c r="AX182" s="155" t="n"/>
      <c r="AY182" s="155" t="n"/>
      <c r="AZ182" s="124">
        <f>SUM(AW182:AY182)</f>
        <v/>
      </c>
      <c r="BA182" s="335">
        <f>(AW182*AB182)+((AX182+AY182)*AC182)</f>
        <v/>
      </c>
      <c r="BB182" s="122">
        <f>AN182-AW182</f>
        <v/>
      </c>
      <c r="BC182" s="141">
        <f>BB182*AB182</f>
        <v/>
      </c>
      <c r="BD182" s="122">
        <f>AO182-AX182</f>
        <v/>
      </c>
      <c r="BE182" s="122">
        <f>BD182*AC182</f>
        <v/>
      </c>
      <c r="BF182" s="122">
        <f>AP182-AY182</f>
        <v/>
      </c>
      <c r="BG182" s="122">
        <f>BF182*AC182</f>
        <v/>
      </c>
      <c r="BH182" s="122">
        <f>BB182+BD182+BF182</f>
        <v/>
      </c>
      <c r="BI182" s="122">
        <f>BC182+BE182+BG182</f>
        <v/>
      </c>
      <c r="BJ182" s="324">
        <f>BL182+BS182+BV182+BY182+CB182+CE182+CH182+CK182</f>
        <v/>
      </c>
      <c r="BK182" s="320">
        <f>((AI182+AW182)*AB182)+((AJ182+AK182+AX182+AY182)*AC182)</f>
        <v/>
      </c>
      <c r="BL182" s="132">
        <f>BM182+BN182+AL182</f>
        <v/>
      </c>
      <c r="BM182" s="133">
        <f>AW182</f>
        <v/>
      </c>
      <c r="BN182" s="133">
        <f>AX182+AY182</f>
        <v/>
      </c>
      <c r="BO182" s="179" t="n"/>
      <c r="BP182" s="179" t="n"/>
      <c r="BQ182" s="179" t="n"/>
      <c r="BR182" s="179" t="n"/>
      <c r="BS182" s="179" t="n"/>
      <c r="BT182" s="179" t="n"/>
      <c r="BU182" s="320" t="n">
        <v>0</v>
      </c>
      <c r="BV182" s="179" t="n"/>
      <c r="BW182" s="179" t="n"/>
      <c r="BX182" s="179" t="n"/>
      <c r="BY182" s="179" t="n"/>
      <c r="BZ182" s="179" t="n"/>
      <c r="CA182" s="124">
        <f>BY182*BZ182</f>
        <v/>
      </c>
      <c r="CB182" s="179" t="n"/>
      <c r="CC182" s="179" t="n"/>
      <c r="CD182" s="179" t="n"/>
      <c r="CE182" s="179" t="n"/>
      <c r="CF182" s="179" t="n"/>
      <c r="CG182" s="179" t="n"/>
      <c r="CH182" s="179" t="n"/>
      <c r="CI182" s="179" t="n"/>
      <c r="CJ182" s="179" t="n"/>
      <c r="CK182" s="179" t="n"/>
      <c r="CL182" s="179" t="n"/>
      <c r="CM182" s="179" t="n"/>
      <c r="CN182" s="179" t="n"/>
      <c r="CO182" s="170" t="n"/>
      <c r="CP182" s="179" t="n"/>
      <c r="CQ182" s="179" t="n"/>
      <c r="CR182" s="170" t="n"/>
      <c r="CS182" s="155" t="n"/>
      <c r="CT182" s="143" t="n">
        <v>0</v>
      </c>
      <c r="CU182" s="177">
        <f>(BB182* AB182)+(BD182* AC182)+(BF182* AC182)+(S182+T182+U182+V182+W182+X182+Y182+Z182)</f>
        <v/>
      </c>
      <c r="CV182" s="177">
        <f>CU182-O182</f>
        <v/>
      </c>
      <c r="CW182" s="325" t="n"/>
    </row>
    <row r="183" ht="19.9" customFormat="1" customHeight="1" s="67">
      <c r="A183" s="139" t="inlineStr">
        <is>
          <t>Grupo Alucentro</t>
        </is>
      </c>
      <c r="B183" s="66" t="n">
        <v>10035411331</v>
      </c>
      <c r="C183" s="139" t="inlineStr">
        <is>
          <t>UC: Washington Luís Assunção</t>
        </is>
      </c>
      <c r="D183" s="140" t="inlineStr">
        <is>
          <t>PIRENÓPOLIS GO</t>
        </is>
      </c>
      <c r="E183" s="140" t="n"/>
      <c r="F183" s="122" t="n"/>
      <c r="G183" s="320" t="n"/>
      <c r="H183" s="124">
        <f>F183*G183</f>
        <v/>
      </c>
      <c r="I183" s="121" t="n"/>
      <c r="J183" s="125" t="n"/>
      <c r="K183" s="65" t="n"/>
      <c r="L183" s="121" t="n"/>
      <c r="M183" s="126" t="inlineStr">
        <is>
          <t>Agosto/2022</t>
        </is>
      </c>
      <c r="N183" s="126" t="inlineStr">
        <is>
          <t>12/07/2022 a 11/08/2022</t>
        </is>
      </c>
      <c r="O183" s="321" t="n"/>
      <c r="P183" s="321" t="n"/>
      <c r="Q183" s="321" t="n"/>
      <c r="R183" s="207" t="n"/>
      <c r="S183" s="321" t="n"/>
      <c r="T183" s="321" t="n"/>
      <c r="U183" s="321" t="n"/>
      <c r="V183" s="321" t="n"/>
      <c r="W183" s="321" t="n"/>
      <c r="X183" s="321" t="n"/>
      <c r="Y183" s="321" t="n"/>
      <c r="Z183" s="321" t="n"/>
      <c r="AA183" s="321" t="n"/>
      <c r="AB183" s="322" t="n">
        <v>0.70983</v>
      </c>
      <c r="AC183" s="322" t="n">
        <v>0.70983</v>
      </c>
      <c r="AD183" s="124" t="n"/>
      <c r="AE183" s="124" t="n"/>
      <c r="AF183" s="124" t="n"/>
      <c r="AG183" s="124">
        <f>SUM(AD183:AF183)</f>
        <v/>
      </c>
      <c r="AH183" s="124">
        <f>(AD183*AB183)+((AE183+AF183)*AC183)</f>
        <v/>
      </c>
      <c r="AI183" s="124">
        <f>AD183-AS183</f>
        <v/>
      </c>
      <c r="AJ183" s="124">
        <f>AE183-AT183</f>
        <v/>
      </c>
      <c r="AK183" s="124">
        <f>AF183-AU183</f>
        <v/>
      </c>
      <c r="AL183" s="210">
        <f>SUM(AI183:AK183)</f>
        <v/>
      </c>
      <c r="AM183" s="337">
        <f>(AI183*AB183)+((AJ183+AK183)*AC183)</f>
        <v/>
      </c>
      <c r="AN183" s="143" t="n">
        <v>0</v>
      </c>
      <c r="AO183" s="143" t="n">
        <v>40.46</v>
      </c>
      <c r="AP183" s="143" t="n">
        <v>0</v>
      </c>
      <c r="AQ183" s="143">
        <f>SUM(AN183:AP183)</f>
        <v/>
      </c>
      <c r="AR183" s="331">
        <f>(AN183*AB183)+((AO183+AP183)*AC183)</f>
        <v/>
      </c>
      <c r="AS183" s="155" t="n"/>
      <c r="AT183" s="155" t="n"/>
      <c r="AU183" s="155" t="n"/>
      <c r="AV183" s="124">
        <f>SUM(AS183:AU183)</f>
        <v/>
      </c>
      <c r="AW183" s="155" t="n"/>
      <c r="AX183" s="155" t="n"/>
      <c r="AY183" s="155" t="n"/>
      <c r="AZ183" s="124">
        <f>SUM(AW183:AY183)</f>
        <v/>
      </c>
      <c r="BA183" s="335">
        <f>(AW183*AB183)+((AX183+AY183)*AC183)</f>
        <v/>
      </c>
      <c r="BB183" s="122">
        <f>AN183-AW183</f>
        <v/>
      </c>
      <c r="BC183" s="141">
        <f>BB183*AB183</f>
        <v/>
      </c>
      <c r="BD183" s="122">
        <f>AO183-AX183</f>
        <v/>
      </c>
      <c r="BE183" s="122">
        <f>BD183*AC183</f>
        <v/>
      </c>
      <c r="BF183" s="122">
        <f>AP183-AY183</f>
        <v/>
      </c>
      <c r="BG183" s="122">
        <f>BF183*AC183</f>
        <v/>
      </c>
      <c r="BH183" s="122">
        <f>BB183+BD183+BF183</f>
        <v/>
      </c>
      <c r="BI183" s="122">
        <f>BC183+BE183+BG183</f>
        <v/>
      </c>
      <c r="BJ183" s="324">
        <f>BL183+BS183+BV183+BY183+CB183+CE183+CH183+CK183</f>
        <v/>
      </c>
      <c r="BK183" s="320">
        <f>((AI183+AW183)*AB183)+((AJ183+AK183+AX183+AY183)*AC183)</f>
        <v/>
      </c>
      <c r="BL183" s="132">
        <f>BM183+BN183+AL183</f>
        <v/>
      </c>
      <c r="BM183" s="133">
        <f>AW183</f>
        <v/>
      </c>
      <c r="BN183" s="133">
        <f>AX183+AY183</f>
        <v/>
      </c>
      <c r="BO183" s="179" t="n"/>
      <c r="BP183" s="179" t="n"/>
      <c r="BQ183" s="179" t="n"/>
      <c r="BR183" s="179" t="n"/>
      <c r="BS183" s="179" t="n"/>
      <c r="BT183" s="179" t="n"/>
      <c r="BU183" s="320" t="n">
        <v>0</v>
      </c>
      <c r="BV183" s="179" t="n"/>
      <c r="BW183" s="179" t="n"/>
      <c r="BX183" s="179" t="n"/>
      <c r="BY183" s="179" t="n"/>
      <c r="BZ183" s="179" t="n"/>
      <c r="CA183" s="124">
        <f>BY183*BZ183</f>
        <v/>
      </c>
      <c r="CB183" s="179" t="n"/>
      <c r="CC183" s="179" t="n"/>
      <c r="CD183" s="179" t="n"/>
      <c r="CE183" s="179" t="n"/>
      <c r="CF183" s="179" t="n"/>
      <c r="CG183" s="179" t="n"/>
      <c r="CH183" s="179" t="n"/>
      <c r="CI183" s="179" t="n"/>
      <c r="CJ183" s="179" t="n"/>
      <c r="CK183" s="179" t="n"/>
      <c r="CL183" s="179" t="n"/>
      <c r="CM183" s="179" t="n"/>
      <c r="CN183" s="179" t="n"/>
      <c r="CO183" s="170" t="n"/>
      <c r="CP183" s="179" t="n"/>
      <c r="CQ183" s="179" t="n"/>
      <c r="CR183" s="170" t="n"/>
      <c r="CS183" s="155" t="n"/>
      <c r="CT183" s="143" t="n">
        <v>2.66</v>
      </c>
      <c r="CU183" s="177">
        <f>(BB183* AB183)+(BD183* AC183)+(BF183* AC183)+(S183+T183+U183+V183+W183+X183+Y183+Z183)</f>
        <v/>
      </c>
      <c r="CV183" s="177">
        <f>CU183-O183</f>
        <v/>
      </c>
      <c r="CW183" s="325" t="n"/>
    </row>
    <row r="184" ht="19.9" customFormat="1" customHeight="1" s="67">
      <c r="A184" s="120" t="inlineStr">
        <is>
          <t>Grupo Alucentro</t>
        </is>
      </c>
      <c r="B184" s="65" t="n">
        <v>10035411331</v>
      </c>
      <c r="C184" s="120" t="inlineStr">
        <is>
          <t>UC: Washington Luís Assunção</t>
        </is>
      </c>
      <c r="D184" s="121" t="inlineStr">
        <is>
          <t>PIRENÓPOLIS GO</t>
        </is>
      </c>
      <c r="E184" s="121" t="n"/>
      <c r="F184" s="141" t="n"/>
      <c r="G184" s="334" t="n"/>
      <c r="H184" s="143">
        <f>F184*G184</f>
        <v/>
      </c>
      <c r="I184" s="140" t="n"/>
      <c r="J184" s="144" t="n"/>
      <c r="K184" s="66" t="n"/>
      <c r="L184" s="140" t="n"/>
      <c r="M184" s="145" t="inlineStr">
        <is>
          <t>Setembro/2022</t>
        </is>
      </c>
      <c r="N184" s="145" t="inlineStr">
        <is>
          <t>11/08/2022 a 09/09/2022</t>
        </is>
      </c>
      <c r="O184" s="331" t="n"/>
      <c r="P184" s="331" t="n"/>
      <c r="Q184" s="331" t="n"/>
      <c r="R184" s="147" t="n"/>
      <c r="S184" s="331" t="n"/>
      <c r="T184" s="331" t="n"/>
      <c r="U184" s="331" t="n"/>
      <c r="V184" s="331" t="n"/>
      <c r="W184" s="331" t="n"/>
      <c r="X184" s="331" t="n"/>
      <c r="Y184" s="331" t="n"/>
      <c r="Z184" s="331" t="n"/>
      <c r="AA184" s="331" t="n"/>
      <c r="AB184" s="332" t="n">
        <v>0.71032</v>
      </c>
      <c r="AC184" s="332" t="n">
        <v>0.71032</v>
      </c>
      <c r="AD184" s="143" t="n"/>
      <c r="AE184" s="173" t="n"/>
      <c r="AF184" s="143" t="n"/>
      <c r="AG184" s="143">
        <f>SUM(AD184:AF184)</f>
        <v/>
      </c>
      <c r="AH184" s="143">
        <f>(AD184*AB184)+((AE184+AF184)*AC184)</f>
        <v/>
      </c>
      <c r="AI184" s="143">
        <f>AD184-AS184</f>
        <v/>
      </c>
      <c r="AJ184" s="143">
        <f>AE184-AT184</f>
        <v/>
      </c>
      <c r="AK184" s="143">
        <f>AF184-AU184</f>
        <v/>
      </c>
      <c r="AL184" s="208">
        <f>SUM(AI184:AK184)</f>
        <v/>
      </c>
      <c r="AM184" s="336">
        <f>(AI184*AB184)+((AJ184+AK184)*AC184)</f>
        <v/>
      </c>
      <c r="AN184" s="143" t="n">
        <v>0</v>
      </c>
      <c r="AO184" s="143" t="n">
        <v>32.32</v>
      </c>
      <c r="AP184" s="143" t="n">
        <v>0</v>
      </c>
      <c r="AQ184" s="124">
        <f>SUM(AN184:AP184)</f>
        <v/>
      </c>
      <c r="AR184" s="321">
        <f>(AN184*AB184)+((AO184+AP184)*AC184)</f>
        <v/>
      </c>
      <c r="AS184" s="155" t="n"/>
      <c r="AT184" s="155" t="n"/>
      <c r="AU184" s="155" t="n"/>
      <c r="AV184" s="124">
        <f>SUM(AS184:AU184)</f>
        <v/>
      </c>
      <c r="AW184" s="155" t="n"/>
      <c r="AX184" s="155" t="n"/>
      <c r="AY184" s="155" t="n"/>
      <c r="AZ184" s="124">
        <f>SUM(AW184:AY184)</f>
        <v/>
      </c>
      <c r="BA184" s="335">
        <f>(AW184*AB184)+((AX184+AY184)*AC184)</f>
        <v/>
      </c>
      <c r="BB184" s="122">
        <f>AN184-AW184</f>
        <v/>
      </c>
      <c r="BC184" s="141">
        <f>BB184*AB184</f>
        <v/>
      </c>
      <c r="BD184" s="122">
        <f>AO184-AX184</f>
        <v/>
      </c>
      <c r="BE184" s="122">
        <f>BD184*AC184</f>
        <v/>
      </c>
      <c r="BF184" s="122">
        <f>AP184-AY184</f>
        <v/>
      </c>
      <c r="BG184" s="122">
        <f>BF184*AC184</f>
        <v/>
      </c>
      <c r="BH184" s="122">
        <f>BB184+BD184+BF184</f>
        <v/>
      </c>
      <c r="BI184" s="122">
        <f>BC184+BE184+BG184</f>
        <v/>
      </c>
      <c r="BJ184" s="324">
        <f>BL184+BS184+BV184+BY184+CB184+CE184+CH184+CK184</f>
        <v/>
      </c>
      <c r="BK184" s="320">
        <f>((AI184+AW184)*AB184)+((AJ184+AK184+AX184+AY184)*AC184)</f>
        <v/>
      </c>
      <c r="BL184" s="132">
        <f>BM184+BN184+AL184</f>
        <v/>
      </c>
      <c r="BM184" s="133">
        <f>AW184</f>
        <v/>
      </c>
      <c r="BN184" s="133">
        <f>AX184+AY184</f>
        <v/>
      </c>
      <c r="BO184" s="179" t="n"/>
      <c r="BP184" s="179" t="n"/>
      <c r="BQ184" s="179" t="n"/>
      <c r="BR184" s="179" t="n"/>
      <c r="BS184" s="179" t="n"/>
      <c r="BT184" s="179" t="n"/>
      <c r="BU184" s="320" t="n">
        <v>0</v>
      </c>
      <c r="BV184" s="179" t="n"/>
      <c r="BW184" s="179" t="n"/>
      <c r="BX184" s="179" t="n"/>
      <c r="BY184" s="179" t="n"/>
      <c r="BZ184" s="179" t="n"/>
      <c r="CA184" s="124">
        <f>BY184*BZ184</f>
        <v/>
      </c>
      <c r="CB184" s="179" t="n"/>
      <c r="CC184" s="179" t="n"/>
      <c r="CD184" s="179" t="n"/>
      <c r="CE184" s="179" t="n"/>
      <c r="CF184" s="179" t="n"/>
      <c r="CG184" s="179" t="n"/>
      <c r="CH184" s="179" t="n"/>
      <c r="CI184" s="179" t="n"/>
      <c r="CJ184" s="179" t="n"/>
      <c r="CK184" s="179" t="n"/>
      <c r="CL184" s="179" t="n"/>
      <c r="CM184" s="179" t="n"/>
      <c r="CN184" s="179" t="n"/>
      <c r="CO184" s="170" t="n"/>
      <c r="CP184" s="179" t="n"/>
      <c r="CQ184" s="179" t="n"/>
      <c r="CR184" s="170" t="n"/>
      <c r="CS184" s="155" t="n"/>
      <c r="CT184" s="143" t="n">
        <v>2.66</v>
      </c>
      <c r="CU184" s="177">
        <f>(BB184* AB184)+(BD184* AC184)+(BF184* AC184)+(S184+T184+U184+V184+W184+X184+Y184+Z184)</f>
        <v/>
      </c>
      <c r="CV184" s="177">
        <f>CU184-O184</f>
        <v/>
      </c>
      <c r="CW184" s="325" t="n"/>
    </row>
    <row r="185" ht="19.9" customFormat="1" customHeight="1" s="67">
      <c r="A185" s="233" t="inlineStr">
        <is>
          <t>Grupo Alucentro</t>
        </is>
      </c>
      <c r="B185" s="66" t="n">
        <v>10035411331</v>
      </c>
      <c r="C185" s="233" t="inlineStr">
        <is>
          <t>UC: Washington Luís Assunção</t>
        </is>
      </c>
      <c r="D185" s="140" t="inlineStr">
        <is>
          <t>PIRENÓPOLIS GO</t>
        </is>
      </c>
      <c r="E185" s="140" t="n"/>
      <c r="F185" s="122" t="n"/>
      <c r="G185" s="320" t="n"/>
      <c r="H185" s="124">
        <f>F185*G185</f>
        <v/>
      </c>
      <c r="I185" s="121" t="n"/>
      <c r="J185" s="125" t="n"/>
      <c r="K185" s="65" t="n"/>
      <c r="L185" s="121" t="n"/>
      <c r="M185" s="126" t="inlineStr">
        <is>
          <t>Outubro/2022</t>
        </is>
      </c>
      <c r="N185" s="126" t="inlineStr">
        <is>
          <t>09/09/2022 a 10/10/2022</t>
        </is>
      </c>
      <c r="O185" s="321" t="n"/>
      <c r="P185" s="321" t="n"/>
      <c r="Q185" s="321" t="n"/>
      <c r="R185" s="207" t="n"/>
      <c r="S185" s="321" t="n"/>
      <c r="T185" s="321" t="n"/>
      <c r="U185" s="321" t="n"/>
      <c r="V185" s="321" t="n"/>
      <c r="W185" s="321" t="n"/>
      <c r="X185" s="321" t="n"/>
      <c r="Y185" s="321" t="n"/>
      <c r="Z185" s="321" t="n"/>
      <c r="AA185" s="321" t="n"/>
      <c r="AB185" s="322" t="n">
        <v>0.70053</v>
      </c>
      <c r="AC185" s="322" t="n">
        <v>0.70053</v>
      </c>
      <c r="AD185" s="124" t="n"/>
      <c r="AE185" s="124" t="n"/>
      <c r="AF185" s="124" t="n"/>
      <c r="AG185" s="124">
        <f>SUM(AD185:AF185)</f>
        <v/>
      </c>
      <c r="AH185" s="124">
        <f>(AD185*AB185)+((AE185+AF185)*AC185)</f>
        <v/>
      </c>
      <c r="AI185" s="124">
        <f>AD185-AS185</f>
        <v/>
      </c>
      <c r="AJ185" s="124">
        <f>AE185-AT185</f>
        <v/>
      </c>
      <c r="AK185" s="124">
        <f>AF185-AU185</f>
        <v/>
      </c>
      <c r="AL185" s="210">
        <f>SUM(AI185:AK185)</f>
        <v/>
      </c>
      <c r="AM185" s="337">
        <f>(AI185*AB185)+((AJ185+AK185)*AC185)</f>
        <v/>
      </c>
      <c r="AN185" s="143" t="n">
        <v>0</v>
      </c>
      <c r="AO185" s="143" t="n">
        <v>140</v>
      </c>
      <c r="AP185" s="143" t="n">
        <v>0</v>
      </c>
      <c r="AQ185" s="143">
        <f>SUM(AN185:AP185)</f>
        <v/>
      </c>
      <c r="AR185" s="331">
        <f>(AN185*AB185)+((AO185+AP185)*AC185)</f>
        <v/>
      </c>
      <c r="AS185" s="155" t="n"/>
      <c r="AT185" s="155" t="n"/>
      <c r="AU185" s="155" t="n"/>
      <c r="AV185" s="124">
        <f>SUM(AS185:AU185)</f>
        <v/>
      </c>
      <c r="AW185" s="155" t="n"/>
      <c r="AX185" s="155" t="n"/>
      <c r="AY185" s="155" t="n"/>
      <c r="AZ185" s="124">
        <f>SUM(AW185:AY185)</f>
        <v/>
      </c>
      <c r="BA185" s="335">
        <f>(AW185*AB185)+((AX185+AY185)*AC185)</f>
        <v/>
      </c>
      <c r="BB185" s="122">
        <f>AN185-AW185</f>
        <v/>
      </c>
      <c r="BC185" s="141">
        <f>BB185*AB185</f>
        <v/>
      </c>
      <c r="BD185" s="122">
        <f>AO185-AX185</f>
        <v/>
      </c>
      <c r="BE185" s="122">
        <f>BD185*AC185</f>
        <v/>
      </c>
      <c r="BF185" s="122">
        <f>AP185-AY185</f>
        <v/>
      </c>
      <c r="BG185" s="122">
        <f>BF185*AC185</f>
        <v/>
      </c>
      <c r="BH185" s="122">
        <f>BB185+BD185+BF185</f>
        <v/>
      </c>
      <c r="BI185" s="122">
        <f>BC185+BE185+BG185</f>
        <v/>
      </c>
      <c r="BJ185" s="324">
        <f>BL185+BS185+BV185+BY185+CB185+CE185+CH185+CK185</f>
        <v/>
      </c>
      <c r="BK185" s="320">
        <f>((AI185+AW185)*AB185)+((AJ185+AK185+AX185+AY185)*AC185)</f>
        <v/>
      </c>
      <c r="BL185" s="132">
        <f>BM185+BN185+AL185</f>
        <v/>
      </c>
      <c r="BM185" s="133">
        <f>AW185</f>
        <v/>
      </c>
      <c r="BN185" s="133">
        <f>AX185+AY185</f>
        <v/>
      </c>
      <c r="BO185" s="179" t="n"/>
      <c r="BP185" s="179" t="n"/>
      <c r="BQ185" s="179" t="n"/>
      <c r="BR185" s="179" t="n"/>
      <c r="BS185" s="179" t="n"/>
      <c r="BT185" s="179" t="n"/>
      <c r="BU185" s="320" t="n">
        <v>0</v>
      </c>
      <c r="BV185" s="179" t="n"/>
      <c r="BW185" s="179" t="n"/>
      <c r="BX185" s="179" t="n"/>
      <c r="BY185" s="179" t="n"/>
      <c r="BZ185" s="179" t="n"/>
      <c r="CA185" s="124">
        <f>BY185*BZ185</f>
        <v/>
      </c>
      <c r="CB185" s="179" t="n"/>
      <c r="CC185" s="179" t="n"/>
      <c r="CD185" s="179" t="n"/>
      <c r="CE185" s="179" t="n"/>
      <c r="CF185" s="179" t="n"/>
      <c r="CG185" s="179" t="n"/>
      <c r="CH185" s="179" t="n"/>
      <c r="CI185" s="179" t="n"/>
      <c r="CJ185" s="179" t="n"/>
      <c r="CK185" s="179" t="n"/>
      <c r="CL185" s="179" t="n"/>
      <c r="CM185" s="179" t="n"/>
      <c r="CN185" s="179" t="n"/>
      <c r="CO185" s="170" t="n"/>
      <c r="CP185" s="179" t="n"/>
      <c r="CQ185" s="179" t="n"/>
      <c r="CR185" s="170" t="n"/>
      <c r="CS185" s="155" t="n"/>
      <c r="CT185" s="143" t="n">
        <v>2.66</v>
      </c>
      <c r="CU185" s="177">
        <f>(BB185* AB185)+(BD185* AC185)+(BF185* AC185)+(S185+T185+U185+V185+W185+X185+Y185+Z185)</f>
        <v/>
      </c>
      <c r="CV185" s="177">
        <f>CU185-O185</f>
        <v/>
      </c>
      <c r="CW185" s="325" t="n"/>
    </row>
    <row r="186" ht="19.9" customFormat="1" customHeight="1" s="67">
      <c r="A186" s="120" t="inlineStr">
        <is>
          <t>Grupo Alucentro</t>
        </is>
      </c>
      <c r="B186" s="65" t="n">
        <v>10035411331</v>
      </c>
      <c r="C186" s="120" t="inlineStr">
        <is>
          <t>UC: Washington Luís Assunção</t>
        </is>
      </c>
      <c r="D186" s="121" t="inlineStr">
        <is>
          <t>PIRENÓPOLIS GO</t>
        </is>
      </c>
      <c r="E186" s="121" t="n"/>
      <c r="F186" s="141" t="n"/>
      <c r="G186" s="334" t="n"/>
      <c r="H186" s="143">
        <f>F186*G186</f>
        <v/>
      </c>
      <c r="I186" s="140" t="n"/>
      <c r="J186" s="144" t="n"/>
      <c r="K186" s="66" t="n"/>
      <c r="L186" s="140" t="n"/>
      <c r="M186" s="145" t="inlineStr">
        <is>
          <t>Novembro/2022</t>
        </is>
      </c>
      <c r="N186" s="145" t="inlineStr">
        <is>
          <t>10/10/2022 a 10/11/2022</t>
        </is>
      </c>
      <c r="O186" s="331" t="n"/>
      <c r="P186" s="331" t="n"/>
      <c r="Q186" s="331" t="n"/>
      <c r="R186" s="147" t="n"/>
      <c r="S186" s="331" t="n"/>
      <c r="T186" s="331" t="n"/>
      <c r="U186" s="331" t="n"/>
      <c r="V186" s="331" t="n"/>
      <c r="W186" s="331" t="n"/>
      <c r="X186" s="331" t="n"/>
      <c r="Y186" s="331" t="n"/>
      <c r="Z186" s="331" t="n"/>
      <c r="AA186" s="331" t="n"/>
      <c r="AB186" s="332" t="n">
        <v>0.7715</v>
      </c>
      <c r="AC186" s="332" t="n">
        <v>0.7715</v>
      </c>
      <c r="AD186" s="143" t="n"/>
      <c r="AE186" s="173" t="n"/>
      <c r="AF186" s="143" t="n"/>
      <c r="AG186" s="143">
        <f>SUM(AD186:AF186)</f>
        <v/>
      </c>
      <c r="AH186" s="143">
        <f>(AD186*AB186)+((AE186+AF186)*AC186)</f>
        <v/>
      </c>
      <c r="AI186" s="143">
        <f>AD186-AS186</f>
        <v/>
      </c>
      <c r="AJ186" s="143">
        <f>AE186-AT186</f>
        <v/>
      </c>
      <c r="AK186" s="143">
        <f>AF186-AU186</f>
        <v/>
      </c>
      <c r="AL186" s="208">
        <f>SUM(AI186:AK186)</f>
        <v/>
      </c>
      <c r="AM186" s="336">
        <f>(AI186*AB186)+((AJ186+AK186)*AC186)</f>
        <v/>
      </c>
      <c r="AN186" s="143" t="n">
        <v>0</v>
      </c>
      <c r="AO186" s="143" t="n">
        <v>42.11</v>
      </c>
      <c r="AP186" s="143" t="n">
        <v>0</v>
      </c>
      <c r="AQ186" s="124">
        <f>SUM(AN186:AP186)</f>
        <v/>
      </c>
      <c r="AR186" s="321">
        <f>(AN186*AB186)+((AO186+AP186)*AC186)</f>
        <v/>
      </c>
      <c r="AS186" s="155" t="n"/>
      <c r="AT186" s="155" t="n"/>
      <c r="AU186" s="155" t="n"/>
      <c r="AV186" s="124">
        <f>SUM(AS186:AU186)</f>
        <v/>
      </c>
      <c r="AW186" s="155" t="n"/>
      <c r="AX186" s="155" t="n"/>
      <c r="AY186" s="155" t="n"/>
      <c r="AZ186" s="124">
        <f>SUM(AW186:AY186)</f>
        <v/>
      </c>
      <c r="BA186" s="335">
        <f>(AW186*AB186)+((AX186+AY186)*AC186)</f>
        <v/>
      </c>
      <c r="BB186" s="122">
        <f>AN186-AW186</f>
        <v/>
      </c>
      <c r="BC186" s="141">
        <f>BB186*AB186</f>
        <v/>
      </c>
      <c r="BD186" s="122">
        <f>AO186-AX186</f>
        <v/>
      </c>
      <c r="BE186" s="122">
        <f>BD186*AC186</f>
        <v/>
      </c>
      <c r="BF186" s="122">
        <f>AP186-AY186</f>
        <v/>
      </c>
      <c r="BG186" s="122">
        <f>BF186*AC186</f>
        <v/>
      </c>
      <c r="BH186" s="122">
        <f>BB186+BD186+BF186</f>
        <v/>
      </c>
      <c r="BI186" s="122">
        <f>BC186+BE186+BG186</f>
        <v/>
      </c>
      <c r="BJ186" s="324">
        <f>BL186+BS186+BV186+BY186+CB186+CE186+CH186+CK186</f>
        <v/>
      </c>
      <c r="BK186" s="320">
        <f>((AI186+AW186)*AB186)+((AJ186+AK186+AX186+AY186)*AC186)</f>
        <v/>
      </c>
      <c r="BL186" s="132">
        <f>BM186+BN186+AL186</f>
        <v/>
      </c>
      <c r="BM186" s="133">
        <f>AW186</f>
        <v/>
      </c>
      <c r="BN186" s="133">
        <f>AX186+AY186</f>
        <v/>
      </c>
      <c r="BO186" s="179" t="n"/>
      <c r="BP186" s="179" t="n"/>
      <c r="BQ186" s="179" t="n"/>
      <c r="BR186" s="179" t="n"/>
      <c r="BS186" s="179" t="n"/>
      <c r="BT186" s="179" t="n"/>
      <c r="BU186" s="320" t="n">
        <v>0</v>
      </c>
      <c r="BV186" s="179" t="n"/>
      <c r="BW186" s="179" t="n"/>
      <c r="BX186" s="179" t="n"/>
      <c r="BY186" s="179" t="n"/>
      <c r="BZ186" s="179" t="n"/>
      <c r="CA186" s="124">
        <f>BY186*BZ186</f>
        <v/>
      </c>
      <c r="CB186" s="179" t="n"/>
      <c r="CC186" s="179" t="n"/>
      <c r="CD186" s="179" t="n"/>
      <c r="CE186" s="179" t="n"/>
      <c r="CF186" s="179" t="n"/>
      <c r="CG186" s="179" t="n"/>
      <c r="CH186" s="179" t="n"/>
      <c r="CI186" s="179" t="n"/>
      <c r="CJ186" s="179" t="n"/>
      <c r="CK186" s="179" t="n"/>
      <c r="CL186" s="179" t="n"/>
      <c r="CM186" s="179" t="n"/>
      <c r="CN186" s="179" t="n"/>
      <c r="CO186" s="170" t="n"/>
      <c r="CP186" s="179" t="n"/>
      <c r="CQ186" s="179" t="n"/>
      <c r="CR186" s="170" t="n"/>
      <c r="CS186" s="155" t="n"/>
      <c r="CT186" s="143" t="n">
        <v>2.66</v>
      </c>
      <c r="CU186" s="177">
        <f>(BB186* AB186)+(BD186* AC186)+(BF186* AC186)+(S186+T186+U186+V186+W186+X186+Y186+Z186)</f>
        <v/>
      </c>
      <c r="CV186" s="177">
        <f>CU186-O186</f>
        <v/>
      </c>
      <c r="CW186" s="325" t="n"/>
    </row>
    <row r="187" ht="19.9" customFormat="1" customHeight="1" s="67">
      <c r="A187" s="139" t="inlineStr">
        <is>
          <t>Grupo Alucentro</t>
        </is>
      </c>
      <c r="B187" s="66" t="n">
        <v>10035411331</v>
      </c>
      <c r="C187" s="139" t="inlineStr">
        <is>
          <t>UC: Washington Luís Assunção</t>
        </is>
      </c>
      <c r="D187" s="140" t="inlineStr">
        <is>
          <t>PIRENÓPOLIS GO</t>
        </is>
      </c>
      <c r="E187" s="140" t="n"/>
      <c r="F187" s="122" t="n"/>
      <c r="G187" s="320" t="n"/>
      <c r="H187" s="124">
        <f>F187*G187</f>
        <v/>
      </c>
      <c r="I187" s="121" t="n"/>
      <c r="J187" s="125" t="n"/>
      <c r="K187" s="65" t="n"/>
      <c r="L187" s="121" t="n"/>
      <c r="M187" s="126" t="inlineStr">
        <is>
          <t>Dezembro/2022</t>
        </is>
      </c>
      <c r="N187" s="126" t="inlineStr">
        <is>
          <t>10/11/2022 a 13/12/2022</t>
        </is>
      </c>
      <c r="O187" s="321" t="n"/>
      <c r="P187" s="321" t="n"/>
      <c r="Q187" s="321" t="n"/>
      <c r="R187" s="207" t="n"/>
      <c r="S187" s="321" t="n"/>
      <c r="T187" s="321" t="n"/>
      <c r="U187" s="321" t="n"/>
      <c r="V187" s="321" t="n"/>
      <c r="W187" s="321" t="n"/>
      <c r="X187" s="321" t="n"/>
      <c r="Y187" s="321" t="n"/>
      <c r="Z187" s="321" t="n"/>
      <c r="AA187" s="321" t="n"/>
      <c r="AB187" s="322" t="n">
        <v>0.80854</v>
      </c>
      <c r="AC187" s="322" t="n">
        <v>0.80854</v>
      </c>
      <c r="AD187" s="124" t="n"/>
      <c r="AE187" s="124" t="n"/>
      <c r="AF187" s="124" t="n"/>
      <c r="AG187" s="124">
        <f>SUM(AD187:AF187)</f>
        <v/>
      </c>
      <c r="AH187" s="124">
        <f>(AD187*AB187)+((AE187+AF187)*AC187)</f>
        <v/>
      </c>
      <c r="AI187" s="124">
        <f>AD187-AS187</f>
        <v/>
      </c>
      <c r="AJ187" s="124">
        <f>AE187-AT187</f>
        <v/>
      </c>
      <c r="AK187" s="124">
        <f>AF187-AU187</f>
        <v/>
      </c>
      <c r="AL187" s="210">
        <f>SUM(AI187:AK187)</f>
        <v/>
      </c>
      <c r="AM187" s="337">
        <f>(AI187*AB187)+((AJ187+AK187)*AC187)</f>
        <v/>
      </c>
      <c r="AN187" s="143" t="n">
        <v>0</v>
      </c>
      <c r="AO187" s="143" t="n">
        <v>42.11</v>
      </c>
      <c r="AP187" s="143" t="n">
        <v>0</v>
      </c>
      <c r="AQ187" s="143">
        <f>SUM(AN187:AP187)</f>
        <v/>
      </c>
      <c r="AR187" s="331">
        <f>(AN187*AB187)+((AO187+AP187)*AC187)</f>
        <v/>
      </c>
      <c r="AS187" s="155" t="n"/>
      <c r="AT187" s="155" t="n"/>
      <c r="AU187" s="155" t="n"/>
      <c r="AV187" s="124">
        <f>SUM(AS187:AU187)</f>
        <v/>
      </c>
      <c r="AW187" s="155" t="n"/>
      <c r="AX187" s="155" t="n"/>
      <c r="AY187" s="155" t="n"/>
      <c r="AZ187" s="124">
        <f>SUM(AW187:AY187)</f>
        <v/>
      </c>
      <c r="BA187" s="335">
        <f>(AW187*AB187)+((AX187+AY187)*AC187)</f>
        <v/>
      </c>
      <c r="BB187" s="122">
        <f>AN187-AW187</f>
        <v/>
      </c>
      <c r="BC187" s="141">
        <f>BB187*AB187</f>
        <v/>
      </c>
      <c r="BD187" s="122">
        <f>AO187-AX187</f>
        <v/>
      </c>
      <c r="BE187" s="122">
        <f>BD187*AC187</f>
        <v/>
      </c>
      <c r="BF187" s="122">
        <f>AP187-AY187</f>
        <v/>
      </c>
      <c r="BG187" s="122">
        <f>BF187*AC187</f>
        <v/>
      </c>
      <c r="BH187" s="122">
        <f>BB187+BD187+BF187</f>
        <v/>
      </c>
      <c r="BI187" s="122">
        <f>BC187+BE187+BG187</f>
        <v/>
      </c>
      <c r="BJ187" s="324">
        <f>BL187+BS187+BV187+BY187+CB187+CE187+CH187+CK187</f>
        <v/>
      </c>
      <c r="BK187" s="320">
        <f>((AI187+AW187)*AB187)+((AJ187+AK187+AX187+AY187)*AC187)</f>
        <v/>
      </c>
      <c r="BL187" s="132">
        <f>BM187+BN187+AL187</f>
        <v/>
      </c>
      <c r="BM187" s="133">
        <f>AW187</f>
        <v/>
      </c>
      <c r="BN187" s="133">
        <f>AX187+AY187</f>
        <v/>
      </c>
      <c r="BO187" s="179" t="n"/>
      <c r="BP187" s="179" t="n"/>
      <c r="BQ187" s="179" t="n"/>
      <c r="BR187" s="179" t="n"/>
      <c r="BS187" s="179" t="n"/>
      <c r="BT187" s="179" t="n"/>
      <c r="BU187" s="320" t="n">
        <v>0</v>
      </c>
      <c r="BV187" s="179" t="n"/>
      <c r="BW187" s="179" t="n"/>
      <c r="BX187" s="179" t="n"/>
      <c r="BY187" s="179" t="n"/>
      <c r="BZ187" s="179" t="n"/>
      <c r="CA187" s="124">
        <f>BY187*BZ187</f>
        <v/>
      </c>
      <c r="CB187" s="179" t="n"/>
      <c r="CC187" s="179" t="n"/>
      <c r="CD187" s="179" t="n"/>
      <c r="CE187" s="179" t="n"/>
      <c r="CF187" s="179" t="n"/>
      <c r="CG187" s="179" t="n"/>
      <c r="CH187" s="179" t="n"/>
      <c r="CI187" s="179" t="n"/>
      <c r="CJ187" s="179" t="n"/>
      <c r="CK187" s="179" t="n"/>
      <c r="CL187" s="179" t="n"/>
      <c r="CM187" s="179" t="n"/>
      <c r="CN187" s="179" t="n"/>
      <c r="CO187" s="170" t="n"/>
      <c r="CP187" s="179" t="n"/>
      <c r="CQ187" s="179" t="n"/>
      <c r="CR187" s="170" t="n"/>
      <c r="CS187" s="155" t="n"/>
      <c r="CT187" s="143" t="n">
        <v>54.46</v>
      </c>
      <c r="CU187" s="177">
        <f>(BB187* AB187)+(BD187* AC187)+(BF187* AC187)+(S187+T187+U187+V187+W187+X187+Y187+Z187)</f>
        <v/>
      </c>
      <c r="CV187" s="177">
        <f>CU187-O187</f>
        <v/>
      </c>
      <c r="CW187" s="325" t="n"/>
    </row>
    <row r="188" ht="19.9" customFormat="1" customHeight="1" s="67">
      <c r="A188" s="120" t="inlineStr">
        <is>
          <t>Grupo Alucentro</t>
        </is>
      </c>
      <c r="B188" s="65" t="n">
        <v>10035411331</v>
      </c>
      <c r="C188" s="120" t="inlineStr">
        <is>
          <t>UC: Washington Luís Assunção</t>
        </is>
      </c>
      <c r="D188" s="121" t="inlineStr">
        <is>
          <t>PIRENÓPOLIS GO</t>
        </is>
      </c>
      <c r="E188" s="121" t="n"/>
      <c r="F188" s="141" t="n"/>
      <c r="G188" s="334" t="n"/>
      <c r="H188" s="143">
        <f>F188*G188</f>
        <v/>
      </c>
      <c r="I188" s="140" t="n"/>
      <c r="J188" s="144" t="n"/>
      <c r="K188" s="66" t="n"/>
      <c r="L188" s="140" t="n"/>
      <c r="M188" s="145" t="inlineStr">
        <is>
          <t>Janeiro/2023</t>
        </is>
      </c>
      <c r="N188" s="145" t="inlineStr">
        <is>
          <t>13/12/2022 a 12/01/2023</t>
        </is>
      </c>
      <c r="O188" s="331" t="n"/>
      <c r="P188" s="331" t="n"/>
      <c r="Q188" s="331" t="n"/>
      <c r="R188" s="147" t="n"/>
      <c r="S188" s="331" t="n"/>
      <c r="T188" s="331" t="n"/>
      <c r="U188" s="331" t="n"/>
      <c r="V188" s="331" t="n"/>
      <c r="W188" s="331" t="n"/>
      <c r="X188" s="331" t="n"/>
      <c r="Y188" s="331" t="n"/>
      <c r="Z188" s="331" t="n"/>
      <c r="AA188" s="331" t="n"/>
      <c r="AB188" s="332" t="n">
        <v>0.78291</v>
      </c>
      <c r="AC188" s="332" t="n">
        <v>0.78291</v>
      </c>
      <c r="AD188" s="143" t="n"/>
      <c r="AE188" s="173" t="n"/>
      <c r="AF188" s="143" t="n"/>
      <c r="AG188" s="143">
        <f>SUM(AD188:AF188)</f>
        <v/>
      </c>
      <c r="AH188" s="143">
        <f>(AD188*AB188)+((AE188+AF188)*AC188)</f>
        <v/>
      </c>
      <c r="AI188" s="143">
        <f>AD188-AS188</f>
        <v/>
      </c>
      <c r="AJ188" s="143">
        <f>AE188-AT188</f>
        <v/>
      </c>
      <c r="AK188" s="143">
        <f>AF188-AU188</f>
        <v/>
      </c>
      <c r="AL188" s="208">
        <f>SUM(AI188:AK188)</f>
        <v/>
      </c>
      <c r="AM188" s="336">
        <f>(AI188*AB188)+((AJ188+AK188)*AC188)</f>
        <v/>
      </c>
      <c r="AN188" s="143" t="n">
        <v>0</v>
      </c>
      <c r="AO188" s="143" t="n">
        <v>207.12</v>
      </c>
      <c r="AP188" s="143" t="n">
        <v>0</v>
      </c>
      <c r="AQ188" s="124">
        <f>SUM(AN188:AP188)</f>
        <v/>
      </c>
      <c r="AR188" s="321">
        <f>(AN188*AB188)+((AO188+AP188)*AC188)</f>
        <v/>
      </c>
      <c r="AS188" s="155" t="n"/>
      <c r="AT188" s="155" t="n"/>
      <c r="AU188" s="155" t="n"/>
      <c r="AV188" s="124">
        <f>SUM(AS188:AU188)</f>
        <v/>
      </c>
      <c r="AW188" s="155" t="n"/>
      <c r="AX188" s="155" t="n"/>
      <c r="AY188" s="155" t="n"/>
      <c r="AZ188" s="124">
        <f>SUM(AW188:AY188)</f>
        <v/>
      </c>
      <c r="BA188" s="335">
        <f>(AW188*AB188)+((AX188+AY188)*AC188)</f>
        <v/>
      </c>
      <c r="BB188" s="122">
        <f>AN188-AW188</f>
        <v/>
      </c>
      <c r="BC188" s="141">
        <f>BB188*AB188</f>
        <v/>
      </c>
      <c r="BD188" s="122">
        <f>AO188-AX188</f>
        <v/>
      </c>
      <c r="BE188" s="122">
        <f>BD188*AC188</f>
        <v/>
      </c>
      <c r="BF188" s="122">
        <f>AP188-AY188</f>
        <v/>
      </c>
      <c r="BG188" s="122">
        <f>BF188*AC188</f>
        <v/>
      </c>
      <c r="BH188" s="122">
        <f>BB188+BD188+BF188</f>
        <v/>
      </c>
      <c r="BI188" s="122">
        <f>BC188+BE188+BG188</f>
        <v/>
      </c>
      <c r="BJ188" s="324">
        <f>BL188+BS188+BV188+BY188+CB188+CE188+CH188+CK188</f>
        <v/>
      </c>
      <c r="BK188" s="320">
        <f>((AI188+AW188)*AB188)+((AJ188+AK188+AX188+AY188)*AC188)</f>
        <v/>
      </c>
      <c r="BL188" s="132">
        <f>BM188+BN188+AL188</f>
        <v/>
      </c>
      <c r="BM188" s="133">
        <f>AW188</f>
        <v/>
      </c>
      <c r="BN188" s="133">
        <f>AX188+AY188</f>
        <v/>
      </c>
      <c r="BO188" s="179" t="n"/>
      <c r="BP188" s="179" t="n"/>
      <c r="BQ188" s="179" t="n"/>
      <c r="BR188" s="179" t="n"/>
      <c r="BS188" s="179" t="n"/>
      <c r="BT188" s="179" t="n"/>
      <c r="BU188" s="320" t="n">
        <v>0</v>
      </c>
      <c r="BV188" s="179" t="n"/>
      <c r="BW188" s="179" t="n"/>
      <c r="BX188" s="179" t="n"/>
      <c r="BY188" s="179" t="n"/>
      <c r="BZ188" s="179" t="n"/>
      <c r="CA188" s="124">
        <f>BY188*BZ188</f>
        <v/>
      </c>
      <c r="CB188" s="179" t="n"/>
      <c r="CC188" s="179" t="n"/>
      <c r="CD188" s="179" t="n"/>
      <c r="CE188" s="179" t="n"/>
      <c r="CF188" s="179" t="n"/>
      <c r="CG188" s="179" t="n"/>
      <c r="CH188" s="179" t="n"/>
      <c r="CI188" s="179" t="n"/>
      <c r="CJ188" s="179" t="n"/>
      <c r="CK188" s="179" t="n"/>
      <c r="CL188" s="179" t="n"/>
      <c r="CM188" s="179" t="n"/>
      <c r="CN188" s="179" t="n"/>
      <c r="CO188" s="170" t="n"/>
      <c r="CP188" s="179" t="n"/>
      <c r="CQ188" s="179" t="n"/>
      <c r="CR188" s="170" t="n"/>
      <c r="CS188" s="155" t="n"/>
      <c r="CT188" s="143" t="n">
        <v>54.46</v>
      </c>
      <c r="CU188" s="177">
        <f>(BB188* AB188)+(BD188* AC188)+(BF188* AC188)+(S188+T188+U188+V188+W188+X188+Y188+Z188)</f>
        <v/>
      </c>
      <c r="CV188" s="177">
        <f>CU188-O188</f>
        <v/>
      </c>
      <c r="CW188" s="325" t="n"/>
    </row>
    <row r="189" ht="19.9" customFormat="1" customHeight="1" s="67">
      <c r="A189" s="233" t="inlineStr">
        <is>
          <t>Grupo Alucentro</t>
        </is>
      </c>
      <c r="B189" s="66" t="n">
        <v>10035411331</v>
      </c>
      <c r="C189" s="233" t="inlineStr">
        <is>
          <t>UC: Washington Luís Assunção</t>
        </is>
      </c>
      <c r="D189" s="140" t="inlineStr">
        <is>
          <t>PIRENÓPOLIS GO</t>
        </is>
      </c>
      <c r="E189" s="140" t="n"/>
      <c r="F189" s="122" t="n"/>
      <c r="G189" s="320" t="n"/>
      <c r="H189" s="124">
        <f>F189*G189</f>
        <v/>
      </c>
      <c r="I189" s="121" t="n"/>
      <c r="J189" s="125" t="n"/>
      <c r="K189" s="65" t="n"/>
      <c r="L189" s="121" t="n"/>
      <c r="M189" s="126" t="inlineStr">
        <is>
          <t>Fevereiro/2023</t>
        </is>
      </c>
      <c r="N189" s="126" t="inlineStr">
        <is>
          <t>11/01/2023 a 08/02/2023</t>
        </is>
      </c>
      <c r="O189" s="321" t="n"/>
      <c r="P189" s="321" t="n"/>
      <c r="Q189" s="321" t="n"/>
      <c r="R189" s="207" t="n"/>
      <c r="S189" s="321" t="n"/>
      <c r="T189" s="321" t="n"/>
      <c r="U189" s="321" t="n"/>
      <c r="V189" s="321" t="n"/>
      <c r="W189" s="321" t="n"/>
      <c r="X189" s="321" t="n"/>
      <c r="Y189" s="321" t="n"/>
      <c r="Z189" s="321" t="n"/>
      <c r="AA189" s="321" t="n"/>
      <c r="AB189" s="322" t="n">
        <v>0.78227</v>
      </c>
      <c r="AC189" s="322" t="n">
        <v>0.78227</v>
      </c>
      <c r="AD189" s="124" t="n"/>
      <c r="AE189" s="124" t="n"/>
      <c r="AF189" s="124" t="n"/>
      <c r="AG189" s="124">
        <f>SUM(AD189:AF189)</f>
        <v/>
      </c>
      <c r="AH189" s="124">
        <f>(AD189*AB189)+((AE189+AF189)*AC189)</f>
        <v/>
      </c>
      <c r="AI189" s="124">
        <f>AD189-AS189</f>
        <v/>
      </c>
      <c r="AJ189" s="124">
        <f>AE189-AT189</f>
        <v/>
      </c>
      <c r="AK189" s="124">
        <f>AF189-AU189</f>
        <v/>
      </c>
      <c r="AL189" s="210">
        <f>SUM(AI189:AK189)</f>
        <v/>
      </c>
      <c r="AM189" s="337">
        <f>(AI189*AB189)+((AJ189+AK189)*AC189)</f>
        <v/>
      </c>
      <c r="AN189" s="143" t="n">
        <v>0</v>
      </c>
      <c r="AO189" s="143" t="n">
        <v>57.88</v>
      </c>
      <c r="AP189" s="143" t="n">
        <v>0</v>
      </c>
      <c r="AQ189" s="143">
        <f>SUM(AN189:AP189)</f>
        <v/>
      </c>
      <c r="AR189" s="331">
        <f>(AN189*AB189)+((AO189+AP189)*AC189)</f>
        <v/>
      </c>
      <c r="AS189" s="155" t="n"/>
      <c r="AT189" s="155" t="n"/>
      <c r="AU189" s="155" t="n"/>
      <c r="AV189" s="124">
        <f>SUM(AS189:AU189)</f>
        <v/>
      </c>
      <c r="AW189" s="155" t="n"/>
      <c r="AX189" s="155" t="n"/>
      <c r="AY189" s="155" t="n"/>
      <c r="AZ189" s="124">
        <f>SUM(AW189:AY189)</f>
        <v/>
      </c>
      <c r="BA189" s="335">
        <f>(AW189*AB189)+((AX189+AY189)*AC189)</f>
        <v/>
      </c>
      <c r="BB189" s="122">
        <f>AN189-AW189</f>
        <v/>
      </c>
      <c r="BC189" s="141">
        <f>BB189*AB189</f>
        <v/>
      </c>
      <c r="BD189" s="122">
        <f>AO189-AX189</f>
        <v/>
      </c>
      <c r="BE189" s="122">
        <f>BD189*AC189</f>
        <v/>
      </c>
      <c r="BF189" s="122">
        <f>AP189-AY189</f>
        <v/>
      </c>
      <c r="BG189" s="122">
        <f>BF189*AC189</f>
        <v/>
      </c>
      <c r="BH189" s="122">
        <f>BB189+BD189+BF189</f>
        <v/>
      </c>
      <c r="BI189" s="122">
        <f>BC189+BE189+BG189</f>
        <v/>
      </c>
      <c r="BJ189" s="324">
        <f>BL189+BS189+BV189+BY189+CB189+CE189+CH189+CK189</f>
        <v/>
      </c>
      <c r="BK189" s="320">
        <f>((AI189+AW189)*AB189)+((AJ189+AK189+AX189+AY189)*AC189)</f>
        <v/>
      </c>
      <c r="BL189" s="132">
        <f>BM189+BN189+AL189</f>
        <v/>
      </c>
      <c r="BM189" s="133">
        <f>AW189</f>
        <v/>
      </c>
      <c r="BN189" s="133">
        <f>AX189+AY189</f>
        <v/>
      </c>
      <c r="BO189" s="179" t="n"/>
      <c r="BP189" s="179" t="n"/>
      <c r="BQ189" s="179" t="n"/>
      <c r="BR189" s="179" t="n"/>
      <c r="BS189" s="179" t="n"/>
      <c r="BT189" s="179" t="n"/>
      <c r="BU189" s="320" t="n">
        <v>0</v>
      </c>
      <c r="BV189" s="179" t="n"/>
      <c r="BW189" s="179" t="n"/>
      <c r="BX189" s="179" t="n"/>
      <c r="BY189" s="179" t="n"/>
      <c r="BZ189" s="179" t="n"/>
      <c r="CA189" s="124">
        <f>BY189*BZ189</f>
        <v/>
      </c>
      <c r="CB189" s="179" t="n"/>
      <c r="CC189" s="179" t="n"/>
      <c r="CD189" s="179" t="n"/>
      <c r="CE189" s="179" t="n"/>
      <c r="CF189" s="179" t="n"/>
      <c r="CG189" s="179" t="n"/>
      <c r="CH189" s="179" t="n"/>
      <c r="CI189" s="179" t="n"/>
      <c r="CJ189" s="179" t="n"/>
      <c r="CK189" s="179" t="n"/>
      <c r="CL189" s="179" t="n"/>
      <c r="CM189" s="179" t="n"/>
      <c r="CN189" s="179" t="n"/>
      <c r="CO189" s="170" t="n"/>
      <c r="CP189" s="179" t="n"/>
      <c r="CQ189" s="179" t="n"/>
      <c r="CR189" s="170" t="n"/>
      <c r="CS189" s="155" t="n"/>
      <c r="CT189" s="143" t="n">
        <v>140.07</v>
      </c>
      <c r="CU189" s="177">
        <f>(BB189* AB189)+(BD189* AC189)+(BF189* AC189)+(S189+T189+U189+V189+W189+X189+Y189+Z189)</f>
        <v/>
      </c>
      <c r="CV189" s="177">
        <f>CU189-O189</f>
        <v/>
      </c>
      <c r="CW189" s="325" t="n"/>
    </row>
    <row r="190" ht="19.9" customFormat="1" customHeight="1" s="67">
      <c r="A190" s="120" t="inlineStr">
        <is>
          <t>Grupo Alucentro</t>
        </is>
      </c>
      <c r="B190" s="65" t="n">
        <v>10035411331</v>
      </c>
      <c r="C190" s="120" t="inlineStr">
        <is>
          <t>UC: Washington Luís Assunção</t>
        </is>
      </c>
      <c r="D190" s="121" t="inlineStr">
        <is>
          <t>PIRENÓPOLIS GO</t>
        </is>
      </c>
      <c r="E190" s="121" t="n"/>
      <c r="F190" s="141" t="n"/>
      <c r="G190" s="334" t="n"/>
      <c r="H190" s="143">
        <f>F190*G190</f>
        <v/>
      </c>
      <c r="I190" s="140" t="n"/>
      <c r="J190" s="144" t="n"/>
      <c r="K190" s="66" t="n"/>
      <c r="L190" s="140" t="n"/>
      <c r="M190" s="145" t="inlineStr">
        <is>
          <t>Março/2023</t>
        </is>
      </c>
      <c r="N190" s="145" t="inlineStr">
        <is>
          <t>08/02/2023 a 10/03/2023</t>
        </is>
      </c>
      <c r="O190" s="331" t="n"/>
      <c r="P190" s="331" t="n"/>
      <c r="Q190" s="331" t="n"/>
      <c r="R190" s="147" t="n"/>
      <c r="S190" s="331" t="n"/>
      <c r="T190" s="331" t="n"/>
      <c r="U190" s="331" t="n"/>
      <c r="V190" s="331" t="n"/>
      <c r="W190" s="331" t="n"/>
      <c r="X190" s="331" t="n"/>
      <c r="Y190" s="331" t="n"/>
      <c r="Z190" s="331" t="n"/>
      <c r="AA190" s="331" t="n"/>
      <c r="AB190" s="332" t="n">
        <v>0.81393</v>
      </c>
      <c r="AC190" s="332" t="n">
        <v>0.81393</v>
      </c>
      <c r="AD190" s="143" t="n"/>
      <c r="AE190" s="173" t="n"/>
      <c r="AF190" s="143" t="n"/>
      <c r="AG190" s="143">
        <f>SUM(AD190:AF190)</f>
        <v/>
      </c>
      <c r="AH190" s="143">
        <f>(AD190*AB190)+((AE190+AF190)*AC190)</f>
        <v/>
      </c>
      <c r="AI190" s="143">
        <f>AD190-AS190</f>
        <v/>
      </c>
      <c r="AJ190" s="143">
        <f>AE190-AT190</f>
        <v/>
      </c>
      <c r="AK190" s="143">
        <f>AF190-AU190</f>
        <v/>
      </c>
      <c r="AL190" s="208">
        <f>SUM(AI190:AK190)</f>
        <v/>
      </c>
      <c r="AM190" s="336">
        <f>(AI190*AB190)+((AJ190+AK190)*AC190)</f>
        <v/>
      </c>
      <c r="AN190" s="143" t="n">
        <v>0</v>
      </c>
      <c r="AO190" s="143" t="n">
        <v>60.2</v>
      </c>
      <c r="AP190" s="143" t="n">
        <v>0</v>
      </c>
      <c r="AQ190" s="124">
        <f>SUM(AN190:AP190)</f>
        <v/>
      </c>
      <c r="AR190" s="321">
        <f>(AN190*AB190)+((AO190+AP190)*AC190)</f>
        <v/>
      </c>
      <c r="AS190" s="155" t="n"/>
      <c r="AT190" s="155" t="n"/>
      <c r="AU190" s="155" t="n"/>
      <c r="AV190" s="124">
        <f>SUM(AS190:AU190)</f>
        <v/>
      </c>
      <c r="AW190" s="155" t="n"/>
      <c r="AX190" s="155" t="n"/>
      <c r="AY190" s="155" t="n"/>
      <c r="AZ190" s="124">
        <f>SUM(AW190:AY190)</f>
        <v/>
      </c>
      <c r="BA190" s="335">
        <f>(AW190*AB190)+((AX190+AY190)*AC190)</f>
        <v/>
      </c>
      <c r="BB190" s="122">
        <f>AN190-AW190</f>
        <v/>
      </c>
      <c r="BC190" s="141">
        <f>BB190*AB190</f>
        <v/>
      </c>
      <c r="BD190" s="122">
        <f>AO190-AX190</f>
        <v/>
      </c>
      <c r="BE190" s="122">
        <f>BD190*AC190</f>
        <v/>
      </c>
      <c r="BF190" s="122">
        <f>AP190-AY190</f>
        <v/>
      </c>
      <c r="BG190" s="122">
        <f>BF190*AC190</f>
        <v/>
      </c>
      <c r="BH190" s="122">
        <f>BB190+BD190+BF190</f>
        <v/>
      </c>
      <c r="BI190" s="122">
        <f>BC190+BE190+BG190</f>
        <v/>
      </c>
      <c r="BJ190" s="324">
        <f>BL190+BS190+BV190+BY190+CB190+CE190+CH190+CK190</f>
        <v/>
      </c>
      <c r="BK190" s="320">
        <f>((AI190+AW190)*AB190)+((AJ190+AK190+AX190+AY190)*AC190)</f>
        <v/>
      </c>
      <c r="BL190" s="132">
        <f>BM190+BN190+AL190</f>
        <v/>
      </c>
      <c r="BM190" s="133">
        <f>AW190</f>
        <v/>
      </c>
      <c r="BN190" s="133">
        <f>AX190+AY190</f>
        <v/>
      </c>
      <c r="BO190" s="179" t="n"/>
      <c r="BP190" s="179" t="n"/>
      <c r="BQ190" s="179" t="n"/>
      <c r="BR190" s="179" t="n"/>
      <c r="BS190" s="179" t="n"/>
      <c r="BT190" s="179" t="n"/>
      <c r="BU190" s="320" t="n">
        <v>0</v>
      </c>
      <c r="BV190" s="179" t="n"/>
      <c r="BW190" s="179" t="n"/>
      <c r="BX190" s="179" t="n"/>
      <c r="BY190" s="179" t="n"/>
      <c r="BZ190" s="179" t="n"/>
      <c r="CA190" s="124">
        <f>BY190*BZ190</f>
        <v/>
      </c>
      <c r="CB190" s="179" t="n"/>
      <c r="CC190" s="179" t="n"/>
      <c r="CD190" s="179" t="n"/>
      <c r="CE190" s="179" t="n"/>
      <c r="CF190" s="179" t="n"/>
      <c r="CG190" s="179" t="n"/>
      <c r="CH190" s="179" t="n"/>
      <c r="CI190" s="179" t="n"/>
      <c r="CJ190" s="179" t="n"/>
      <c r="CK190" s="179" t="n"/>
      <c r="CL190" s="179" t="n"/>
      <c r="CM190" s="179" t="n"/>
      <c r="CN190" s="179" t="n"/>
      <c r="CO190" s="170" t="n"/>
      <c r="CP190" s="179" t="n"/>
      <c r="CQ190" s="179" t="n"/>
      <c r="CR190" s="170" t="n"/>
      <c r="CS190" s="155" t="n"/>
      <c r="CT190" s="143" t="n">
        <v>88.27</v>
      </c>
      <c r="CU190" s="177">
        <f>(BB190* AB190)+(BD190* AC190)+(BF190* AC190)+(S190+T190+U190+V190+W190+X190+Y190+Z190)</f>
        <v/>
      </c>
      <c r="CV190" s="177">
        <f>CU190-O190</f>
        <v/>
      </c>
      <c r="CW190" s="325" t="n"/>
    </row>
    <row r="191" ht="19.9" customFormat="1" customHeight="1" s="67">
      <c r="A191" s="139" t="inlineStr">
        <is>
          <t>Grupo Alucentro</t>
        </is>
      </c>
      <c r="B191" s="66" t="n">
        <v>10035411331</v>
      </c>
      <c r="C191" s="139" t="inlineStr">
        <is>
          <t>UC: Washington Luís Assunção</t>
        </is>
      </c>
      <c r="D191" s="140" t="inlineStr">
        <is>
          <t>PIRENÓPOLIS GO</t>
        </is>
      </c>
      <c r="E191" s="140" t="n"/>
      <c r="F191" s="122" t="n"/>
      <c r="G191" s="320" t="n"/>
      <c r="H191" s="124">
        <f>F191*G191</f>
        <v/>
      </c>
      <c r="I191" s="121" t="n"/>
      <c r="J191" s="125" t="n"/>
      <c r="K191" s="65" t="n"/>
      <c r="L191" s="121" t="n"/>
      <c r="M191" s="126" t="inlineStr">
        <is>
          <t>Abril/2023</t>
        </is>
      </c>
      <c r="N191" s="126" t="inlineStr">
        <is>
          <t>10/03/2023 a 12/04/2023</t>
        </is>
      </c>
      <c r="O191" s="321" t="n"/>
      <c r="P191" s="321" t="n"/>
      <c r="Q191" s="321" t="n"/>
      <c r="R191" s="207" t="n"/>
      <c r="S191" s="321" t="n"/>
      <c r="T191" s="321" t="n"/>
      <c r="U191" s="321" t="n"/>
      <c r="V191" s="321" t="n"/>
      <c r="W191" s="321" t="n"/>
      <c r="X191" s="321" t="n"/>
      <c r="Y191" s="321" t="n"/>
      <c r="Z191" s="321" t="n"/>
      <c r="AA191" s="321" t="n"/>
      <c r="AB191" s="322" t="n">
        <v>0.80902</v>
      </c>
      <c r="AC191" s="322" t="n">
        <v>0.80902</v>
      </c>
      <c r="AD191" s="124" t="n"/>
      <c r="AE191" s="124" t="n"/>
      <c r="AF191" s="124" t="n"/>
      <c r="AG191" s="124">
        <f>SUM(AD191:AF191)</f>
        <v/>
      </c>
      <c r="AH191" s="124">
        <f>(AD191*AB191)+((AE191+AF191)*AC191)</f>
        <v/>
      </c>
      <c r="AI191" s="124">
        <f>AD191-AS191</f>
        <v/>
      </c>
      <c r="AJ191" s="124">
        <f>AE191-AT191</f>
        <v/>
      </c>
      <c r="AK191" s="124">
        <f>AF191-AU191</f>
        <v/>
      </c>
      <c r="AL191" s="210">
        <f>SUM(AI191:AK191)</f>
        <v/>
      </c>
      <c r="AM191" s="337">
        <f>(AI191*AB191)+((AJ191+AK191)*AC191)</f>
        <v/>
      </c>
      <c r="AN191" s="143" t="n">
        <v>0</v>
      </c>
      <c r="AO191" s="143" t="n">
        <v>498.92</v>
      </c>
      <c r="AP191" s="143" t="n">
        <v>0</v>
      </c>
      <c r="AQ191" s="143">
        <f>SUM(AN191:AP191)</f>
        <v/>
      </c>
      <c r="AR191" s="331">
        <f>(AN191*AB191)+((AO191+AP191)*AC191)</f>
        <v/>
      </c>
      <c r="AS191" s="155" t="n"/>
      <c r="AT191" s="155" t="n"/>
      <c r="AU191" s="155" t="n"/>
      <c r="AV191" s="124">
        <f>SUM(AS191:AU191)</f>
        <v/>
      </c>
      <c r="AW191" s="155" t="n"/>
      <c r="AX191" s="155" t="n"/>
      <c r="AY191" s="155" t="n"/>
      <c r="AZ191" s="124">
        <f>SUM(AW191:AY191)</f>
        <v/>
      </c>
      <c r="BA191" s="335">
        <f>(AW191*AB191)+((AX191+AY191)*AC191)</f>
        <v/>
      </c>
      <c r="BB191" s="122">
        <f>AN191-AW191</f>
        <v/>
      </c>
      <c r="BC191" s="141">
        <f>BB191*AB191</f>
        <v/>
      </c>
      <c r="BD191" s="122">
        <f>AO191-AX191</f>
        <v/>
      </c>
      <c r="BE191" s="122">
        <f>BD191*AC191</f>
        <v/>
      </c>
      <c r="BF191" s="122">
        <f>AP191-AY191</f>
        <v/>
      </c>
      <c r="BG191" s="122">
        <f>BF191*AC191</f>
        <v/>
      </c>
      <c r="BH191" s="122">
        <f>BB191+BD191+BF191</f>
        <v/>
      </c>
      <c r="BI191" s="122">
        <f>BC191+BE191+BG191</f>
        <v/>
      </c>
      <c r="BJ191" s="324">
        <f>BL191+BS191+BV191+BY191+CB191+CE191+CH191+CK191</f>
        <v/>
      </c>
      <c r="BK191" s="320">
        <f>((AI191+AW191)*AB191)+((AJ191+AK191+AX191+AY191)*AC191)</f>
        <v/>
      </c>
      <c r="BL191" s="132">
        <f>BM191+BN191+AL191</f>
        <v/>
      </c>
      <c r="BM191" s="133">
        <f>AW191</f>
        <v/>
      </c>
      <c r="BN191" s="133">
        <f>AX191+AY191</f>
        <v/>
      </c>
      <c r="BO191" s="179" t="n"/>
      <c r="BP191" s="179" t="n"/>
      <c r="BQ191" s="179" t="n"/>
      <c r="BR191" s="179" t="n"/>
      <c r="BS191" s="179" t="n"/>
      <c r="BT191" s="179" t="n"/>
      <c r="BU191" s="320" t="n">
        <v>0</v>
      </c>
      <c r="BV191" s="179" t="n"/>
      <c r="BW191" s="179" t="n"/>
      <c r="BX191" s="179" t="n"/>
      <c r="BY191" s="179" t="n"/>
      <c r="BZ191" s="179" t="n"/>
      <c r="CA191" s="124">
        <f>BY191*BZ191</f>
        <v/>
      </c>
      <c r="CB191" s="179" t="n"/>
      <c r="CC191" s="179" t="n"/>
      <c r="CD191" s="179" t="n"/>
      <c r="CE191" s="179" t="n"/>
      <c r="CF191" s="179" t="n"/>
      <c r="CG191" s="179" t="n"/>
      <c r="CH191" s="179" t="n"/>
      <c r="CI191" s="179" t="n"/>
      <c r="CJ191" s="179" t="n"/>
      <c r="CK191" s="179" t="n"/>
      <c r="CL191" s="179" t="n"/>
      <c r="CM191" s="179" t="n"/>
      <c r="CN191" s="179" t="n"/>
      <c r="CO191" s="170" t="n"/>
      <c r="CP191" s="179" t="n"/>
      <c r="CQ191" s="179" t="n"/>
      <c r="CR191" s="170" t="n"/>
      <c r="CS191" s="155" t="n"/>
      <c r="CT191" s="143" t="n">
        <v>88.27</v>
      </c>
      <c r="CU191" s="177">
        <f>(BB191* AB191)+(BD191* AC191)+(BF191* AC191)+(S191+T191+U191+V191+W191+X191+Y191+Z191)</f>
        <v/>
      </c>
      <c r="CV191" s="177">
        <f>CU191-O191</f>
        <v/>
      </c>
      <c r="CW191" s="325" t="n"/>
    </row>
    <row r="192" ht="19.9" customFormat="1" customHeight="1" s="67">
      <c r="A192" s="120" t="inlineStr">
        <is>
          <t>Grupo Alucentro</t>
        </is>
      </c>
      <c r="B192" s="65" t="n">
        <v>10035411331</v>
      </c>
      <c r="C192" s="120" t="inlineStr">
        <is>
          <t>UC: Washington Luís Assunção</t>
        </is>
      </c>
      <c r="D192" s="121" t="inlineStr">
        <is>
          <t>PIRENÓPOLIS GO</t>
        </is>
      </c>
      <c r="E192" s="121" t="n"/>
      <c r="F192" s="141" t="n"/>
      <c r="G192" s="334" t="n"/>
      <c r="H192" s="143">
        <f>F192*G192</f>
        <v/>
      </c>
      <c r="I192" s="140" t="n"/>
      <c r="J192" s="144" t="n"/>
      <c r="K192" s="66" t="n"/>
      <c r="L192" s="140" t="n"/>
      <c r="M192" s="145" t="inlineStr">
        <is>
          <t>Maio/2023</t>
        </is>
      </c>
      <c r="N192" s="145" t="inlineStr">
        <is>
          <t>11/04/2023 a 11/05/2023</t>
        </is>
      </c>
      <c r="O192" s="331" t="n"/>
      <c r="P192" s="331" t="n"/>
      <c r="Q192" s="331" t="n"/>
      <c r="R192" s="147" t="n"/>
      <c r="S192" s="331" t="n"/>
      <c r="T192" s="331" t="n"/>
      <c r="U192" s="331" t="n"/>
      <c r="V192" s="331" t="n"/>
      <c r="W192" s="331" t="n"/>
      <c r="X192" s="331" t="n"/>
      <c r="Y192" s="331" t="n"/>
      <c r="Z192" s="331" t="n"/>
      <c r="AA192" s="331" t="n"/>
      <c r="AB192" s="332" t="n">
        <v>0.812212</v>
      </c>
      <c r="AC192" s="332" t="n">
        <v>0.812212</v>
      </c>
      <c r="AD192" s="143" t="n"/>
      <c r="AE192" s="173" t="n"/>
      <c r="AF192" s="143" t="n"/>
      <c r="AG192" s="143">
        <f>SUM(AD192:AF192)</f>
        <v/>
      </c>
      <c r="AH192" s="143">
        <f>(AD192*AB192)+((AE192+AF192)*AC192)</f>
        <v/>
      </c>
      <c r="AI192" s="143">
        <f>AD192-AS192</f>
        <v/>
      </c>
      <c r="AJ192" s="143">
        <f>AE192-AT192</f>
        <v/>
      </c>
      <c r="AK192" s="143">
        <f>AF192-AU192</f>
        <v/>
      </c>
      <c r="AL192" s="208">
        <f>SUM(AI192:AK192)</f>
        <v/>
      </c>
      <c r="AM192" s="336">
        <f>(AI192*AB192)+((AJ192+AK192)*AC192)</f>
        <v/>
      </c>
      <c r="AN192" s="143" t="n">
        <v>0</v>
      </c>
      <c r="AO192" s="143" t="n">
        <v>101.79</v>
      </c>
      <c r="AP192" s="143" t="n">
        <v>0</v>
      </c>
      <c r="AQ192" s="124">
        <f>SUM(AN192:AP192)</f>
        <v/>
      </c>
      <c r="AR192" s="321">
        <f>(AN192*AB192)+((AO192+AP192)*AC192)</f>
        <v/>
      </c>
      <c r="AS192" s="155" t="n"/>
      <c r="AT192" s="155" t="n"/>
      <c r="AU192" s="155" t="n"/>
      <c r="AV192" s="124">
        <f>SUM(AS192:AU192)</f>
        <v/>
      </c>
      <c r="AW192" s="155" t="n"/>
      <c r="AX192" s="155" t="n"/>
      <c r="AY192" s="155" t="n"/>
      <c r="AZ192" s="124">
        <f>SUM(AW192:AY192)</f>
        <v/>
      </c>
      <c r="BA192" s="335">
        <f>(AW192*AB192)+((AX192+AY192)*AC192)</f>
        <v/>
      </c>
      <c r="BB192" s="122">
        <f>AN192-AW192</f>
        <v/>
      </c>
      <c r="BC192" s="141">
        <f>BB192*AB192</f>
        <v/>
      </c>
      <c r="BD192" s="122">
        <f>AO192-AX192</f>
        <v/>
      </c>
      <c r="BE192" s="122">
        <f>BD192*AC192</f>
        <v/>
      </c>
      <c r="BF192" s="122">
        <f>AP192-AY192</f>
        <v/>
      </c>
      <c r="BG192" s="122">
        <f>BF192*AC192</f>
        <v/>
      </c>
      <c r="BH192" s="122">
        <f>BB192+BD192+BF192</f>
        <v/>
      </c>
      <c r="BI192" s="122">
        <f>BC192+BE192+BG192</f>
        <v/>
      </c>
      <c r="BJ192" s="324">
        <f>BL192+BS192+BV192+BY192+CB192+CE192+CH192+CK192</f>
        <v/>
      </c>
      <c r="BK192" s="320">
        <f>((AI192+AW192)*AB192)+((AJ192+AK192+AX192+AY192)*AC192)</f>
        <v/>
      </c>
      <c r="BL192" s="132">
        <f>BM192+BN192+AL192</f>
        <v/>
      </c>
      <c r="BM192" s="133">
        <f>AW192</f>
        <v/>
      </c>
      <c r="BN192" s="133">
        <f>AX192+AY192</f>
        <v/>
      </c>
      <c r="BO192" s="179" t="n"/>
      <c r="BP192" s="179" t="n"/>
      <c r="BQ192" s="179" t="n"/>
      <c r="BR192" s="179" t="n"/>
      <c r="BS192" s="179" t="n"/>
      <c r="BT192" s="179" t="n"/>
      <c r="BU192" s="320" t="n">
        <v>0</v>
      </c>
      <c r="BV192" s="179" t="n"/>
      <c r="BW192" s="179" t="n"/>
      <c r="BX192" s="179" t="n"/>
      <c r="BY192" s="179" t="n"/>
      <c r="BZ192" s="179" t="n"/>
      <c r="CA192" s="124">
        <f>BY192*BZ192</f>
        <v/>
      </c>
      <c r="CB192" s="179" t="n"/>
      <c r="CC192" s="179" t="n"/>
      <c r="CD192" s="179" t="n"/>
      <c r="CE192" s="179" t="n"/>
      <c r="CF192" s="179" t="n"/>
      <c r="CG192" s="179" t="n"/>
      <c r="CH192" s="179" t="n"/>
      <c r="CI192" s="179" t="n"/>
      <c r="CJ192" s="179" t="n"/>
      <c r="CK192" s="179" t="n"/>
      <c r="CL192" s="179" t="n"/>
      <c r="CM192" s="179" t="n"/>
      <c r="CN192" s="179" t="n"/>
      <c r="CO192" s="170" t="n"/>
      <c r="CP192" s="179" t="n"/>
      <c r="CQ192" s="179" t="n"/>
      <c r="CR192" s="170" t="n"/>
      <c r="CS192" s="155" t="n"/>
      <c r="CT192" s="143" t="n">
        <v>88.2</v>
      </c>
      <c r="CU192" s="177">
        <f>(BB192* AB192)+(BD192* AC192)+(BF192* AC192)+(S192+T192+U192+V192+W192+X192+Y192+Z192)</f>
        <v/>
      </c>
      <c r="CV192" s="177">
        <f>CU192-O192</f>
        <v/>
      </c>
      <c r="CW192" s="325" t="n"/>
    </row>
    <row r="193" ht="19.9" customFormat="1" customHeight="1" s="67">
      <c r="A193" s="233" t="inlineStr">
        <is>
          <t>Grupo Alucentro</t>
        </is>
      </c>
      <c r="B193" s="66" t="n">
        <v>10035411331</v>
      </c>
      <c r="C193" s="233" t="inlineStr">
        <is>
          <t>UC: Washington Luís Assunção</t>
        </is>
      </c>
      <c r="D193" s="140" t="inlineStr">
        <is>
          <t>PIRENÓPOLIS GO</t>
        </is>
      </c>
      <c r="E193" s="140" t="n"/>
      <c r="F193" s="122" t="n"/>
      <c r="G193" s="320" t="n"/>
      <c r="H193" s="124">
        <f>F193*G193</f>
        <v/>
      </c>
      <c r="I193" s="121" t="n"/>
      <c r="J193" s="125" t="n"/>
      <c r="K193" s="65" t="n"/>
      <c r="L193" s="121" t="n"/>
      <c r="M193" s="126" t="inlineStr">
        <is>
          <t>Junho/2023</t>
        </is>
      </c>
      <c r="N193" s="126" t="inlineStr">
        <is>
          <t>11/05/2023 a 10/06/2023</t>
        </is>
      </c>
      <c r="O193" s="321" t="n"/>
      <c r="P193" s="321" t="n"/>
      <c r="Q193" s="321" t="n"/>
      <c r="R193" s="207" t="n"/>
      <c r="S193" s="321" t="n"/>
      <c r="T193" s="321" t="n"/>
      <c r="U193" s="321" t="n"/>
      <c r="V193" s="321" t="n"/>
      <c r="W193" s="321" t="n"/>
      <c r="X193" s="321" t="n"/>
      <c r="Y193" s="321" t="n"/>
      <c r="Z193" s="321" t="n"/>
      <c r="AA193" s="321" t="n"/>
      <c r="AB193" s="322" t="n">
        <v>0.775122</v>
      </c>
      <c r="AC193" s="322" t="n">
        <v>0.775122</v>
      </c>
      <c r="AD193" s="124" t="n"/>
      <c r="AE193" s="124" t="n"/>
      <c r="AF193" s="124" t="n"/>
      <c r="AG193" s="124">
        <f>SUM(AD193:AF193)</f>
        <v/>
      </c>
      <c r="AH193" s="124">
        <f>(AD193*AB193)+((AE193+AF193)*AC193)</f>
        <v/>
      </c>
      <c r="AI193" s="124">
        <f>AD193-AS193</f>
        <v/>
      </c>
      <c r="AJ193" s="124">
        <f>AE193-AT193</f>
        <v/>
      </c>
      <c r="AK193" s="124">
        <f>AF193-AU193</f>
        <v/>
      </c>
      <c r="AL193" s="210">
        <f>SUM(AI193:AK193)</f>
        <v/>
      </c>
      <c r="AM193" s="337">
        <f>(AI193*AB193)+((AJ193+AK193)*AC193)</f>
        <v/>
      </c>
      <c r="AN193" s="143" t="n">
        <v>0</v>
      </c>
      <c r="AO193" s="143" t="n">
        <v>107.78</v>
      </c>
      <c r="AP193" s="143" t="n">
        <v>0</v>
      </c>
      <c r="AQ193" s="143">
        <f>SUM(AN193:AP193)</f>
        <v/>
      </c>
      <c r="AR193" s="331">
        <f>(AN193*AB193)+((AO193+AP193)*AC193)</f>
        <v/>
      </c>
      <c r="AS193" s="155" t="n"/>
      <c r="AT193" s="155" t="n"/>
      <c r="AU193" s="155" t="n"/>
      <c r="AV193" s="124">
        <f>SUM(AS193:AU193)</f>
        <v/>
      </c>
      <c r="AW193" s="155" t="n"/>
      <c r="AX193" s="155" t="n"/>
      <c r="AY193" s="155" t="n"/>
      <c r="AZ193" s="124">
        <f>SUM(AW193:AY193)</f>
        <v/>
      </c>
      <c r="BA193" s="335">
        <f>(AW193*AB193)+((AX193+AY193)*AC193)</f>
        <v/>
      </c>
      <c r="BB193" s="122">
        <f>AN193-AW193</f>
        <v/>
      </c>
      <c r="BC193" s="141">
        <f>BB193*AB193</f>
        <v/>
      </c>
      <c r="BD193" s="122">
        <f>AO193-AX193</f>
        <v/>
      </c>
      <c r="BE193" s="122">
        <f>BD193*AC193</f>
        <v/>
      </c>
      <c r="BF193" s="122">
        <f>AP193-AY193</f>
        <v/>
      </c>
      <c r="BG193" s="122">
        <f>BF193*AC193</f>
        <v/>
      </c>
      <c r="BH193" s="122">
        <f>BB193+BD193+BF193</f>
        <v/>
      </c>
      <c r="BI193" s="122">
        <f>BC193+BE193+BG193</f>
        <v/>
      </c>
      <c r="BJ193" s="324">
        <f>BL193+BS193+BV193+BY193+CB193+CE193+CH193+CK193</f>
        <v/>
      </c>
      <c r="BK193" s="320">
        <f>((AI193+AW193)*AB193)+((AJ193+AK193+AX193+AY193)*AC193)</f>
        <v/>
      </c>
      <c r="BL193" s="132">
        <f>BM193+BN193+AL193</f>
        <v/>
      </c>
      <c r="BM193" s="133">
        <f>AW193</f>
        <v/>
      </c>
      <c r="BN193" s="133">
        <f>AX193+AY193</f>
        <v/>
      </c>
      <c r="BO193" s="179" t="n"/>
      <c r="BP193" s="179" t="n"/>
      <c r="BQ193" s="179" t="n"/>
      <c r="BR193" s="179" t="n"/>
      <c r="BS193" s="179" t="n"/>
      <c r="BT193" s="179" t="n"/>
      <c r="BU193" s="320" t="n">
        <v>0</v>
      </c>
      <c r="BV193" s="179" t="n"/>
      <c r="BW193" s="179" t="n"/>
      <c r="BX193" s="179" t="n"/>
      <c r="BY193" s="179" t="n"/>
      <c r="BZ193" s="179" t="n"/>
      <c r="CA193" s="124">
        <f>BY193*BZ193</f>
        <v/>
      </c>
      <c r="CB193" s="179" t="n"/>
      <c r="CC193" s="179" t="n"/>
      <c r="CD193" s="179" t="n"/>
      <c r="CE193" s="179" t="n"/>
      <c r="CF193" s="179" t="n"/>
      <c r="CG193" s="179" t="n"/>
      <c r="CH193" s="179" t="n"/>
      <c r="CI193" s="179" t="n"/>
      <c r="CJ193" s="179" t="n"/>
      <c r="CK193" s="179" t="n"/>
      <c r="CL193" s="179" t="n"/>
      <c r="CM193" s="179" t="n"/>
      <c r="CN193" s="179" t="n"/>
      <c r="CO193" s="170" t="n"/>
      <c r="CP193" s="179" t="n"/>
      <c r="CQ193" s="179" t="n"/>
      <c r="CR193" s="170" t="n"/>
      <c r="CS193" s="155" t="n"/>
      <c r="CT193" s="143" t="n">
        <v>0</v>
      </c>
      <c r="CU193" s="177">
        <f>(BB193* AB193)+(BD193* AC193)+(BF193* AC193)+(S193+T193+U193+V193+W193+X193+Y193+Z193)</f>
        <v/>
      </c>
      <c r="CV193" s="177">
        <f>CU193-O193</f>
        <v/>
      </c>
      <c r="CW193" s="325" t="n"/>
    </row>
    <row r="194" ht="19.9" customFormat="1" customHeight="1" s="67">
      <c r="A194" s="120" t="inlineStr">
        <is>
          <t>Grupo Alucentro</t>
        </is>
      </c>
      <c r="B194" s="65" t="n">
        <v>10035411331</v>
      </c>
      <c r="C194" s="120" t="inlineStr">
        <is>
          <t>UC: Washington Luís Assunção</t>
        </is>
      </c>
      <c r="D194" s="121" t="inlineStr">
        <is>
          <t>PIRENÓPOLIS GO</t>
        </is>
      </c>
      <c r="E194" s="121" t="n"/>
      <c r="F194" s="141" t="n"/>
      <c r="G194" s="334" t="n"/>
      <c r="H194" s="143">
        <f>F194*G194</f>
        <v/>
      </c>
      <c r="I194" s="140" t="n"/>
      <c r="J194" s="144" t="n"/>
      <c r="K194" s="66" t="n"/>
      <c r="L194" s="140" t="n"/>
      <c r="M194" s="145" t="inlineStr">
        <is>
          <t>Julho/2023</t>
        </is>
      </c>
      <c r="N194" s="145" t="inlineStr">
        <is>
          <t>10/06/2023 a 11/07/2023</t>
        </is>
      </c>
      <c r="O194" s="331" t="n"/>
      <c r="P194" s="331" t="n"/>
      <c r="Q194" s="331" t="n"/>
      <c r="R194" s="147" t="n"/>
      <c r="S194" s="331" t="n"/>
      <c r="T194" s="331" t="n"/>
      <c r="U194" s="331" t="n"/>
      <c r="V194" s="331" t="n"/>
      <c r="W194" s="331" t="n"/>
      <c r="X194" s="331" t="n"/>
      <c r="Y194" s="331" t="n"/>
      <c r="Z194" s="331" t="n"/>
      <c r="AA194" s="331" t="n"/>
      <c r="AB194" s="332" t="n">
        <v>0.785004</v>
      </c>
      <c r="AC194" s="332" t="n">
        <v>0.785004</v>
      </c>
      <c r="AD194" s="143" t="n"/>
      <c r="AE194" s="173" t="n"/>
      <c r="AF194" s="143" t="n"/>
      <c r="AG194" s="143">
        <f>SUM(AD194:AF194)</f>
        <v/>
      </c>
      <c r="AH194" s="143">
        <f>(AD194*AB194)+((AE194+AF194)*AC194)</f>
        <v/>
      </c>
      <c r="AI194" s="143">
        <f>AD194-AS194</f>
        <v/>
      </c>
      <c r="AJ194" s="143">
        <f>AE194-AT194</f>
        <v/>
      </c>
      <c r="AK194" s="143">
        <f>AF194-AU194</f>
        <v/>
      </c>
      <c r="AL194" s="208">
        <f>SUM(AI194:AK194)</f>
        <v/>
      </c>
      <c r="AM194" s="336">
        <f>(AI194*AB194)+((AJ194+AK194)*AC194)</f>
        <v/>
      </c>
      <c r="AN194" s="143" t="n">
        <v>0</v>
      </c>
      <c r="AO194" s="143" t="n">
        <v>30</v>
      </c>
      <c r="AP194" s="143" t="n">
        <v>0</v>
      </c>
      <c r="AQ194" s="124">
        <f>SUM(AN194:AP194)</f>
        <v/>
      </c>
      <c r="AR194" s="321">
        <f>(AN194*AB194)+((AO194+AP194)*AC194)</f>
        <v/>
      </c>
      <c r="AS194" s="155" t="n"/>
      <c r="AT194" s="155" t="n"/>
      <c r="AU194" s="155" t="n"/>
      <c r="AV194" s="124">
        <f>SUM(AS194:AU194)</f>
        <v/>
      </c>
      <c r="AW194" s="155" t="n"/>
      <c r="AX194" s="155" t="n"/>
      <c r="AY194" s="155" t="n"/>
      <c r="AZ194" s="124">
        <f>SUM(AW194:AY194)</f>
        <v/>
      </c>
      <c r="BA194" s="335">
        <f>(AW194*AB194)+((AX194+AY194)*AC194)</f>
        <v/>
      </c>
      <c r="BB194" s="122">
        <f>AN194-AW194</f>
        <v/>
      </c>
      <c r="BC194" s="141">
        <f>BB194*AB194</f>
        <v/>
      </c>
      <c r="BD194" s="122">
        <f>AO194-AX194</f>
        <v/>
      </c>
      <c r="BE194" s="122">
        <f>BD194*AC194</f>
        <v/>
      </c>
      <c r="BF194" s="122">
        <f>AP194-AY194</f>
        <v/>
      </c>
      <c r="BG194" s="122">
        <f>BF194*AC194</f>
        <v/>
      </c>
      <c r="BH194" s="122">
        <f>BB194+BD194+BF194</f>
        <v/>
      </c>
      <c r="BI194" s="122">
        <f>BC194+BE194+BG194</f>
        <v/>
      </c>
      <c r="BJ194" s="324">
        <f>BL194+BS194+BV194+BY194+CB194+CE194+CH194+CK194</f>
        <v/>
      </c>
      <c r="BK194" s="320">
        <f>((AI194+AW194)*AB194)+((AJ194+AK194+AX194+AY194)*AC194)</f>
        <v/>
      </c>
      <c r="BL194" s="132">
        <f>BM194+BN194+AL194</f>
        <v/>
      </c>
      <c r="BM194" s="133">
        <f>AW194</f>
        <v/>
      </c>
      <c r="BN194" s="133">
        <f>AX194+AY194</f>
        <v/>
      </c>
      <c r="BO194" s="179" t="n"/>
      <c r="BP194" s="179" t="n"/>
      <c r="BQ194" s="179" t="n"/>
      <c r="BR194" s="179" t="n"/>
      <c r="BS194" s="179" t="n"/>
      <c r="BT194" s="179" t="n"/>
      <c r="BU194" s="320" t="n">
        <v>0</v>
      </c>
      <c r="BV194" s="179" t="n"/>
      <c r="BW194" s="179" t="n"/>
      <c r="BX194" s="179" t="n"/>
      <c r="BY194" s="179" t="n"/>
      <c r="BZ194" s="179" t="n"/>
      <c r="CA194" s="124">
        <f>BY194*BZ194</f>
        <v/>
      </c>
      <c r="CB194" s="179" t="n"/>
      <c r="CC194" s="179" t="n"/>
      <c r="CD194" s="179" t="n"/>
      <c r="CE194" s="179" t="n"/>
      <c r="CF194" s="179" t="n"/>
      <c r="CG194" s="179" t="n"/>
      <c r="CH194" s="179" t="n"/>
      <c r="CI194" s="179" t="n"/>
      <c r="CJ194" s="179" t="n"/>
      <c r="CK194" s="179" t="n"/>
      <c r="CL194" s="179" t="n"/>
      <c r="CM194" s="179" t="n"/>
      <c r="CN194" s="179" t="n"/>
      <c r="CO194" s="170" t="n"/>
      <c r="CP194" s="179" t="n"/>
      <c r="CQ194" s="179" t="n"/>
      <c r="CR194" s="170" t="n"/>
      <c r="CS194" s="155" t="n"/>
      <c r="CT194" s="143" t="n">
        <v>0</v>
      </c>
      <c r="CU194" s="177">
        <f>(BB194* AB194)+(BD194* AC194)+(BF194* AC194)+(S194+T194+U194+V194+W194+X194+Y194+Z194)</f>
        <v/>
      </c>
      <c r="CV194" s="177">
        <f>CU194-O194</f>
        <v/>
      </c>
      <c r="CW194" s="325" t="n"/>
    </row>
    <row r="195" ht="19.9" customFormat="1" customHeight="1" s="67">
      <c r="A195" s="139" t="inlineStr">
        <is>
          <t>Grupo Alucentro</t>
        </is>
      </c>
      <c r="B195" s="66" t="n">
        <v>10035411331</v>
      </c>
      <c r="C195" s="139" t="inlineStr">
        <is>
          <t>UC: Washington Luís Assunção</t>
        </is>
      </c>
      <c r="D195" s="140" t="inlineStr">
        <is>
          <t>PIRENÓPOLIS GO</t>
        </is>
      </c>
      <c r="E195" s="140" t="n"/>
      <c r="F195" s="122" t="n"/>
      <c r="G195" s="320" t="n"/>
      <c r="H195" s="124">
        <f>F195*G195</f>
        <v/>
      </c>
      <c r="I195" s="121" t="n"/>
      <c r="J195" s="125" t="n"/>
      <c r="K195" s="65" t="n"/>
      <c r="L195" s="121" t="n"/>
      <c r="M195" s="126" t="inlineStr">
        <is>
          <t>Agosto/2023</t>
        </is>
      </c>
      <c r="N195" s="126" t="inlineStr">
        <is>
          <t>11/07/2023 a 09/08/2023</t>
        </is>
      </c>
      <c r="O195" s="321" t="n"/>
      <c r="P195" s="321" t="n"/>
      <c r="Q195" s="321" t="n"/>
      <c r="R195" s="207" t="n"/>
      <c r="S195" s="321" t="n"/>
      <c r="T195" s="321" t="n"/>
      <c r="U195" s="321" t="n"/>
      <c r="V195" s="321" t="n"/>
      <c r="W195" s="321" t="n"/>
      <c r="X195" s="321" t="n"/>
      <c r="Y195" s="321" t="n"/>
      <c r="Z195" s="321" t="n"/>
      <c r="AA195" s="321" t="n"/>
      <c r="AB195" s="322" t="n">
        <v>0.7940430000000001</v>
      </c>
      <c r="AC195" s="322" t="n">
        <v>0.7940430000000001</v>
      </c>
      <c r="AD195" s="124" t="n"/>
      <c r="AE195" s="124" t="n"/>
      <c r="AF195" s="124" t="n"/>
      <c r="AG195" s="124">
        <f>SUM(AD195:AF195)</f>
        <v/>
      </c>
      <c r="AH195" s="124">
        <f>(AD195*AB195)+((AE195+AF195)*AC195)</f>
        <v/>
      </c>
      <c r="AI195" s="124">
        <f>AD195-AS195</f>
        <v/>
      </c>
      <c r="AJ195" s="124">
        <f>AE195-AT195</f>
        <v/>
      </c>
      <c r="AK195" s="124">
        <f>AF195-AU195</f>
        <v/>
      </c>
      <c r="AL195" s="210">
        <f>SUM(AI195:AK195)</f>
        <v/>
      </c>
      <c r="AM195" s="337">
        <f>(AI195*AB195)+((AJ195+AK195)*AC195)</f>
        <v/>
      </c>
      <c r="AN195" s="143" t="n">
        <v>0</v>
      </c>
      <c r="AO195" s="143" t="n">
        <v>113.39</v>
      </c>
      <c r="AP195" s="143" t="n">
        <v>0</v>
      </c>
      <c r="AQ195" s="143">
        <f>SUM(AN195:AP195)</f>
        <v/>
      </c>
      <c r="AR195" s="331">
        <f>(AN195*AB195)+((AO195+AP195)*AC195)</f>
        <v/>
      </c>
      <c r="AS195" s="155" t="n"/>
      <c r="AT195" s="155" t="n"/>
      <c r="AU195" s="155" t="n"/>
      <c r="AV195" s="124">
        <f>SUM(AS195:AU195)</f>
        <v/>
      </c>
      <c r="AW195" s="155" t="n"/>
      <c r="AX195" s="155" t="n"/>
      <c r="AY195" s="155" t="n"/>
      <c r="AZ195" s="124">
        <f>SUM(AW195:AY195)</f>
        <v/>
      </c>
      <c r="BA195" s="335">
        <f>(AW195*AB195)+((AX195+AY195)*AC195)</f>
        <v/>
      </c>
      <c r="BB195" s="122">
        <f>AN195-AW195</f>
        <v/>
      </c>
      <c r="BC195" s="141">
        <f>BB195*AB195</f>
        <v/>
      </c>
      <c r="BD195" s="122">
        <f>AO195-AX195</f>
        <v/>
      </c>
      <c r="BE195" s="122">
        <f>BD195*AC195</f>
        <v/>
      </c>
      <c r="BF195" s="122">
        <f>AP195-AY195</f>
        <v/>
      </c>
      <c r="BG195" s="122">
        <f>BF195*AC195</f>
        <v/>
      </c>
      <c r="BH195" s="122">
        <f>BB195+BD195+BF195</f>
        <v/>
      </c>
      <c r="BI195" s="122">
        <f>BC195+BE195+BG195</f>
        <v/>
      </c>
      <c r="BJ195" s="324">
        <f>BL195+BS195+BV195+BY195+CB195+CE195+CH195+CK195</f>
        <v/>
      </c>
      <c r="BK195" s="320">
        <f>((AI195+AW195)*AB195)+((AJ195+AK195+AX195+AY195)*AC195)</f>
        <v/>
      </c>
      <c r="BL195" s="132">
        <f>BM195+BN195+AL195</f>
        <v/>
      </c>
      <c r="BM195" s="133">
        <f>AW195</f>
        <v/>
      </c>
      <c r="BN195" s="133">
        <f>AX195+AY195</f>
        <v/>
      </c>
      <c r="BO195" s="179" t="n"/>
      <c r="BP195" s="179" t="n"/>
      <c r="BQ195" s="179" t="n"/>
      <c r="BR195" s="179" t="n"/>
      <c r="BS195" s="179" t="n"/>
      <c r="BT195" s="179" t="n"/>
      <c r="BU195" s="320" t="n">
        <v>0</v>
      </c>
      <c r="BV195" s="179" t="n"/>
      <c r="BW195" s="179" t="n"/>
      <c r="BX195" s="179" t="n"/>
      <c r="BY195" s="179" t="n"/>
      <c r="BZ195" s="179" t="n"/>
      <c r="CA195" s="124">
        <f>BY195*BZ195</f>
        <v/>
      </c>
      <c r="CB195" s="179" t="n"/>
      <c r="CC195" s="179" t="n"/>
      <c r="CD195" s="179" t="n"/>
      <c r="CE195" s="179" t="n"/>
      <c r="CF195" s="179" t="n"/>
      <c r="CG195" s="179" t="n"/>
      <c r="CH195" s="179" t="n"/>
      <c r="CI195" s="179" t="n"/>
      <c r="CJ195" s="179" t="n"/>
      <c r="CK195" s="179" t="n"/>
      <c r="CL195" s="179" t="n"/>
      <c r="CM195" s="179" t="n"/>
      <c r="CN195" s="179" t="n"/>
      <c r="CO195" s="170" t="n"/>
      <c r="CP195" s="179" t="n"/>
      <c r="CQ195" s="179" t="n"/>
      <c r="CR195" s="170" t="n"/>
      <c r="CS195" s="155" t="n"/>
      <c r="CT195" s="143" t="n">
        <v>0</v>
      </c>
      <c r="CU195" s="177">
        <f>(BB195* AB195)+(BD195* AC195)+(BF195* AC195)+(S195+T195+U195+V195+W195+X195+Y195+Z195)</f>
        <v/>
      </c>
      <c r="CV195" s="177">
        <f>CU195-O195</f>
        <v/>
      </c>
      <c r="CW195" s="325" t="n"/>
    </row>
    <row r="196" ht="19.9" customFormat="1" customHeight="1" s="67">
      <c r="A196" s="120" t="inlineStr">
        <is>
          <t>Grupo Alucentro</t>
        </is>
      </c>
      <c r="B196" s="65" t="n">
        <v>10035411331</v>
      </c>
      <c r="C196" s="120" t="inlineStr">
        <is>
          <t>UC: Washington Luís Assunção</t>
        </is>
      </c>
      <c r="D196" s="121" t="inlineStr">
        <is>
          <t>PIRENÓPOLIS GO</t>
        </is>
      </c>
      <c r="E196" s="121" t="n"/>
      <c r="F196" s="141" t="n"/>
      <c r="G196" s="334" t="n"/>
      <c r="H196" s="143">
        <f>F196*G196</f>
        <v/>
      </c>
      <c r="I196" s="140" t="n"/>
      <c r="J196" s="144" t="n"/>
      <c r="K196" s="66" t="n"/>
      <c r="L196" s="140" t="n"/>
      <c r="M196" s="145" t="inlineStr">
        <is>
          <t>Setembro/2023</t>
        </is>
      </c>
      <c r="N196" s="145" t="inlineStr">
        <is>
          <t>09/08/2023 a 09/09/2023</t>
        </is>
      </c>
      <c r="O196" s="331" t="n"/>
      <c r="P196" s="331" t="n"/>
      <c r="Q196" s="331" t="n"/>
      <c r="R196" s="147" t="n"/>
      <c r="S196" s="331" t="n"/>
      <c r="T196" s="331" t="n"/>
      <c r="U196" s="331" t="n"/>
      <c r="V196" s="331" t="n"/>
      <c r="W196" s="331" t="n"/>
      <c r="X196" s="331" t="n"/>
      <c r="Y196" s="331" t="n"/>
      <c r="Z196" s="331" t="n"/>
      <c r="AA196" s="331" t="n"/>
      <c r="AB196" s="332" t="n">
        <v>0.77282</v>
      </c>
      <c r="AC196" s="332" t="n">
        <v>0.77282</v>
      </c>
      <c r="AD196" s="143" t="n"/>
      <c r="AE196" s="173" t="n"/>
      <c r="AF196" s="143" t="n"/>
      <c r="AG196" s="143">
        <f>SUM(AD196:AF196)</f>
        <v/>
      </c>
      <c r="AH196" s="143">
        <f>(AD196*AB196)+((AE196+AF196)*AC196)</f>
        <v/>
      </c>
      <c r="AI196" s="143">
        <f>AD196-AS196</f>
        <v/>
      </c>
      <c r="AJ196" s="143">
        <f>AE196-AT196</f>
        <v/>
      </c>
      <c r="AK196" s="143">
        <f>AF196-AU196</f>
        <v/>
      </c>
      <c r="AL196" s="208">
        <f>SUM(AI196:AK196)</f>
        <v/>
      </c>
      <c r="AM196" s="336">
        <f>(AI196*AB196)+((AJ196+AK196)*AC196)</f>
        <v/>
      </c>
      <c r="AN196" s="143" t="n">
        <v>0</v>
      </c>
      <c r="AO196" s="143" t="n">
        <v>119.46</v>
      </c>
      <c r="AP196" s="143" t="n">
        <v>0</v>
      </c>
      <c r="AQ196" s="124">
        <f>SUM(AN196:AP196)</f>
        <v/>
      </c>
      <c r="AR196" s="321">
        <f>(AN196*AB196)+((AO196+AP196)*AC196)</f>
        <v/>
      </c>
      <c r="AS196" s="155" t="n"/>
      <c r="AT196" s="155" t="n"/>
      <c r="AU196" s="155" t="n"/>
      <c r="AV196" s="124">
        <f>SUM(AS196:AU196)</f>
        <v/>
      </c>
      <c r="AW196" s="155" t="n"/>
      <c r="AX196" s="155" t="n"/>
      <c r="AY196" s="155" t="n"/>
      <c r="AZ196" s="124">
        <f>SUM(AW196:AY196)</f>
        <v/>
      </c>
      <c r="BA196" s="335">
        <f>(AW196*AB196)+((AX196+AY196)*AC196)</f>
        <v/>
      </c>
      <c r="BB196" s="122">
        <f>AN196-AW196</f>
        <v/>
      </c>
      <c r="BC196" s="141">
        <f>BB196*AB196</f>
        <v/>
      </c>
      <c r="BD196" s="122">
        <f>AO196-AX196</f>
        <v/>
      </c>
      <c r="BE196" s="122">
        <f>BD196*AC196</f>
        <v/>
      </c>
      <c r="BF196" s="122">
        <f>AP196-AY196</f>
        <v/>
      </c>
      <c r="BG196" s="122">
        <f>BF196*AC196</f>
        <v/>
      </c>
      <c r="BH196" s="122">
        <f>BB196+BD196+BF196</f>
        <v/>
      </c>
      <c r="BI196" s="122">
        <f>BC196+BE196+BG196</f>
        <v/>
      </c>
      <c r="BJ196" s="324">
        <f>BL196+BS196+BV196+BY196+CB196+CE196+CH196+CK196</f>
        <v/>
      </c>
      <c r="BK196" s="320">
        <f>((AI196+AW196)*AB196)+((AJ196+AK196+AX196+AY196)*AC196)</f>
        <v/>
      </c>
      <c r="BL196" s="132">
        <f>BM196+BN196+AL196</f>
        <v/>
      </c>
      <c r="BM196" s="133">
        <f>AW196</f>
        <v/>
      </c>
      <c r="BN196" s="133">
        <f>AX196+AY196</f>
        <v/>
      </c>
      <c r="BO196" s="179" t="n"/>
      <c r="BP196" s="179" t="n"/>
      <c r="BQ196" s="179" t="n"/>
      <c r="BR196" s="179" t="n"/>
      <c r="BS196" s="179" t="n"/>
      <c r="BT196" s="179" t="n"/>
      <c r="BU196" s="320" t="n">
        <v>0</v>
      </c>
      <c r="BV196" s="179" t="n"/>
      <c r="BW196" s="179" t="n"/>
      <c r="BX196" s="179" t="n"/>
      <c r="BY196" s="179" t="n"/>
      <c r="BZ196" s="179" t="n"/>
      <c r="CA196" s="124">
        <f>BY196*BZ196</f>
        <v/>
      </c>
      <c r="CB196" s="179" t="n"/>
      <c r="CC196" s="179" t="n"/>
      <c r="CD196" s="179" t="n"/>
      <c r="CE196" s="179" t="n"/>
      <c r="CF196" s="179" t="n"/>
      <c r="CG196" s="179" t="n"/>
      <c r="CH196" s="179" t="n"/>
      <c r="CI196" s="179" t="n"/>
      <c r="CJ196" s="179" t="n"/>
      <c r="CK196" s="179" t="n"/>
      <c r="CL196" s="179" t="n"/>
      <c r="CM196" s="179" t="n"/>
      <c r="CN196" s="179" t="n"/>
      <c r="CO196" s="170" t="n"/>
      <c r="CP196" s="179" t="n"/>
      <c r="CQ196" s="179" t="n"/>
      <c r="CR196" s="170" t="n"/>
      <c r="CS196" s="155" t="n"/>
      <c r="CT196" s="143" t="n">
        <v>0</v>
      </c>
      <c r="CU196" s="177">
        <f>(BB196* AB196)+(BD196* AC196)+(BF196* AC196)+(S196+T196+U196+V196+W196+X196+Y196+Z196)</f>
        <v/>
      </c>
      <c r="CV196" s="177">
        <f>CU196-O196</f>
        <v/>
      </c>
      <c r="CW196" s="325" t="n"/>
    </row>
    <row r="197" ht="19.9" customFormat="1" customHeight="1" s="67">
      <c r="A197" s="233" t="inlineStr">
        <is>
          <t>Grupo Alucentro</t>
        </is>
      </c>
      <c r="B197" s="66" t="n">
        <v>10035411331</v>
      </c>
      <c r="C197" s="233" t="inlineStr">
        <is>
          <t>UC: Washington Luís Assunção</t>
        </is>
      </c>
      <c r="D197" s="140" t="inlineStr">
        <is>
          <t>PIRENÓPOLIS GO</t>
        </is>
      </c>
      <c r="E197" s="140" t="n"/>
      <c r="F197" s="122" t="n"/>
      <c r="G197" s="320" t="n"/>
      <c r="H197" s="124">
        <f>F197*G197</f>
        <v/>
      </c>
      <c r="I197" s="121" t="n"/>
      <c r="J197" s="125" t="n"/>
      <c r="K197" s="65" t="n"/>
      <c r="L197" s="121" t="n"/>
      <c r="M197" s="126" t="inlineStr">
        <is>
          <t>Outubro/2023</t>
        </is>
      </c>
      <c r="N197" s="126" t="inlineStr">
        <is>
          <t>09/09/2023 a 10/10/2023</t>
        </is>
      </c>
      <c r="O197" s="321" t="n"/>
      <c r="P197" s="321" t="n"/>
      <c r="Q197" s="321" t="n"/>
      <c r="R197" s="207" t="n"/>
      <c r="S197" s="321" t="n"/>
      <c r="T197" s="321" t="n"/>
      <c r="U197" s="321" t="n"/>
      <c r="V197" s="321" t="n"/>
      <c r="W197" s="321" t="n"/>
      <c r="X197" s="321" t="n"/>
      <c r="Y197" s="321" t="n"/>
      <c r="Z197" s="321" t="n"/>
      <c r="AA197" s="321" t="n"/>
      <c r="AB197" s="322" t="n">
        <v>0.789048</v>
      </c>
      <c r="AC197" s="322" t="n">
        <v>0.789048</v>
      </c>
      <c r="AD197" s="124" t="n"/>
      <c r="AE197" s="124" t="n"/>
      <c r="AF197" s="124" t="n"/>
      <c r="AG197" s="124">
        <f>SUM(AD197:AF197)</f>
        <v/>
      </c>
      <c r="AH197" s="124">
        <f>(AD197*AB197)+((AE197+AF197)*AC197)</f>
        <v/>
      </c>
      <c r="AI197" s="124">
        <f>AD197-AS197</f>
        <v/>
      </c>
      <c r="AJ197" s="124">
        <f>AE197-AT197</f>
        <v/>
      </c>
      <c r="AK197" s="124">
        <f>AF197-AU197</f>
        <v/>
      </c>
      <c r="AL197" s="210">
        <f>SUM(AI197:AK197)</f>
        <v/>
      </c>
      <c r="AM197" s="337">
        <f>(AI197*AB197)+((AJ197+AK197)*AC197)</f>
        <v/>
      </c>
      <c r="AN197" s="143" t="n">
        <v>0</v>
      </c>
      <c r="AO197" s="143" t="n">
        <v>126.73</v>
      </c>
      <c r="AP197" s="143" t="n">
        <v>0</v>
      </c>
      <c r="AQ197" s="143">
        <f>SUM(AN197:AP197)</f>
        <v/>
      </c>
      <c r="AR197" s="331">
        <f>(AN197*AB197)+((AO197+AP197)*AC197)</f>
        <v/>
      </c>
      <c r="AS197" s="155" t="n"/>
      <c r="AT197" s="155" t="n"/>
      <c r="AU197" s="155" t="n"/>
      <c r="AV197" s="124">
        <f>SUM(AS197:AU197)</f>
        <v/>
      </c>
      <c r="AW197" s="155" t="n"/>
      <c r="AX197" s="155" t="n"/>
      <c r="AY197" s="155" t="n"/>
      <c r="AZ197" s="124">
        <f>SUM(AW197:AY197)</f>
        <v/>
      </c>
      <c r="BA197" s="335">
        <f>(AW197*AB197)+((AX197+AY197)*AC197)</f>
        <v/>
      </c>
      <c r="BB197" s="122">
        <f>AN197-AW197</f>
        <v/>
      </c>
      <c r="BC197" s="141">
        <f>BB197*AB197</f>
        <v/>
      </c>
      <c r="BD197" s="122">
        <f>AO197-AX197</f>
        <v/>
      </c>
      <c r="BE197" s="122">
        <f>BD197*AC197</f>
        <v/>
      </c>
      <c r="BF197" s="122">
        <f>AP197-AY197</f>
        <v/>
      </c>
      <c r="BG197" s="122">
        <f>BF197*AC197</f>
        <v/>
      </c>
      <c r="BH197" s="122">
        <f>BB197+BD197+BF197</f>
        <v/>
      </c>
      <c r="BI197" s="122">
        <f>BC197+BE197+BG197</f>
        <v/>
      </c>
      <c r="BJ197" s="324">
        <f>BL197+BS197+BV197+BY197+CB197+CE197+CH197+CK197</f>
        <v/>
      </c>
      <c r="BK197" s="320">
        <f>((AI197+AW197)*AB197)+((AJ197+AK197+AX197+AY197)*AC197)</f>
        <v/>
      </c>
      <c r="BL197" s="132">
        <f>BM197+BN197+AL197</f>
        <v/>
      </c>
      <c r="BM197" s="133">
        <f>AW197</f>
        <v/>
      </c>
      <c r="BN197" s="133">
        <f>AX197+AY197</f>
        <v/>
      </c>
      <c r="BO197" s="179" t="n"/>
      <c r="BP197" s="179" t="n"/>
      <c r="BQ197" s="179" t="n"/>
      <c r="BR197" s="179" t="n"/>
      <c r="BS197" s="179" t="n"/>
      <c r="BT197" s="179" t="n"/>
      <c r="BU197" s="320" t="n">
        <v>0</v>
      </c>
      <c r="BV197" s="179" t="n"/>
      <c r="BW197" s="179" t="n"/>
      <c r="BX197" s="179" t="n"/>
      <c r="BY197" s="179" t="n"/>
      <c r="BZ197" s="179" t="n"/>
      <c r="CA197" s="124">
        <f>BY197*BZ197</f>
        <v/>
      </c>
      <c r="CB197" s="179" t="n"/>
      <c r="CC197" s="179" t="n"/>
      <c r="CD197" s="179" t="n"/>
      <c r="CE197" s="179" t="n"/>
      <c r="CF197" s="179" t="n"/>
      <c r="CG197" s="179" t="n"/>
      <c r="CH197" s="179" t="n"/>
      <c r="CI197" s="179" t="n"/>
      <c r="CJ197" s="179" t="n"/>
      <c r="CK197" s="179" t="n"/>
      <c r="CL197" s="179" t="n"/>
      <c r="CM197" s="179" t="n"/>
      <c r="CN197" s="179" t="n"/>
      <c r="CO197" s="170" t="n"/>
      <c r="CP197" s="179" t="n"/>
      <c r="CQ197" s="179" t="n"/>
      <c r="CR197" s="170" t="n"/>
      <c r="CS197" s="155" t="n"/>
      <c r="CT197" s="143" t="n">
        <v>0</v>
      </c>
      <c r="CU197" s="177">
        <f>(BB197* AB197)+(BD197* AC197)+(BF197* AC197)+(S197+T197+U197+V197+W197+X197+Y197+Z197)</f>
        <v/>
      </c>
      <c r="CV197" s="177">
        <f>CU197-O197</f>
        <v/>
      </c>
      <c r="CW197" s="325" t="n"/>
    </row>
    <row r="198" ht="19.9" customFormat="1" customHeight="1" s="67">
      <c r="A198" s="120" t="inlineStr">
        <is>
          <t>Grupo Alucentro</t>
        </is>
      </c>
      <c r="B198" s="65" t="n">
        <v>10035411331</v>
      </c>
      <c r="C198" s="120" t="inlineStr">
        <is>
          <t>UC: Washington Luís Assunção</t>
        </is>
      </c>
      <c r="D198" s="121" t="inlineStr">
        <is>
          <t>PIRENÓPOLIS GO</t>
        </is>
      </c>
      <c r="E198" s="121" t="n"/>
      <c r="F198" s="141" t="n"/>
      <c r="G198" s="334" t="n"/>
      <c r="H198" s="143">
        <f>F198*G198</f>
        <v/>
      </c>
      <c r="I198" s="140" t="n"/>
      <c r="J198" s="144" t="n"/>
      <c r="K198" s="66" t="n"/>
      <c r="L198" s="140" t="n"/>
      <c r="M198" s="145" t="inlineStr">
        <is>
          <t>Novembro/2023</t>
        </is>
      </c>
      <c r="N198" s="145" t="inlineStr">
        <is>
          <t>10/10/2023 a 10/11/2023</t>
        </is>
      </c>
      <c r="O198" s="331" t="n"/>
      <c r="P198" s="331" t="n"/>
      <c r="Q198" s="331" t="n"/>
      <c r="R198" s="147" t="n"/>
      <c r="S198" s="331" t="n"/>
      <c r="T198" s="331" t="n"/>
      <c r="U198" s="331" t="n"/>
      <c r="V198" s="331" t="n"/>
      <c r="W198" s="331" t="n"/>
      <c r="X198" s="331" t="n"/>
      <c r="Y198" s="331" t="n"/>
      <c r="Z198" s="331" t="n"/>
      <c r="AA198" s="331" t="n"/>
      <c r="AB198" s="332" t="n">
        <v>0.865884</v>
      </c>
      <c r="AC198" s="332" t="n">
        <v>0.865884</v>
      </c>
      <c r="AD198" s="143" t="n"/>
      <c r="AE198" s="173" t="n"/>
      <c r="AF198" s="143" t="n"/>
      <c r="AG198" s="143">
        <f>SUM(AD198:AF198)</f>
        <v/>
      </c>
      <c r="AH198" s="143">
        <f>(AD198*AB198)+((AE198+AF198)*AC198)</f>
        <v/>
      </c>
      <c r="AI198" s="143">
        <f>AD198-AS198</f>
        <v/>
      </c>
      <c r="AJ198" s="143">
        <f>AE198-AT198</f>
        <v/>
      </c>
      <c r="AK198" s="143">
        <f>AF198-AU198</f>
        <v/>
      </c>
      <c r="AL198" s="208">
        <f>SUM(AI198:AK198)</f>
        <v/>
      </c>
      <c r="AM198" s="336">
        <f>(AI198*AB198)+((AJ198+AK198)*AC198)</f>
        <v/>
      </c>
      <c r="AN198" s="143" t="n">
        <v>0</v>
      </c>
      <c r="AO198" s="143" t="n">
        <v>1314.34</v>
      </c>
      <c r="AP198" s="143" t="n">
        <v>0</v>
      </c>
      <c r="AQ198" s="124">
        <f>SUM(AN198:AP198)</f>
        <v/>
      </c>
      <c r="AR198" s="321">
        <f>(AN198*AB198)+((AO198+AP198)*AC198)</f>
        <v/>
      </c>
      <c r="AS198" s="155" t="n"/>
      <c r="AT198" s="155" t="n"/>
      <c r="AU198" s="155" t="n"/>
      <c r="AV198" s="124">
        <f>SUM(AS198:AU198)</f>
        <v/>
      </c>
      <c r="AW198" s="155" t="n"/>
      <c r="AX198" s="155" t="n"/>
      <c r="AY198" s="155" t="n"/>
      <c r="AZ198" s="124">
        <f>SUM(AW198:AY198)</f>
        <v/>
      </c>
      <c r="BA198" s="335">
        <f>(AW198*AB198)+((AX198+AY198)*AC198)</f>
        <v/>
      </c>
      <c r="BB198" s="122">
        <f>AN198-AW198</f>
        <v/>
      </c>
      <c r="BC198" s="141">
        <f>BB198*AB198</f>
        <v/>
      </c>
      <c r="BD198" s="122">
        <f>AO198-AX198</f>
        <v/>
      </c>
      <c r="BE198" s="122">
        <f>BD198*AC198</f>
        <v/>
      </c>
      <c r="BF198" s="122">
        <f>AP198-AY198</f>
        <v/>
      </c>
      <c r="BG198" s="122">
        <f>BF198*AC198</f>
        <v/>
      </c>
      <c r="BH198" s="122">
        <f>BB198+BD198+BF198</f>
        <v/>
      </c>
      <c r="BI198" s="122">
        <f>BC198+BE198+BG198</f>
        <v/>
      </c>
      <c r="BJ198" s="324">
        <f>BL198+BS198+BV198+BY198+CB198+CE198+CH198+CK198</f>
        <v/>
      </c>
      <c r="BK198" s="320">
        <f>((AI198+AW198)*AB198)+((AJ198+AK198+AX198+AY198)*AC198)</f>
        <v/>
      </c>
      <c r="BL198" s="132">
        <f>BM198+BN198+AL198</f>
        <v/>
      </c>
      <c r="BM198" s="133">
        <f>AW198</f>
        <v/>
      </c>
      <c r="BN198" s="133">
        <f>AX198+AY198</f>
        <v/>
      </c>
      <c r="BO198" s="179" t="n"/>
      <c r="BP198" s="179" t="n"/>
      <c r="BQ198" s="179" t="n"/>
      <c r="BR198" s="179" t="n"/>
      <c r="BS198" s="179" t="n"/>
      <c r="BT198" s="179" t="n"/>
      <c r="BU198" s="320" t="n">
        <v>0</v>
      </c>
      <c r="BV198" s="179" t="n"/>
      <c r="BW198" s="179" t="n"/>
      <c r="BX198" s="179" t="n"/>
      <c r="BY198" s="179" t="n"/>
      <c r="BZ198" s="179" t="n"/>
      <c r="CA198" s="124">
        <f>BY198*BZ198</f>
        <v/>
      </c>
      <c r="CB198" s="179" t="n"/>
      <c r="CC198" s="179" t="n"/>
      <c r="CD198" s="179" t="n"/>
      <c r="CE198" s="179" t="n"/>
      <c r="CF198" s="179" t="n"/>
      <c r="CG198" s="179" t="n"/>
      <c r="CH198" s="179" t="n"/>
      <c r="CI198" s="179" t="n"/>
      <c r="CJ198" s="179" t="n"/>
      <c r="CK198" s="179" t="n"/>
      <c r="CL198" s="179" t="n"/>
      <c r="CM198" s="179" t="n"/>
      <c r="CN198" s="179" t="n"/>
      <c r="CO198" s="170" t="n"/>
      <c r="CP198" s="179" t="n"/>
      <c r="CQ198" s="179" t="n"/>
      <c r="CR198" s="170" t="n"/>
      <c r="CS198" s="155" t="n"/>
      <c r="CT198" s="143" t="n">
        <v>0</v>
      </c>
      <c r="CU198" s="177">
        <f>(BB198* AB198)+(BD198* AC198)+(BF198* AC198)+(S198+T198+U198+V198+W198+X198+Y198+Z198)</f>
        <v/>
      </c>
      <c r="CV198" s="177">
        <f>CU198-O198</f>
        <v/>
      </c>
      <c r="CW198" s="325" t="n"/>
    </row>
    <row r="199" ht="19.9" customFormat="1" customHeight="1" s="67">
      <c r="A199" s="139" t="inlineStr">
        <is>
          <t>Grupo Alucentro</t>
        </is>
      </c>
      <c r="B199" s="66" t="n">
        <v>10035411331</v>
      </c>
      <c r="C199" s="139" t="inlineStr">
        <is>
          <t>UC: Washington Luís Assunção</t>
        </is>
      </c>
      <c r="D199" s="140" t="inlineStr">
        <is>
          <t>PIRENÓPOLIS GO</t>
        </is>
      </c>
      <c r="E199" s="140" t="n"/>
      <c r="F199" s="122" t="n"/>
      <c r="G199" s="320" t="n"/>
      <c r="H199" s="124">
        <f>F199*G199</f>
        <v/>
      </c>
      <c r="I199" s="121" t="n"/>
      <c r="J199" s="125" t="n"/>
      <c r="K199" s="65" t="n"/>
      <c r="L199" s="121" t="n"/>
      <c r="M199" s="126" t="inlineStr">
        <is>
          <t>Dezembro/2023</t>
        </is>
      </c>
      <c r="N199" s="126" t="inlineStr">
        <is>
          <t>10/11/2023 a 08/12/2023</t>
        </is>
      </c>
      <c r="O199" s="321" t="n"/>
      <c r="P199" s="321" t="n"/>
      <c r="Q199" s="321" t="n"/>
      <c r="R199" s="207" t="n"/>
      <c r="S199" s="321" t="n"/>
      <c r="T199" s="321" t="n"/>
      <c r="U199" s="321" t="n"/>
      <c r="V199" s="321" t="n"/>
      <c r="W199" s="321" t="n"/>
      <c r="X199" s="321" t="n"/>
      <c r="Y199" s="321" t="n"/>
      <c r="Z199" s="321" t="n"/>
      <c r="AA199" s="321" t="n"/>
      <c r="AB199" s="322" t="n">
        <v>0.905265</v>
      </c>
      <c r="AC199" s="322" t="n">
        <v>0.905265</v>
      </c>
      <c r="AD199" s="124" t="n"/>
      <c r="AE199" s="124" t="n"/>
      <c r="AF199" s="124" t="n"/>
      <c r="AG199" s="124">
        <f>SUM(AD199:AF199)</f>
        <v/>
      </c>
      <c r="AH199" s="124">
        <f>(AD199*AB199)+((AE199+AF199)*AC199)</f>
        <v/>
      </c>
      <c r="AI199" s="124">
        <f>AD199-AS199</f>
        <v/>
      </c>
      <c r="AJ199" s="124">
        <f>AE199-AT199</f>
        <v/>
      </c>
      <c r="AK199" s="124">
        <f>AF199-AU199</f>
        <v/>
      </c>
      <c r="AL199" s="210">
        <f>SUM(AI199:AK199)</f>
        <v/>
      </c>
      <c r="AM199" s="337">
        <f>(AI199*AB199)+((AJ199+AK199)*AC199)</f>
        <v/>
      </c>
      <c r="AN199" s="143" t="n">
        <v>0</v>
      </c>
      <c r="AO199" s="143" t="n">
        <v>125.62</v>
      </c>
      <c r="AP199" s="143" t="n">
        <v>0</v>
      </c>
      <c r="AQ199" s="143">
        <f>SUM(AN199:AP199)</f>
        <v/>
      </c>
      <c r="AR199" s="331">
        <f>(AN199*AB199)+((AO199+AP199)*AC199)</f>
        <v/>
      </c>
      <c r="AS199" s="155" t="n"/>
      <c r="AT199" s="155" t="n"/>
      <c r="AU199" s="155" t="n"/>
      <c r="AV199" s="124">
        <f>SUM(AS199:AU199)</f>
        <v/>
      </c>
      <c r="AW199" s="155" t="n"/>
      <c r="AX199" s="155" t="n"/>
      <c r="AY199" s="155" t="n"/>
      <c r="AZ199" s="124">
        <f>SUM(AW199:AY199)</f>
        <v/>
      </c>
      <c r="BA199" s="335">
        <f>(AW199*AB199)+((AX199+AY199)*AC199)</f>
        <v/>
      </c>
      <c r="BB199" s="122">
        <f>AN199-AW199</f>
        <v/>
      </c>
      <c r="BC199" s="141">
        <f>BB199*AB199</f>
        <v/>
      </c>
      <c r="BD199" s="122">
        <f>AO199-AX199</f>
        <v/>
      </c>
      <c r="BE199" s="122">
        <f>BD199*AC199</f>
        <v/>
      </c>
      <c r="BF199" s="122">
        <f>AP199-AY199</f>
        <v/>
      </c>
      <c r="BG199" s="122">
        <f>BF199*AC199</f>
        <v/>
      </c>
      <c r="BH199" s="122">
        <f>BB199+BD199+BF199</f>
        <v/>
      </c>
      <c r="BI199" s="122">
        <f>BC199+BE199+BG199</f>
        <v/>
      </c>
      <c r="BJ199" s="324">
        <f>BL199+BS199+BV199+BY199+CB199+CE199+CH199+CK199</f>
        <v/>
      </c>
      <c r="BK199" s="320">
        <f>((AI199+AW199)*AB199)+((AJ199+AK199+AX199+AY199)*AC199)</f>
        <v/>
      </c>
      <c r="BL199" s="132">
        <f>BM199+BN199+AL199</f>
        <v/>
      </c>
      <c r="BM199" s="133">
        <f>AW199</f>
        <v/>
      </c>
      <c r="BN199" s="133">
        <f>AX199+AY199</f>
        <v/>
      </c>
      <c r="BO199" s="179" t="n"/>
      <c r="BP199" s="179" t="n"/>
      <c r="BQ199" s="179" t="n"/>
      <c r="BR199" s="179" t="n"/>
      <c r="BS199" s="179" t="n"/>
      <c r="BT199" s="179" t="n"/>
      <c r="BU199" s="320" t="n">
        <v>0</v>
      </c>
      <c r="BV199" s="179" t="n"/>
      <c r="BW199" s="179" t="n"/>
      <c r="BX199" s="179" t="n"/>
      <c r="BY199" s="179" t="n"/>
      <c r="BZ199" s="179" t="n"/>
      <c r="CA199" s="124">
        <f>BY199*BZ199</f>
        <v/>
      </c>
      <c r="CB199" s="179" t="n"/>
      <c r="CC199" s="179" t="n"/>
      <c r="CD199" s="179" t="n"/>
      <c r="CE199" s="179" t="n"/>
      <c r="CF199" s="179" t="n"/>
      <c r="CG199" s="179" t="n"/>
      <c r="CH199" s="179" t="n"/>
      <c r="CI199" s="179" t="n"/>
      <c r="CJ199" s="179" t="n"/>
      <c r="CK199" s="179" t="n"/>
      <c r="CL199" s="179" t="n"/>
      <c r="CM199" s="179" t="n"/>
      <c r="CN199" s="179" t="n"/>
      <c r="CO199" s="170" t="n"/>
      <c r="CP199" s="179" t="n"/>
      <c r="CQ199" s="179" t="n"/>
      <c r="CR199" s="170" t="n"/>
      <c r="CS199" s="155" t="n"/>
      <c r="CT199" s="143" t="n">
        <v>0</v>
      </c>
      <c r="CU199" s="177">
        <f>(BB199* AB199)+(BD199* AC199)+(BF199* AC199)+(S199+T199+U199+V199+W199+X199+Y199+Z199)</f>
        <v/>
      </c>
      <c r="CV199" s="177">
        <f>CU199-O199</f>
        <v/>
      </c>
      <c r="CW199" s="325" t="n"/>
    </row>
    <row r="200" ht="19.9" customFormat="1" customHeight="1" s="67">
      <c r="A200" s="120" t="inlineStr">
        <is>
          <t>Grupo Alucentro</t>
        </is>
      </c>
      <c r="B200" s="65" t="n">
        <v>10035411331</v>
      </c>
      <c r="C200" s="120" t="inlineStr">
        <is>
          <t>UC: Washington Luís Assunção</t>
        </is>
      </c>
      <c r="D200" s="121" t="inlineStr">
        <is>
          <t>PIRENÓPOLIS GO</t>
        </is>
      </c>
      <c r="E200" s="121" t="n"/>
      <c r="F200" s="141" t="n"/>
      <c r="G200" s="334" t="n"/>
      <c r="H200" s="143">
        <f>F200*G200</f>
        <v/>
      </c>
      <c r="I200" s="140" t="n"/>
      <c r="J200" s="144" t="n"/>
      <c r="K200" s="66" t="n"/>
      <c r="L200" s="140" t="n"/>
      <c r="M200" s="145" t="inlineStr">
        <is>
          <t>Janeiro/2024</t>
        </is>
      </c>
      <c r="N200" s="145" t="inlineStr">
        <is>
          <t>08/12/2023 a 11/01/2024</t>
        </is>
      </c>
      <c r="O200" s="331" t="n"/>
      <c r="P200" s="331" t="n"/>
      <c r="Q200" s="331" t="n"/>
      <c r="R200" s="147" t="n"/>
      <c r="S200" s="331" t="n"/>
      <c r="T200" s="331" t="n"/>
      <c r="U200" s="331" t="n"/>
      <c r="V200" s="331" t="n"/>
      <c r="W200" s="331" t="n"/>
      <c r="X200" s="331" t="n"/>
      <c r="Y200" s="331" t="n"/>
      <c r="Z200" s="331" t="n"/>
      <c r="AA200" s="331" t="n"/>
      <c r="AB200" s="332" t="n">
        <v>0.8925999999999999</v>
      </c>
      <c r="AC200" s="332" t="n">
        <v>0.8925999999999999</v>
      </c>
      <c r="AD200" s="143" t="n"/>
      <c r="AE200" s="173" t="n"/>
      <c r="AF200" s="143" t="n"/>
      <c r="AG200" s="143">
        <f>SUM(AD200:AF200)</f>
        <v/>
      </c>
      <c r="AH200" s="143">
        <f>(AD200*AB200)+((AE200+AF200)*AC200)</f>
        <v/>
      </c>
      <c r="AI200" s="143">
        <f>AD200-AS200</f>
        <v/>
      </c>
      <c r="AJ200" s="143">
        <f>AE200-AT200</f>
        <v/>
      </c>
      <c r="AK200" s="143">
        <f>AF200-AU200</f>
        <v/>
      </c>
      <c r="AL200" s="208">
        <f>SUM(AI200:AK200)</f>
        <v/>
      </c>
      <c r="AM200" s="336">
        <f>(AI200*AB200)+((AJ200+AK200)*AC200)</f>
        <v/>
      </c>
      <c r="AN200" s="143" t="n">
        <v>0</v>
      </c>
      <c r="AO200" s="143" t="n">
        <v>12483</v>
      </c>
      <c r="AP200" s="143" t="n">
        <v>0</v>
      </c>
      <c r="AQ200" s="124">
        <f>SUM(AN200:AP200)</f>
        <v/>
      </c>
      <c r="AR200" s="321">
        <f>(AN200*AB200)+((AO200+AP200)*AC200)</f>
        <v/>
      </c>
      <c r="AS200" s="155" t="n"/>
      <c r="AT200" s="155" t="n"/>
      <c r="AU200" s="155" t="n"/>
      <c r="AV200" s="124">
        <f>SUM(AS200:AU200)</f>
        <v/>
      </c>
      <c r="AW200" s="155" t="n"/>
      <c r="AX200" s="155" t="n"/>
      <c r="AY200" s="155" t="n"/>
      <c r="AZ200" s="124">
        <f>SUM(AW200:AY200)</f>
        <v/>
      </c>
      <c r="BA200" s="335">
        <f>(AW200*AB200)+((AX200+AY200)*AC200)</f>
        <v/>
      </c>
      <c r="BB200" s="122">
        <f>AN200-AW200</f>
        <v/>
      </c>
      <c r="BC200" s="141">
        <f>BB200*AB200</f>
        <v/>
      </c>
      <c r="BD200" s="122">
        <f>AO200-AX200</f>
        <v/>
      </c>
      <c r="BE200" s="122">
        <f>BD200*AC200</f>
        <v/>
      </c>
      <c r="BF200" s="122">
        <f>AP200-AY200</f>
        <v/>
      </c>
      <c r="BG200" s="122">
        <f>BF200*AC200</f>
        <v/>
      </c>
      <c r="BH200" s="122">
        <f>BB200+BD200+BF200</f>
        <v/>
      </c>
      <c r="BI200" s="122">
        <f>BC200+BE200+BG200</f>
        <v/>
      </c>
      <c r="BJ200" s="324">
        <f>BL200+BS200+BV200+BY200+CB200+CE200+CH200+CK200</f>
        <v/>
      </c>
      <c r="BK200" s="320">
        <f>((AI200+AW200)*AB200)+((AJ200+AK200+AX200+AY200)*AC200)</f>
        <v/>
      </c>
      <c r="BL200" s="132">
        <f>BM200+BN200+AL200</f>
        <v/>
      </c>
      <c r="BM200" s="133">
        <f>AW200</f>
        <v/>
      </c>
      <c r="BN200" s="133">
        <f>AX200+AY200</f>
        <v/>
      </c>
      <c r="BO200" s="179" t="n"/>
      <c r="BP200" s="179" t="n"/>
      <c r="BQ200" s="179" t="n"/>
      <c r="BR200" s="179" t="n"/>
      <c r="BS200" s="179" t="n"/>
      <c r="BT200" s="179" t="n"/>
      <c r="BU200" s="320" t="n">
        <v>0</v>
      </c>
      <c r="BV200" s="179" t="n"/>
      <c r="BW200" s="179" t="n"/>
      <c r="BX200" s="179" t="n"/>
      <c r="BY200" s="179" t="n"/>
      <c r="BZ200" s="179" t="n"/>
      <c r="CA200" s="124">
        <f>BY200*BZ200</f>
        <v/>
      </c>
      <c r="CB200" s="179" t="n"/>
      <c r="CC200" s="179" t="n"/>
      <c r="CD200" s="179" t="n"/>
      <c r="CE200" s="179" t="n"/>
      <c r="CF200" s="179" t="n"/>
      <c r="CG200" s="179" t="n"/>
      <c r="CH200" s="179" t="n"/>
      <c r="CI200" s="179" t="n"/>
      <c r="CJ200" s="179" t="n"/>
      <c r="CK200" s="179" t="n"/>
      <c r="CL200" s="179" t="n"/>
      <c r="CM200" s="179" t="n"/>
      <c r="CN200" s="179" t="n"/>
      <c r="CO200" s="170" t="n"/>
      <c r="CP200" s="179" t="n"/>
      <c r="CQ200" s="179" t="n"/>
      <c r="CR200" s="170" t="n"/>
      <c r="CS200" s="155" t="n"/>
      <c r="CT200" s="143" t="n">
        <v>0</v>
      </c>
      <c r="CU200" s="177">
        <f>(BB200* AB200)+(BD200* AC200)+(BF200* AC200)+(S200+T200+U200+V200+W200+X200+Y200+Z200)</f>
        <v/>
      </c>
      <c r="CV200" s="177">
        <f>CU200-O200</f>
        <v/>
      </c>
      <c r="CW200" s="325" t="n"/>
    </row>
    <row r="201" ht="19.9" customFormat="1" customHeight="1" s="67">
      <c r="A201" s="233" t="n"/>
      <c r="B201" s="66" t="n">
        <v>10037019056</v>
      </c>
      <c r="C201" s="233" t="inlineStr">
        <is>
          <t>LAURI POOZ</t>
        </is>
      </c>
      <c r="D201" s="140" t="inlineStr">
        <is>
          <t>ÁGUA FRIA GO</t>
        </is>
      </c>
      <c r="E201" s="140" t="n"/>
      <c r="F201" s="122" t="n"/>
      <c r="G201" s="320" t="n"/>
      <c r="H201" s="124">
        <f>F201*G201</f>
        <v/>
      </c>
      <c r="I201" s="121" t="n"/>
      <c r="J201" s="125" t="n"/>
      <c r="K201" s="65" t="n"/>
      <c r="L201" s="121" t="n"/>
      <c r="M201" s="126" t="inlineStr">
        <is>
          <t>Janeiro/2023</t>
        </is>
      </c>
      <c r="N201" s="126" t="inlineStr">
        <is>
          <t>28/11/2022 a 01/01/2023</t>
        </is>
      </c>
      <c r="O201" s="321" t="n"/>
      <c r="P201" s="321" t="n"/>
      <c r="Q201" s="321" t="n"/>
      <c r="R201" s="207" t="n"/>
      <c r="S201" s="321" t="n"/>
      <c r="T201" s="321" t="n"/>
      <c r="U201" s="321" t="n"/>
      <c r="V201" s="321" t="n"/>
      <c r="W201" s="321" t="n"/>
      <c r="X201" s="321" t="n"/>
      <c r="Y201" s="321" t="n"/>
      <c r="Z201" s="321" t="n"/>
      <c r="AA201" s="321" t="n"/>
      <c r="AB201" s="322" t="n"/>
      <c r="AC201" s="322" t="n"/>
      <c r="AD201" s="124" t="n"/>
      <c r="AE201" s="124" t="n"/>
      <c r="AF201" s="124" t="n"/>
      <c r="AG201" s="124">
        <f>SUM(AD201:AF201)</f>
        <v/>
      </c>
      <c r="AH201" s="124">
        <f>(AD201*AB201)+((AE201+AF201)*AC201)</f>
        <v/>
      </c>
      <c r="AI201" s="124">
        <f>AD201-AS201</f>
        <v/>
      </c>
      <c r="AJ201" s="124">
        <f>AE201-AT201</f>
        <v/>
      </c>
      <c r="AK201" s="124">
        <f>AF201-AU201</f>
        <v/>
      </c>
      <c r="AL201" s="210">
        <f>SUM(AI201:AK201)</f>
        <v/>
      </c>
      <c r="AM201" s="337">
        <f>(AI201*AB201)+((AJ201+AK201)*AC201)</f>
        <v/>
      </c>
      <c r="AN201" s="155" t="n"/>
      <c r="AO201" s="155" t="n">
        <v>100</v>
      </c>
      <c r="AP201" s="155" t="n"/>
      <c r="AQ201" s="143">
        <f>SUM(AN201:AP201)</f>
        <v/>
      </c>
      <c r="AR201" s="331">
        <f>(AN201*AB201)+((AO201+AP201)*AC201)</f>
        <v/>
      </c>
      <c r="AS201" s="155" t="n"/>
      <c r="AT201" s="155" t="n"/>
      <c r="AU201" s="155" t="n"/>
      <c r="AV201" s="124">
        <f>SUM(AS201:AU201)</f>
        <v/>
      </c>
      <c r="AW201" s="155" t="n"/>
      <c r="AX201" s="155" t="n"/>
      <c r="AY201" s="155" t="n"/>
      <c r="AZ201" s="124">
        <f>SUM(AW201:AY201)</f>
        <v/>
      </c>
      <c r="BA201" s="335">
        <f>(AW201*AB201)+((AX201+AY201)*AC201)</f>
        <v/>
      </c>
      <c r="BB201" s="122">
        <f>AN201-AW201</f>
        <v/>
      </c>
      <c r="BC201" s="141">
        <f>BB201*AB201</f>
        <v/>
      </c>
      <c r="BD201" s="122">
        <f>AO201-AX201</f>
        <v/>
      </c>
      <c r="BE201" s="122">
        <f>BD201*AC201</f>
        <v/>
      </c>
      <c r="BF201" s="122">
        <f>AP201-AY201</f>
        <v/>
      </c>
      <c r="BG201" s="122">
        <f>BF201*AC201</f>
        <v/>
      </c>
      <c r="BH201" s="122">
        <f>BB201+BD201+BF201</f>
        <v/>
      </c>
      <c r="BI201" s="122">
        <f>BC201+BE201+BG201</f>
        <v/>
      </c>
      <c r="BJ201" s="324">
        <f>BL201+BS201+BV201+BY201+CB201+CE201+CH201+CK201</f>
        <v/>
      </c>
      <c r="BK201" s="320">
        <f>((AI201+AW201)*AB201)+((AJ201+AK201+AX201+AY201)*AC201)</f>
        <v/>
      </c>
      <c r="BL201" s="132">
        <f>BM201+BN201+AL201</f>
        <v/>
      </c>
      <c r="BM201" s="133">
        <f>AW201</f>
        <v/>
      </c>
      <c r="BN201" s="133">
        <f>AX201+AY201</f>
        <v/>
      </c>
      <c r="BO201" s="179" t="n"/>
      <c r="BP201" s="179" t="n"/>
      <c r="BQ201" s="179" t="n"/>
      <c r="BR201" s="179" t="n"/>
      <c r="BS201" s="179" t="n"/>
      <c r="BT201" s="179" t="n"/>
      <c r="BU201" s="320" t="n">
        <v>0</v>
      </c>
      <c r="BV201" s="179" t="n"/>
      <c r="BW201" s="179" t="n"/>
      <c r="BX201" s="179" t="n"/>
      <c r="BY201" s="179" t="n"/>
      <c r="BZ201" s="179" t="n"/>
      <c r="CA201" s="124">
        <f>BY201*BZ201</f>
        <v/>
      </c>
      <c r="CB201" s="179" t="n"/>
      <c r="CC201" s="179" t="n"/>
      <c r="CD201" s="179" t="n"/>
      <c r="CE201" s="179" t="n"/>
      <c r="CF201" s="179" t="n"/>
      <c r="CG201" s="179" t="n"/>
      <c r="CH201" s="179" t="n"/>
      <c r="CI201" s="179" t="n"/>
      <c r="CJ201" s="179" t="n"/>
      <c r="CK201" s="179" t="n"/>
      <c r="CL201" s="179" t="n"/>
      <c r="CM201" s="179" t="n"/>
      <c r="CN201" s="179" t="n"/>
      <c r="CO201" s="170" t="n"/>
      <c r="CP201" s="179" t="n"/>
      <c r="CQ201" s="179" t="n"/>
      <c r="CR201" s="170" t="n"/>
      <c r="CS201" s="155" t="n"/>
      <c r="CT201" s="155" t="n"/>
      <c r="CU201" s="177" t="n"/>
      <c r="CV201" s="177" t="n"/>
      <c r="CW201" s="325" t="n"/>
    </row>
    <row r="202" ht="19.9" customFormat="1" customHeight="1" s="67">
      <c r="A202" s="120" t="n"/>
      <c r="B202" s="65" t="n">
        <v>10037019056</v>
      </c>
      <c r="C202" s="120" t="inlineStr">
        <is>
          <t>LAURI POOZ</t>
        </is>
      </c>
      <c r="D202" s="121" t="inlineStr">
        <is>
          <t>ÁGUA FRIA GO</t>
        </is>
      </c>
      <c r="E202" s="121" t="n"/>
      <c r="F202" s="141" t="n"/>
      <c r="G202" s="334" t="n"/>
      <c r="H202" s="143">
        <f>F202*G202</f>
        <v/>
      </c>
      <c r="I202" s="140" t="n"/>
      <c r="J202" s="144" t="n"/>
      <c r="K202" s="66" t="n"/>
      <c r="L202" s="140" t="n"/>
      <c r="M202" s="145" t="inlineStr">
        <is>
          <t>Fevereiro/2023</t>
        </is>
      </c>
      <c r="N202" s="145" t="inlineStr">
        <is>
          <t>01/01/2023 a 01/02/2023</t>
        </is>
      </c>
      <c r="O202" s="331" t="n"/>
      <c r="P202" s="331" t="n"/>
      <c r="Q202" s="331" t="n"/>
      <c r="R202" s="147" t="n"/>
      <c r="S202" s="331" t="n"/>
      <c r="T202" s="331" t="n"/>
      <c r="U202" s="331" t="n"/>
      <c r="V202" s="331" t="n"/>
      <c r="W202" s="331" t="n"/>
      <c r="X202" s="331" t="n"/>
      <c r="Y202" s="331" t="n"/>
      <c r="Z202" s="331" t="n"/>
      <c r="AA202" s="331" t="n"/>
      <c r="AB202" s="332" t="n"/>
      <c r="AC202" s="332" t="n"/>
      <c r="AD202" s="143" t="n"/>
      <c r="AE202" s="173" t="n"/>
      <c r="AF202" s="143" t="n"/>
      <c r="AG202" s="143">
        <f>SUM(AD202:AF202)</f>
        <v/>
      </c>
      <c r="AH202" s="143">
        <f>(AD202*AB202)+((AE202+AF202)*AC202)</f>
        <v/>
      </c>
      <c r="AI202" s="143">
        <f>AD202-AS202</f>
        <v/>
      </c>
      <c r="AJ202" s="143">
        <f>AE202-AT202</f>
        <v/>
      </c>
      <c r="AK202" s="143">
        <f>AF202-AU202</f>
        <v/>
      </c>
      <c r="AL202" s="208">
        <f>SUM(AI202:AK202)</f>
        <v/>
      </c>
      <c r="AM202" s="336">
        <f>(AI202*AB202)+((AJ202+AK202)*AC202)</f>
        <v/>
      </c>
      <c r="AN202" s="155" t="n"/>
      <c r="AO202" s="155" t="n">
        <v>100</v>
      </c>
      <c r="AP202" s="155" t="n"/>
      <c r="AQ202" s="124">
        <f>SUM(AN202:AP202)</f>
        <v/>
      </c>
      <c r="AR202" s="321">
        <f>(AN202*AB202)+((AO202+AP202)*AC202)</f>
        <v/>
      </c>
      <c r="AS202" s="155" t="n"/>
      <c r="AT202" s="155" t="n"/>
      <c r="AU202" s="155" t="n"/>
      <c r="AV202" s="124">
        <f>SUM(AS202:AU202)</f>
        <v/>
      </c>
      <c r="AW202" s="155" t="n"/>
      <c r="AX202" s="155" t="n"/>
      <c r="AY202" s="155" t="n"/>
      <c r="AZ202" s="124">
        <f>SUM(AW202:AY202)</f>
        <v/>
      </c>
      <c r="BA202" s="335">
        <f>(AW202*AB202)+((AX202+AY202)*AC202)</f>
        <v/>
      </c>
      <c r="BB202" s="122">
        <f>AN202-AW202</f>
        <v/>
      </c>
      <c r="BC202" s="141">
        <f>BB202*AB202</f>
        <v/>
      </c>
      <c r="BD202" s="122">
        <f>AO202-AX202</f>
        <v/>
      </c>
      <c r="BE202" s="122">
        <f>BD202*AC202</f>
        <v/>
      </c>
      <c r="BF202" s="122">
        <f>AP202-AY202</f>
        <v/>
      </c>
      <c r="BG202" s="122">
        <f>BF202*AC202</f>
        <v/>
      </c>
      <c r="BH202" s="122">
        <f>BB202+BD202+BF202</f>
        <v/>
      </c>
      <c r="BI202" s="122">
        <f>BC202+BE202+BG202</f>
        <v/>
      </c>
      <c r="BJ202" s="324">
        <f>BL202+BS202+BV202+BY202+CB202+CE202+CH202+CK202</f>
        <v/>
      </c>
      <c r="BK202" s="320">
        <f>((AI202+AW202)*AB202)+((AJ202+AK202+AX202+AY202)*AC202)</f>
        <v/>
      </c>
      <c r="BL202" s="132">
        <f>BM202+BN202+AL202</f>
        <v/>
      </c>
      <c r="BM202" s="133">
        <f>AW202</f>
        <v/>
      </c>
      <c r="BN202" s="133">
        <f>AX202+AY202</f>
        <v/>
      </c>
      <c r="BO202" s="179" t="n"/>
      <c r="BP202" s="179" t="n"/>
      <c r="BQ202" s="179" t="n"/>
      <c r="BR202" s="179" t="n"/>
      <c r="BS202" s="179" t="n"/>
      <c r="BT202" s="179" t="n"/>
      <c r="BU202" s="320" t="n">
        <v>0</v>
      </c>
      <c r="BV202" s="179" t="n"/>
      <c r="BW202" s="179" t="n"/>
      <c r="BX202" s="179" t="n"/>
      <c r="BY202" s="179" t="n"/>
      <c r="BZ202" s="179" t="n"/>
      <c r="CA202" s="124">
        <f>BY202*BZ202</f>
        <v/>
      </c>
      <c r="CB202" s="179" t="n"/>
      <c r="CC202" s="179" t="n"/>
      <c r="CD202" s="179" t="n"/>
      <c r="CE202" s="179" t="n"/>
      <c r="CF202" s="179" t="n"/>
      <c r="CG202" s="179" t="n"/>
      <c r="CH202" s="179" t="n"/>
      <c r="CI202" s="179" t="n"/>
      <c r="CJ202" s="179" t="n"/>
      <c r="CK202" s="179" t="n"/>
      <c r="CL202" s="179" t="n"/>
      <c r="CM202" s="179" t="n"/>
      <c r="CN202" s="179" t="n"/>
      <c r="CO202" s="170" t="n"/>
      <c r="CP202" s="179" t="n"/>
      <c r="CQ202" s="179" t="n"/>
      <c r="CR202" s="170" t="n"/>
      <c r="CS202" s="155" t="n"/>
      <c r="CT202" s="155" t="n"/>
      <c r="CU202" s="177" t="n"/>
      <c r="CV202" s="177" t="n"/>
      <c r="CW202" s="325" t="n"/>
    </row>
    <row r="203" ht="19.9" customFormat="1" customHeight="1" s="67">
      <c r="A203" s="139" t="n"/>
      <c r="B203" s="66" t="n">
        <v>10037019056</v>
      </c>
      <c r="C203" s="139" t="inlineStr">
        <is>
          <t>LAURI POOZ</t>
        </is>
      </c>
      <c r="D203" s="140" t="inlineStr">
        <is>
          <t>ÁGUA FRIA GO</t>
        </is>
      </c>
      <c r="E203" s="140" t="n"/>
      <c r="F203" s="122" t="n"/>
      <c r="G203" s="320" t="n"/>
      <c r="H203" s="124">
        <f>F203*G203</f>
        <v/>
      </c>
      <c r="I203" s="121" t="n"/>
      <c r="J203" s="125" t="n"/>
      <c r="K203" s="65" t="n"/>
      <c r="L203" s="121" t="n"/>
      <c r="M203" s="126" t="inlineStr">
        <is>
          <t>Março/2023</t>
        </is>
      </c>
      <c r="N203" s="126" t="inlineStr">
        <is>
          <t>01/02/2023 a 01/03/2023</t>
        </is>
      </c>
      <c r="O203" s="321" t="n"/>
      <c r="P203" s="321" t="n"/>
      <c r="Q203" s="321" t="n"/>
      <c r="R203" s="207" t="n"/>
      <c r="S203" s="321" t="n"/>
      <c r="T203" s="321" t="n"/>
      <c r="U203" s="321" t="n"/>
      <c r="V203" s="321" t="n"/>
      <c r="W203" s="321" t="n"/>
      <c r="X203" s="321" t="n"/>
      <c r="Y203" s="321" t="n"/>
      <c r="Z203" s="321" t="n"/>
      <c r="AA203" s="321" t="n"/>
      <c r="AB203" s="322" t="n"/>
      <c r="AC203" s="322" t="n"/>
      <c r="AD203" s="124" t="n"/>
      <c r="AE203" s="124" t="n"/>
      <c r="AF203" s="124" t="n"/>
      <c r="AG203" s="124">
        <f>SUM(AD203:AF203)</f>
        <v/>
      </c>
      <c r="AH203" s="124">
        <f>(AD203*AB203)+((AE203+AF203)*AC203)</f>
        <v/>
      </c>
      <c r="AI203" s="124">
        <f>AD203-AS203</f>
        <v/>
      </c>
      <c r="AJ203" s="124">
        <f>AE203-AT203</f>
        <v/>
      </c>
      <c r="AK203" s="124">
        <f>AF203-AU203</f>
        <v/>
      </c>
      <c r="AL203" s="210">
        <f>SUM(AI203:AK203)</f>
        <v/>
      </c>
      <c r="AM203" s="337">
        <f>(AI203*AB203)+((AJ203+AK203)*AC203)</f>
        <v/>
      </c>
      <c r="AN203" s="155" t="n"/>
      <c r="AO203" s="155" t="n">
        <v>100</v>
      </c>
      <c r="AP203" s="155" t="n"/>
      <c r="AQ203" s="143">
        <f>SUM(AN203:AP203)</f>
        <v/>
      </c>
      <c r="AR203" s="331">
        <f>(AN203*AB203)+((AO203+AP203)*AC203)</f>
        <v/>
      </c>
      <c r="AS203" s="155" t="n"/>
      <c r="AT203" s="155" t="n"/>
      <c r="AU203" s="155" t="n"/>
      <c r="AV203" s="124">
        <f>SUM(AS203:AU203)</f>
        <v/>
      </c>
      <c r="AW203" s="155" t="n"/>
      <c r="AX203" s="155" t="n"/>
      <c r="AY203" s="155" t="n"/>
      <c r="AZ203" s="124">
        <f>SUM(AW203:AY203)</f>
        <v/>
      </c>
      <c r="BA203" s="335">
        <f>(AW203*AB203)+((AX203+AY203)*AC203)</f>
        <v/>
      </c>
      <c r="BB203" s="122">
        <f>AN203-AW203</f>
        <v/>
      </c>
      <c r="BC203" s="141">
        <f>BB203*AB203</f>
        <v/>
      </c>
      <c r="BD203" s="122">
        <f>AO203-AX203</f>
        <v/>
      </c>
      <c r="BE203" s="122">
        <f>BD203*AC203</f>
        <v/>
      </c>
      <c r="BF203" s="122">
        <f>AP203-AY203</f>
        <v/>
      </c>
      <c r="BG203" s="122">
        <f>BF203*AC203</f>
        <v/>
      </c>
      <c r="BH203" s="122">
        <f>BB203+BD203+BF203</f>
        <v/>
      </c>
      <c r="BI203" s="122">
        <f>BC203+BE203+BG203</f>
        <v/>
      </c>
      <c r="BJ203" s="324">
        <f>BL203+BS203+BV203+BY203+CB203+CE203+CH203+CK203</f>
        <v/>
      </c>
      <c r="BK203" s="320">
        <f>((AI203+AW203)*AB203)+((AJ203+AK203+AX203+AY203)*AC203)</f>
        <v/>
      </c>
      <c r="BL203" s="132">
        <f>BM203+BN203+AL203</f>
        <v/>
      </c>
      <c r="BM203" s="133">
        <f>AW203</f>
        <v/>
      </c>
      <c r="BN203" s="133">
        <f>AX203+AY203</f>
        <v/>
      </c>
      <c r="BO203" s="179" t="n"/>
      <c r="BP203" s="179" t="n"/>
      <c r="BQ203" s="179" t="n"/>
      <c r="BR203" s="179" t="n"/>
      <c r="BS203" s="179" t="n"/>
      <c r="BT203" s="179" t="n"/>
      <c r="BU203" s="320" t="n">
        <v>0</v>
      </c>
      <c r="BV203" s="179" t="n"/>
      <c r="BW203" s="179" t="n"/>
      <c r="BX203" s="179" t="n"/>
      <c r="BY203" s="179" t="n"/>
      <c r="BZ203" s="179" t="n"/>
      <c r="CA203" s="124">
        <f>BY203*BZ203</f>
        <v/>
      </c>
      <c r="CB203" s="179" t="n"/>
      <c r="CC203" s="179" t="n"/>
      <c r="CD203" s="179" t="n"/>
      <c r="CE203" s="179" t="n"/>
      <c r="CF203" s="179" t="n"/>
      <c r="CG203" s="179" t="n"/>
      <c r="CH203" s="179" t="n"/>
      <c r="CI203" s="179" t="n"/>
      <c r="CJ203" s="179" t="n"/>
      <c r="CK203" s="179" t="n"/>
      <c r="CL203" s="179" t="n"/>
      <c r="CM203" s="179" t="n"/>
      <c r="CN203" s="179" t="n"/>
      <c r="CO203" s="170" t="n"/>
      <c r="CP203" s="179" t="n"/>
      <c r="CQ203" s="179" t="n"/>
      <c r="CR203" s="170" t="n"/>
      <c r="CS203" s="155" t="n"/>
      <c r="CT203" s="155" t="n"/>
      <c r="CU203" s="177" t="n"/>
      <c r="CV203" s="177" t="n"/>
      <c r="CW203" s="325" t="n"/>
    </row>
    <row r="204" ht="19.9" customFormat="1" customHeight="1" s="67">
      <c r="A204" s="120" t="n"/>
      <c r="B204" s="65" t="n">
        <v>10037019056</v>
      </c>
      <c r="C204" s="120" t="inlineStr">
        <is>
          <t>LAURI POOZ</t>
        </is>
      </c>
      <c r="D204" s="121" t="inlineStr">
        <is>
          <t>ÁGUA FRIA GO</t>
        </is>
      </c>
      <c r="E204" s="121" t="n"/>
      <c r="F204" s="141" t="n"/>
      <c r="G204" s="334" t="n"/>
      <c r="H204" s="143">
        <f>F204*G204</f>
        <v/>
      </c>
      <c r="I204" s="140" t="n"/>
      <c r="J204" s="144" t="n"/>
      <c r="K204" s="66" t="n"/>
      <c r="L204" s="140" t="n"/>
      <c r="M204" s="145" t="inlineStr">
        <is>
          <t>Abril/2023</t>
        </is>
      </c>
      <c r="N204" s="145" t="inlineStr">
        <is>
          <t>01/03/2023 a 01/04/2023</t>
        </is>
      </c>
      <c r="O204" s="331" t="n"/>
      <c r="P204" s="331" t="n"/>
      <c r="Q204" s="331" t="n"/>
      <c r="R204" s="147" t="n"/>
      <c r="S204" s="331" t="n"/>
      <c r="T204" s="331" t="n"/>
      <c r="U204" s="331" t="n"/>
      <c r="V204" s="331" t="n"/>
      <c r="W204" s="331" t="n"/>
      <c r="X204" s="331" t="n"/>
      <c r="Y204" s="331" t="n"/>
      <c r="Z204" s="331" t="n"/>
      <c r="AA204" s="331" t="n"/>
      <c r="AB204" s="332" t="n"/>
      <c r="AC204" s="332" t="n"/>
      <c r="AD204" s="143" t="n"/>
      <c r="AE204" s="173" t="n"/>
      <c r="AF204" s="143" t="n"/>
      <c r="AG204" s="143">
        <f>SUM(AD204:AF204)</f>
        <v/>
      </c>
      <c r="AH204" s="143">
        <f>(AD204*AB204)+((AE204+AF204)*AC204)</f>
        <v/>
      </c>
      <c r="AI204" s="143">
        <f>AD204-AS204</f>
        <v/>
      </c>
      <c r="AJ204" s="143">
        <f>AE204-AT204</f>
        <v/>
      </c>
      <c r="AK204" s="143">
        <f>AF204-AU204</f>
        <v/>
      </c>
      <c r="AL204" s="208">
        <f>SUM(AI204:AK204)</f>
        <v/>
      </c>
      <c r="AM204" s="336">
        <f>(AI204*AB204)+((AJ204+AK204)*AC204)</f>
        <v/>
      </c>
      <c r="AN204" s="155" t="n"/>
      <c r="AO204" s="155" t="n">
        <v>100</v>
      </c>
      <c r="AP204" s="155" t="n"/>
      <c r="AQ204" s="124">
        <f>SUM(AN204:AP204)</f>
        <v/>
      </c>
      <c r="AR204" s="321">
        <f>(AN204*AB204)+((AO204+AP204)*AC204)</f>
        <v/>
      </c>
      <c r="AS204" s="155" t="n"/>
      <c r="AT204" s="155" t="n"/>
      <c r="AU204" s="155" t="n"/>
      <c r="AV204" s="124">
        <f>SUM(AS204:AU204)</f>
        <v/>
      </c>
      <c r="AW204" s="155" t="n"/>
      <c r="AX204" s="155" t="n"/>
      <c r="AY204" s="155" t="n"/>
      <c r="AZ204" s="124">
        <f>SUM(AW204:AY204)</f>
        <v/>
      </c>
      <c r="BA204" s="335">
        <f>(AW204*AB204)+((AX204+AY204)*AC204)</f>
        <v/>
      </c>
      <c r="BB204" s="122">
        <f>AN204-AW204</f>
        <v/>
      </c>
      <c r="BC204" s="141">
        <f>BB204*AB204</f>
        <v/>
      </c>
      <c r="BD204" s="122">
        <f>AO204-AX204</f>
        <v/>
      </c>
      <c r="BE204" s="122">
        <f>BD204*AC204</f>
        <v/>
      </c>
      <c r="BF204" s="122">
        <f>AP204-AY204</f>
        <v/>
      </c>
      <c r="BG204" s="122">
        <f>BF204*AC204</f>
        <v/>
      </c>
      <c r="BH204" s="122">
        <f>BB204+BD204+BF204</f>
        <v/>
      </c>
      <c r="BI204" s="122">
        <f>BC204+BE204+BG204</f>
        <v/>
      </c>
      <c r="BJ204" s="324">
        <f>BL204+BS204+BV204+BY204+CB204+CE204+CH204+CK204</f>
        <v/>
      </c>
      <c r="BK204" s="320">
        <f>((AI204+AW204)*AB204)+((AJ204+AK204+AX204+AY204)*AC204)</f>
        <v/>
      </c>
      <c r="BL204" s="132">
        <f>BM204+BN204+AL204</f>
        <v/>
      </c>
      <c r="BM204" s="133">
        <f>AW204</f>
        <v/>
      </c>
      <c r="BN204" s="133">
        <f>AX204+AY204</f>
        <v/>
      </c>
      <c r="BO204" s="179" t="n"/>
      <c r="BP204" s="179" t="n"/>
      <c r="BQ204" s="179" t="n"/>
      <c r="BR204" s="179" t="n"/>
      <c r="BS204" s="179" t="n"/>
      <c r="BT204" s="179" t="n"/>
      <c r="BU204" s="320" t="n">
        <v>0</v>
      </c>
      <c r="BV204" s="179" t="n"/>
      <c r="BW204" s="179" t="n"/>
      <c r="BX204" s="179" t="n"/>
      <c r="BY204" s="179" t="n"/>
      <c r="BZ204" s="179" t="n"/>
      <c r="CA204" s="124">
        <f>BY204*BZ204</f>
        <v/>
      </c>
      <c r="CB204" s="179" t="n"/>
      <c r="CC204" s="179" t="n"/>
      <c r="CD204" s="179" t="n"/>
      <c r="CE204" s="179" t="n"/>
      <c r="CF204" s="179" t="n"/>
      <c r="CG204" s="179" t="n"/>
      <c r="CH204" s="179" t="n"/>
      <c r="CI204" s="179" t="n"/>
      <c r="CJ204" s="179" t="n"/>
      <c r="CK204" s="179" t="n"/>
      <c r="CL204" s="179" t="n"/>
      <c r="CM204" s="179" t="n"/>
      <c r="CN204" s="179" t="n"/>
      <c r="CO204" s="170" t="n"/>
      <c r="CP204" s="179" t="n"/>
      <c r="CQ204" s="179" t="n"/>
      <c r="CR204" s="170" t="n"/>
      <c r="CS204" s="155" t="n"/>
      <c r="CT204" s="155" t="n"/>
      <c r="CU204" s="177" t="n"/>
      <c r="CV204" s="177" t="n"/>
      <c r="CW204" s="325" t="n"/>
    </row>
    <row r="205" ht="19.9" customFormat="1" customHeight="1" s="67">
      <c r="A205" s="233" t="n"/>
      <c r="B205" s="66" t="n">
        <v>10037019056</v>
      </c>
      <c r="C205" s="233" t="inlineStr">
        <is>
          <t>LAURI POOZ</t>
        </is>
      </c>
      <c r="D205" s="140" t="inlineStr">
        <is>
          <t>ÁGUA FRIA GO</t>
        </is>
      </c>
      <c r="E205" s="140" t="n"/>
      <c r="F205" s="122" t="n"/>
      <c r="G205" s="320" t="n"/>
      <c r="H205" s="124">
        <f>F205*G205</f>
        <v/>
      </c>
      <c r="I205" s="121" t="n"/>
      <c r="J205" s="125" t="n"/>
      <c r="K205" s="65" t="n"/>
      <c r="L205" s="121" t="n"/>
      <c r="M205" s="126" t="inlineStr">
        <is>
          <t>Maio/2023</t>
        </is>
      </c>
      <c r="N205" s="126" t="inlineStr">
        <is>
          <t>01/04/2023 a 01/05/2023</t>
        </is>
      </c>
      <c r="O205" s="321" t="n"/>
      <c r="P205" s="321" t="n"/>
      <c r="Q205" s="321" t="n"/>
      <c r="R205" s="207" t="n"/>
      <c r="S205" s="321" t="n"/>
      <c r="T205" s="321" t="n"/>
      <c r="U205" s="321" t="n"/>
      <c r="V205" s="321" t="n"/>
      <c r="W205" s="321" t="n"/>
      <c r="X205" s="321" t="n"/>
      <c r="Y205" s="321" t="n"/>
      <c r="Z205" s="321" t="n"/>
      <c r="AA205" s="321" t="n"/>
      <c r="AB205" s="322" t="n"/>
      <c r="AC205" s="322" t="n"/>
      <c r="AD205" s="124" t="n"/>
      <c r="AE205" s="124" t="n"/>
      <c r="AF205" s="124" t="n"/>
      <c r="AG205" s="124">
        <f>SUM(AD205:AF205)</f>
        <v/>
      </c>
      <c r="AH205" s="124">
        <f>(AD205*AB205)+((AE205+AF205)*AC205)</f>
        <v/>
      </c>
      <c r="AI205" s="124">
        <f>AD205-AS205</f>
        <v/>
      </c>
      <c r="AJ205" s="124">
        <f>AE205-AT205</f>
        <v/>
      </c>
      <c r="AK205" s="124">
        <f>AF205-AU205</f>
        <v/>
      </c>
      <c r="AL205" s="210">
        <f>SUM(AI205:AK205)</f>
        <v/>
      </c>
      <c r="AM205" s="337">
        <f>(AI205*AB205)+((AJ205+AK205)*AC205)</f>
        <v/>
      </c>
      <c r="AN205" s="155" t="n"/>
      <c r="AO205" s="155" t="n">
        <v>100</v>
      </c>
      <c r="AP205" s="155" t="n"/>
      <c r="AQ205" s="143">
        <f>SUM(AN205:AP205)</f>
        <v/>
      </c>
      <c r="AR205" s="331">
        <f>(AN205*AB205)+((AO205+AP205)*AC205)</f>
        <v/>
      </c>
      <c r="AS205" s="155" t="n"/>
      <c r="AT205" s="155" t="n"/>
      <c r="AU205" s="155" t="n"/>
      <c r="AV205" s="124">
        <f>SUM(AS205:AU205)</f>
        <v/>
      </c>
      <c r="AW205" s="155" t="n"/>
      <c r="AX205" s="155" t="n"/>
      <c r="AY205" s="155" t="n"/>
      <c r="AZ205" s="124">
        <f>SUM(AW205:AY205)</f>
        <v/>
      </c>
      <c r="BA205" s="335">
        <f>(AW205*AB205)+((AX205+AY205)*AC205)</f>
        <v/>
      </c>
      <c r="BB205" s="122">
        <f>AN205-AW205</f>
        <v/>
      </c>
      <c r="BC205" s="141">
        <f>BB205*AB205</f>
        <v/>
      </c>
      <c r="BD205" s="122">
        <f>AO205-AX205</f>
        <v/>
      </c>
      <c r="BE205" s="122">
        <f>BD205*AC205</f>
        <v/>
      </c>
      <c r="BF205" s="122">
        <f>AP205-AY205</f>
        <v/>
      </c>
      <c r="BG205" s="122">
        <f>BF205*AC205</f>
        <v/>
      </c>
      <c r="BH205" s="122">
        <f>BB205+BD205+BF205</f>
        <v/>
      </c>
      <c r="BI205" s="122">
        <f>BC205+BE205+BG205</f>
        <v/>
      </c>
      <c r="BJ205" s="324">
        <f>BL205+BS205+BV205+BY205+CB205+CE205+CH205+CK205</f>
        <v/>
      </c>
      <c r="BK205" s="320">
        <f>((AI205+AW205)*AB205)+((AJ205+AK205+AX205+AY205)*AC205)</f>
        <v/>
      </c>
      <c r="BL205" s="132">
        <f>BM205+BN205+AL205</f>
        <v/>
      </c>
      <c r="BM205" s="133">
        <f>AW205</f>
        <v/>
      </c>
      <c r="BN205" s="133">
        <f>AX205+AY205</f>
        <v/>
      </c>
      <c r="BO205" s="179" t="n"/>
      <c r="BP205" s="179" t="n"/>
      <c r="BQ205" s="179" t="n"/>
      <c r="BR205" s="179" t="n"/>
      <c r="BS205" s="179" t="n"/>
      <c r="BT205" s="179" t="n"/>
      <c r="BU205" s="320" t="n">
        <v>0</v>
      </c>
      <c r="BV205" s="179" t="n"/>
      <c r="BW205" s="179" t="n"/>
      <c r="BX205" s="179" t="n"/>
      <c r="BY205" s="179" t="n"/>
      <c r="BZ205" s="179" t="n"/>
      <c r="CA205" s="124">
        <f>BY205*BZ205</f>
        <v/>
      </c>
      <c r="CB205" s="179" t="n"/>
      <c r="CC205" s="179" t="n"/>
      <c r="CD205" s="179" t="n"/>
      <c r="CE205" s="179" t="n"/>
      <c r="CF205" s="179" t="n"/>
      <c r="CG205" s="179" t="n"/>
      <c r="CH205" s="179" t="n"/>
      <c r="CI205" s="179" t="n"/>
      <c r="CJ205" s="179" t="n"/>
      <c r="CK205" s="179" t="n"/>
      <c r="CL205" s="179" t="n"/>
      <c r="CM205" s="179" t="n"/>
      <c r="CN205" s="179" t="n"/>
      <c r="CO205" s="170" t="n"/>
      <c r="CP205" s="179" t="n"/>
      <c r="CQ205" s="179" t="n"/>
      <c r="CR205" s="170" t="n"/>
      <c r="CS205" s="155" t="n"/>
      <c r="CT205" s="155" t="n"/>
      <c r="CU205" s="177" t="n"/>
      <c r="CV205" s="177" t="n"/>
      <c r="CW205" s="325" t="n"/>
    </row>
    <row r="206" ht="19.9" customFormat="1" customHeight="1" s="67">
      <c r="A206" s="120" t="n"/>
      <c r="B206" s="65" t="n">
        <v>10037019056</v>
      </c>
      <c r="C206" s="120" t="inlineStr">
        <is>
          <t>LAURI POOZ</t>
        </is>
      </c>
      <c r="D206" s="121" t="inlineStr">
        <is>
          <t>ÁGUA FRIA GO</t>
        </is>
      </c>
      <c r="E206" s="121" t="n"/>
      <c r="F206" s="141" t="n"/>
      <c r="G206" s="334" t="n"/>
      <c r="H206" s="143">
        <f>F206*G206</f>
        <v/>
      </c>
      <c r="I206" s="140" t="n"/>
      <c r="J206" s="144" t="n"/>
      <c r="K206" s="66" t="n"/>
      <c r="L206" s="140" t="n"/>
      <c r="M206" s="145" t="inlineStr">
        <is>
          <t>Junho/2023</t>
        </is>
      </c>
      <c r="N206" s="145" t="inlineStr">
        <is>
          <t>01/05/2023 a 01/06/2023</t>
        </is>
      </c>
      <c r="O206" s="331" t="n"/>
      <c r="P206" s="331" t="n"/>
      <c r="Q206" s="331" t="n"/>
      <c r="R206" s="147" t="n"/>
      <c r="S206" s="331" t="n"/>
      <c r="T206" s="331" t="n"/>
      <c r="U206" s="331" t="n"/>
      <c r="V206" s="331" t="n"/>
      <c r="W206" s="331" t="n"/>
      <c r="X206" s="331" t="n"/>
      <c r="Y206" s="331" t="n"/>
      <c r="Z206" s="331" t="n"/>
      <c r="AA206" s="331" t="n"/>
      <c r="AB206" s="332" t="n"/>
      <c r="AC206" s="332" t="n"/>
      <c r="AD206" s="143" t="n"/>
      <c r="AE206" s="173" t="n"/>
      <c r="AF206" s="143" t="n"/>
      <c r="AG206" s="143">
        <f>SUM(AD206:AF206)</f>
        <v/>
      </c>
      <c r="AH206" s="143">
        <f>(AD206*AB206)+((AE206+AF206)*AC206)</f>
        <v/>
      </c>
      <c r="AI206" s="143">
        <f>AD206-AS206</f>
        <v/>
      </c>
      <c r="AJ206" s="143">
        <f>AE206-AT206</f>
        <v/>
      </c>
      <c r="AK206" s="143">
        <f>AF206-AU206</f>
        <v/>
      </c>
      <c r="AL206" s="208">
        <f>SUM(AI206:AK206)</f>
        <v/>
      </c>
      <c r="AM206" s="336">
        <f>(AI206*AB206)+((AJ206+AK206)*AC206)</f>
        <v/>
      </c>
      <c r="AN206" s="155" t="n"/>
      <c r="AO206" s="155" t="n">
        <v>100</v>
      </c>
      <c r="AP206" s="155" t="n"/>
      <c r="AQ206" s="124">
        <f>SUM(AN206:AP206)</f>
        <v/>
      </c>
      <c r="AR206" s="321">
        <f>(AN206*AB206)+((AO206+AP206)*AC206)</f>
        <v/>
      </c>
      <c r="AS206" s="155" t="n"/>
      <c r="AT206" s="155" t="n"/>
      <c r="AU206" s="155" t="n"/>
      <c r="AV206" s="124">
        <f>SUM(AS206:AU206)</f>
        <v/>
      </c>
      <c r="AW206" s="155" t="n"/>
      <c r="AX206" s="155" t="n"/>
      <c r="AY206" s="155" t="n"/>
      <c r="AZ206" s="124">
        <f>SUM(AW206:AY206)</f>
        <v/>
      </c>
      <c r="BA206" s="335">
        <f>(AW206*AB206)+((AX206+AY206)*AC206)</f>
        <v/>
      </c>
      <c r="BB206" s="122">
        <f>AN206-AW206</f>
        <v/>
      </c>
      <c r="BC206" s="141">
        <f>BB206*AB206</f>
        <v/>
      </c>
      <c r="BD206" s="122">
        <f>AO206-AX206</f>
        <v/>
      </c>
      <c r="BE206" s="122">
        <f>BD206*AC206</f>
        <v/>
      </c>
      <c r="BF206" s="122">
        <f>AP206-AY206</f>
        <v/>
      </c>
      <c r="BG206" s="122">
        <f>BF206*AC206</f>
        <v/>
      </c>
      <c r="BH206" s="122">
        <f>BB206+BD206+BF206</f>
        <v/>
      </c>
      <c r="BI206" s="122">
        <f>BC206+BE206+BG206</f>
        <v/>
      </c>
      <c r="BJ206" s="324">
        <f>BL206+BS206+BV206+BY206+CB206+CE206+CH206+CK206</f>
        <v/>
      </c>
      <c r="BK206" s="320">
        <f>((AI206+AW206)*AB206)+((AJ206+AK206+AX206+AY206)*AC206)</f>
        <v/>
      </c>
      <c r="BL206" s="132">
        <f>BM206+BN206+AL206</f>
        <v/>
      </c>
      <c r="BM206" s="133">
        <f>AW206</f>
        <v/>
      </c>
      <c r="BN206" s="133">
        <f>AX206+AY206</f>
        <v/>
      </c>
      <c r="BO206" s="179" t="n"/>
      <c r="BP206" s="179" t="n"/>
      <c r="BQ206" s="179" t="n"/>
      <c r="BR206" s="179" t="n"/>
      <c r="BS206" s="179" t="n"/>
      <c r="BT206" s="179" t="n"/>
      <c r="BU206" s="320" t="n">
        <v>0</v>
      </c>
      <c r="BV206" s="179" t="n"/>
      <c r="BW206" s="179" t="n"/>
      <c r="BX206" s="179" t="n"/>
      <c r="BY206" s="179" t="n"/>
      <c r="BZ206" s="179" t="n"/>
      <c r="CA206" s="124">
        <f>BY206*BZ206</f>
        <v/>
      </c>
      <c r="CB206" s="179" t="n"/>
      <c r="CC206" s="179" t="n"/>
      <c r="CD206" s="179" t="n"/>
      <c r="CE206" s="179" t="n"/>
      <c r="CF206" s="179" t="n"/>
      <c r="CG206" s="179" t="n"/>
      <c r="CH206" s="179" t="n"/>
      <c r="CI206" s="179" t="n"/>
      <c r="CJ206" s="179" t="n"/>
      <c r="CK206" s="179" t="n"/>
      <c r="CL206" s="179" t="n"/>
      <c r="CM206" s="179" t="n"/>
      <c r="CN206" s="179" t="n"/>
      <c r="CO206" s="170" t="n"/>
      <c r="CP206" s="179" t="n"/>
      <c r="CQ206" s="179" t="n"/>
      <c r="CR206" s="170" t="n"/>
      <c r="CS206" s="155" t="n"/>
      <c r="CT206" s="155" t="n"/>
      <c r="CU206" s="177" t="n"/>
      <c r="CV206" s="177" t="n"/>
      <c r="CW206" s="325" t="n"/>
    </row>
    <row r="207" ht="19.9" customFormat="1" customHeight="1" s="67">
      <c r="A207" s="139" t="n"/>
      <c r="B207" s="66" t="n">
        <v>10037019056</v>
      </c>
      <c r="C207" s="139" t="inlineStr">
        <is>
          <t>LAURI POOZ</t>
        </is>
      </c>
      <c r="D207" s="140" t="inlineStr">
        <is>
          <t>ÁGUA FRIA GO</t>
        </is>
      </c>
      <c r="E207" s="140" t="n"/>
      <c r="F207" s="122" t="n"/>
      <c r="G207" s="320" t="n"/>
      <c r="H207" s="124">
        <f>F207*G207</f>
        <v/>
      </c>
      <c r="I207" s="121" t="n"/>
      <c r="J207" s="125" t="n"/>
      <c r="K207" s="65" t="n"/>
      <c r="L207" s="121" t="n"/>
      <c r="M207" s="126" t="inlineStr">
        <is>
          <t>Julho/2023</t>
        </is>
      </c>
      <c r="N207" s="126" t="inlineStr">
        <is>
          <t>01/06/2023 a 01/07/2023</t>
        </is>
      </c>
      <c r="O207" s="321" t="n"/>
      <c r="P207" s="321" t="n"/>
      <c r="Q207" s="321" t="n"/>
      <c r="R207" s="207" t="n"/>
      <c r="S207" s="321" t="n"/>
      <c r="T207" s="321" t="n"/>
      <c r="U207" s="321" t="n"/>
      <c r="V207" s="321" t="n"/>
      <c r="W207" s="321" t="n"/>
      <c r="X207" s="321" t="n"/>
      <c r="Y207" s="321" t="n"/>
      <c r="Z207" s="321" t="n"/>
      <c r="AA207" s="321" t="n"/>
      <c r="AB207" s="322" t="n"/>
      <c r="AC207" s="322" t="n"/>
      <c r="AD207" s="124" t="n"/>
      <c r="AE207" s="124" t="n"/>
      <c r="AF207" s="124" t="n"/>
      <c r="AG207" s="124">
        <f>SUM(AD207:AF207)</f>
        <v/>
      </c>
      <c r="AH207" s="124">
        <f>(AD207*AB207)+((AE207+AF207)*AC207)</f>
        <v/>
      </c>
      <c r="AI207" s="124">
        <f>AD207-AS207</f>
        <v/>
      </c>
      <c r="AJ207" s="124">
        <f>AE207-AT207</f>
        <v/>
      </c>
      <c r="AK207" s="124">
        <f>AF207-AU207</f>
        <v/>
      </c>
      <c r="AL207" s="210">
        <f>SUM(AI207:AK207)</f>
        <v/>
      </c>
      <c r="AM207" s="337">
        <f>(AI207*AB207)+((AJ207+AK207)*AC207)</f>
        <v/>
      </c>
      <c r="AN207" s="155" t="n"/>
      <c r="AO207" s="155" t="n">
        <v>100</v>
      </c>
      <c r="AP207" s="155" t="n"/>
      <c r="AQ207" s="143">
        <f>SUM(AN207:AP207)</f>
        <v/>
      </c>
      <c r="AR207" s="331">
        <f>(AN207*AB207)+((AO207+AP207)*AC207)</f>
        <v/>
      </c>
      <c r="AS207" s="155" t="n"/>
      <c r="AT207" s="155" t="n"/>
      <c r="AU207" s="155" t="n"/>
      <c r="AV207" s="124">
        <f>SUM(AS207:AU207)</f>
        <v/>
      </c>
      <c r="AW207" s="155" t="n"/>
      <c r="AX207" s="155" t="n"/>
      <c r="AY207" s="155" t="n"/>
      <c r="AZ207" s="124">
        <f>SUM(AW207:AY207)</f>
        <v/>
      </c>
      <c r="BA207" s="335">
        <f>(AW207*AB207)+((AX207+AY207)*AC207)</f>
        <v/>
      </c>
      <c r="BB207" s="122">
        <f>AN207-AW207</f>
        <v/>
      </c>
      <c r="BC207" s="141">
        <f>BB207*AB207</f>
        <v/>
      </c>
      <c r="BD207" s="122">
        <f>AO207-AX207</f>
        <v/>
      </c>
      <c r="BE207" s="122">
        <f>BD207*AC207</f>
        <v/>
      </c>
      <c r="BF207" s="122">
        <f>AP207-AY207</f>
        <v/>
      </c>
      <c r="BG207" s="122">
        <f>BF207*AC207</f>
        <v/>
      </c>
      <c r="BH207" s="122">
        <f>BB207+BD207+BF207</f>
        <v/>
      </c>
      <c r="BI207" s="122">
        <f>BC207+BE207+BG207</f>
        <v/>
      </c>
      <c r="BJ207" s="324">
        <f>BL207+BS207+BV207+BY207+CB207+CE207+CH207+CK207</f>
        <v/>
      </c>
      <c r="BK207" s="320">
        <f>((AI207+AW207)*AB207)+((AJ207+AK207+AX207+AY207)*AC207)</f>
        <v/>
      </c>
      <c r="BL207" s="132">
        <f>BM207+BN207+AL207</f>
        <v/>
      </c>
      <c r="BM207" s="133">
        <f>AW207</f>
        <v/>
      </c>
      <c r="BN207" s="133">
        <f>AX207+AY207</f>
        <v/>
      </c>
      <c r="BO207" s="179" t="n"/>
      <c r="BP207" s="179" t="n"/>
      <c r="BQ207" s="179" t="n"/>
      <c r="BR207" s="179" t="n"/>
      <c r="BS207" s="179" t="n"/>
      <c r="BT207" s="179" t="n"/>
      <c r="BU207" s="320" t="n">
        <v>0</v>
      </c>
      <c r="BV207" s="179" t="n"/>
      <c r="BW207" s="179" t="n"/>
      <c r="BX207" s="179" t="n"/>
      <c r="BY207" s="179" t="n"/>
      <c r="BZ207" s="179" t="n"/>
      <c r="CA207" s="124">
        <f>BY207*BZ207</f>
        <v/>
      </c>
      <c r="CB207" s="179" t="n"/>
      <c r="CC207" s="179" t="n"/>
      <c r="CD207" s="179" t="n"/>
      <c r="CE207" s="179" t="n"/>
      <c r="CF207" s="179" t="n"/>
      <c r="CG207" s="179" t="n"/>
      <c r="CH207" s="179" t="n"/>
      <c r="CI207" s="179" t="n"/>
      <c r="CJ207" s="179" t="n"/>
      <c r="CK207" s="179" t="n"/>
      <c r="CL207" s="179" t="n"/>
      <c r="CM207" s="179" t="n"/>
      <c r="CN207" s="179" t="n"/>
      <c r="CO207" s="170" t="n"/>
      <c r="CP207" s="179" t="n"/>
      <c r="CQ207" s="179" t="n"/>
      <c r="CR207" s="170" t="n"/>
      <c r="CS207" s="155" t="n"/>
      <c r="CT207" s="155" t="n"/>
      <c r="CU207" s="177" t="n"/>
      <c r="CV207" s="177" t="n"/>
      <c r="CW207" s="325" t="n"/>
    </row>
    <row r="208" ht="19.9" customFormat="1" customHeight="1" s="67">
      <c r="A208" s="120" t="n"/>
      <c r="B208" s="65" t="n">
        <v>10037019056</v>
      </c>
      <c r="C208" s="120" t="inlineStr">
        <is>
          <t>LAURI POOZ</t>
        </is>
      </c>
      <c r="D208" s="121" t="inlineStr">
        <is>
          <t>ÁGUA FRIA GO</t>
        </is>
      </c>
      <c r="E208" s="121" t="n"/>
      <c r="F208" s="141" t="n"/>
      <c r="G208" s="334" t="n"/>
      <c r="H208" s="143">
        <f>F208*G208</f>
        <v/>
      </c>
      <c r="I208" s="140" t="n"/>
      <c r="J208" s="144" t="n"/>
      <c r="K208" s="66" t="n"/>
      <c r="L208" s="140" t="n"/>
      <c r="M208" s="145" t="inlineStr">
        <is>
          <t>Agosto/2023</t>
        </is>
      </c>
      <c r="N208" s="145" t="inlineStr">
        <is>
          <t>01/07/2023 a 01/08/2023</t>
        </is>
      </c>
      <c r="O208" s="331" t="n"/>
      <c r="P208" s="331" t="n"/>
      <c r="Q208" s="331" t="n"/>
      <c r="R208" s="147" t="n"/>
      <c r="S208" s="331" t="n"/>
      <c r="T208" s="331" t="n"/>
      <c r="U208" s="331" t="n"/>
      <c r="V208" s="331" t="n"/>
      <c r="W208" s="331" t="n"/>
      <c r="X208" s="331" t="n"/>
      <c r="Y208" s="331" t="n"/>
      <c r="Z208" s="331" t="n"/>
      <c r="AA208" s="331" t="n"/>
      <c r="AB208" s="332" t="n"/>
      <c r="AC208" s="332" t="n"/>
      <c r="AD208" s="143" t="n"/>
      <c r="AE208" s="173" t="n"/>
      <c r="AF208" s="143" t="n"/>
      <c r="AG208" s="143">
        <f>SUM(AD208:AF208)</f>
        <v/>
      </c>
      <c r="AH208" s="143">
        <f>(AD208*AB208)+((AE208+AF208)*AC208)</f>
        <v/>
      </c>
      <c r="AI208" s="143">
        <f>AD208-AS208</f>
        <v/>
      </c>
      <c r="AJ208" s="143">
        <f>AE208-AT208</f>
        <v/>
      </c>
      <c r="AK208" s="143">
        <f>AF208-AU208</f>
        <v/>
      </c>
      <c r="AL208" s="208">
        <f>SUM(AI208:AK208)</f>
        <v/>
      </c>
      <c r="AM208" s="336">
        <f>(AI208*AB208)+((AJ208+AK208)*AC208)</f>
        <v/>
      </c>
      <c r="AN208" s="155" t="n"/>
      <c r="AO208" s="155" t="n">
        <v>100</v>
      </c>
      <c r="AP208" s="155" t="n"/>
      <c r="AQ208" s="124">
        <f>SUM(AN208:AP208)</f>
        <v/>
      </c>
      <c r="AR208" s="321">
        <f>(AN208*AB208)+((AO208+AP208)*AC208)</f>
        <v/>
      </c>
      <c r="AS208" s="155" t="n"/>
      <c r="AT208" s="155" t="n"/>
      <c r="AU208" s="155" t="n"/>
      <c r="AV208" s="124">
        <f>SUM(AS208:AU208)</f>
        <v/>
      </c>
      <c r="AW208" s="155" t="n"/>
      <c r="AX208" s="155" t="n"/>
      <c r="AY208" s="155" t="n"/>
      <c r="AZ208" s="124">
        <f>SUM(AW208:AY208)</f>
        <v/>
      </c>
      <c r="BA208" s="335">
        <f>(AW208*AB208)+((AX208+AY208)*AC208)</f>
        <v/>
      </c>
      <c r="BB208" s="122">
        <f>AN208-AW208</f>
        <v/>
      </c>
      <c r="BC208" s="141">
        <f>BB208*AB208</f>
        <v/>
      </c>
      <c r="BD208" s="122">
        <f>AO208-AX208</f>
        <v/>
      </c>
      <c r="BE208" s="122">
        <f>BD208*AC208</f>
        <v/>
      </c>
      <c r="BF208" s="122">
        <f>AP208-AY208</f>
        <v/>
      </c>
      <c r="BG208" s="122">
        <f>BF208*AC208</f>
        <v/>
      </c>
      <c r="BH208" s="122">
        <f>BB208+BD208+BF208</f>
        <v/>
      </c>
      <c r="BI208" s="122">
        <f>BC208+BE208+BG208</f>
        <v/>
      </c>
      <c r="BJ208" s="324">
        <f>BL208+BS208+BV208+BY208+CB208+CE208+CH208+CK208</f>
        <v/>
      </c>
      <c r="BK208" s="320">
        <f>((AI208+AW208)*AB208)+((AJ208+AK208+AX208+AY208)*AC208)</f>
        <v/>
      </c>
      <c r="BL208" s="132">
        <f>BM208+BN208+AL208</f>
        <v/>
      </c>
      <c r="BM208" s="133">
        <f>AW208</f>
        <v/>
      </c>
      <c r="BN208" s="133">
        <f>AX208+AY208</f>
        <v/>
      </c>
      <c r="BO208" s="179" t="n"/>
      <c r="BP208" s="179" t="n"/>
      <c r="BQ208" s="179" t="n"/>
      <c r="BR208" s="179" t="n"/>
      <c r="BS208" s="179" t="n"/>
      <c r="BT208" s="179" t="n"/>
      <c r="BU208" s="320" t="n">
        <v>0</v>
      </c>
      <c r="BV208" s="179" t="n"/>
      <c r="BW208" s="179" t="n"/>
      <c r="BX208" s="179" t="n"/>
      <c r="BY208" s="179" t="n"/>
      <c r="BZ208" s="179" t="n"/>
      <c r="CA208" s="124">
        <f>BY208*BZ208</f>
        <v/>
      </c>
      <c r="CB208" s="179" t="n"/>
      <c r="CC208" s="179" t="n"/>
      <c r="CD208" s="179" t="n"/>
      <c r="CE208" s="179" t="n"/>
      <c r="CF208" s="179" t="n"/>
      <c r="CG208" s="179" t="n"/>
      <c r="CH208" s="179" t="n"/>
      <c r="CI208" s="179" t="n"/>
      <c r="CJ208" s="179" t="n"/>
      <c r="CK208" s="179" t="n"/>
      <c r="CL208" s="179" t="n"/>
      <c r="CM208" s="179" t="n"/>
      <c r="CN208" s="179" t="n"/>
      <c r="CO208" s="170" t="n"/>
      <c r="CP208" s="179" t="n"/>
      <c r="CQ208" s="179" t="n"/>
      <c r="CR208" s="170" t="n"/>
      <c r="CS208" s="155" t="n"/>
      <c r="CT208" s="155" t="n"/>
      <c r="CU208" s="177" t="n"/>
      <c r="CV208" s="177" t="n"/>
      <c r="CW208" s="325" t="n"/>
    </row>
    <row r="209" ht="19.9" customFormat="1" customHeight="1" s="67">
      <c r="A209" s="233" t="n"/>
      <c r="B209" s="66" t="n">
        <v>10037019056</v>
      </c>
      <c r="C209" s="233" t="inlineStr">
        <is>
          <t>LAURI POOZ</t>
        </is>
      </c>
      <c r="D209" s="140" t="inlineStr">
        <is>
          <t>ÁGUA FRIA GO</t>
        </is>
      </c>
      <c r="E209" s="140" t="n"/>
      <c r="F209" s="122" t="n"/>
      <c r="G209" s="320" t="n"/>
      <c r="H209" s="124">
        <f>F209*G209</f>
        <v/>
      </c>
      <c r="I209" s="121" t="n"/>
      <c r="J209" s="125" t="n"/>
      <c r="K209" s="65" t="n"/>
      <c r="L209" s="121" t="n"/>
      <c r="M209" s="126" t="inlineStr">
        <is>
          <t>Setembro/2023</t>
        </is>
      </c>
      <c r="N209" s="126" t="inlineStr">
        <is>
          <t>01/08/2023 a 01/09/2023</t>
        </is>
      </c>
      <c r="O209" s="321" t="n"/>
      <c r="P209" s="321" t="n"/>
      <c r="Q209" s="321" t="n"/>
      <c r="R209" s="207" t="n"/>
      <c r="S209" s="321" t="n"/>
      <c r="T209" s="321" t="n"/>
      <c r="U209" s="321" t="n"/>
      <c r="V209" s="321" t="n"/>
      <c r="W209" s="321" t="n"/>
      <c r="X209" s="321" t="n"/>
      <c r="Y209" s="321" t="n"/>
      <c r="Z209" s="321" t="n"/>
      <c r="AA209" s="321" t="n"/>
      <c r="AB209" s="322" t="n"/>
      <c r="AC209" s="322" t="n"/>
      <c r="AD209" s="124" t="n"/>
      <c r="AE209" s="124" t="n"/>
      <c r="AF209" s="124" t="n"/>
      <c r="AG209" s="124">
        <f>SUM(AD209:AF209)</f>
        <v/>
      </c>
      <c r="AH209" s="124">
        <f>(AD209*AB209)+((AE209+AF209)*AC209)</f>
        <v/>
      </c>
      <c r="AI209" s="124">
        <f>AD209-AS209</f>
        <v/>
      </c>
      <c r="AJ209" s="124">
        <f>AE209-AT209</f>
        <v/>
      </c>
      <c r="AK209" s="124">
        <f>AF209-AU209</f>
        <v/>
      </c>
      <c r="AL209" s="210">
        <f>SUM(AI209:AK209)</f>
        <v/>
      </c>
      <c r="AM209" s="337">
        <f>(AI209*AB209)+((AJ209+AK209)*AC209)</f>
        <v/>
      </c>
      <c r="AN209" s="155" t="n">
        <v>0.06</v>
      </c>
      <c r="AO209" s="155" t="n">
        <v>1431.72</v>
      </c>
      <c r="AP209" s="155" t="n"/>
      <c r="AQ209" s="143">
        <f>SUM(AN209:AP209)</f>
        <v/>
      </c>
      <c r="AR209" s="331">
        <f>(AN209*AB209)+((AO209+AP209)*AC209)</f>
        <v/>
      </c>
      <c r="AS209" s="155" t="n">
        <v>0.23</v>
      </c>
      <c r="AT209" s="155" t="n">
        <v>0</v>
      </c>
      <c r="AU209" s="155" t="n"/>
      <c r="AV209" s="124">
        <f>SUM(AS209:AU209)</f>
        <v/>
      </c>
      <c r="AW209" s="155" t="n">
        <v>0.06</v>
      </c>
      <c r="AX209" s="155" t="n">
        <v>0.17</v>
      </c>
      <c r="AY209" s="155" t="n"/>
      <c r="AZ209" s="124">
        <f>SUM(AW209:AY209)</f>
        <v/>
      </c>
      <c r="BA209" s="335">
        <f>(AW209*AB209)+((AX209+AY209)*AC209)</f>
        <v/>
      </c>
      <c r="BB209" s="122">
        <f>AN209-AW209</f>
        <v/>
      </c>
      <c r="BC209" s="141">
        <f>BB209*AB209</f>
        <v/>
      </c>
      <c r="BD209" s="122">
        <f>AO209-AX209</f>
        <v/>
      </c>
      <c r="BE209" s="122">
        <f>BD209*AC209</f>
        <v/>
      </c>
      <c r="BF209" s="122">
        <f>AP209-AY209</f>
        <v/>
      </c>
      <c r="BG209" s="122">
        <f>BF209*AC209</f>
        <v/>
      </c>
      <c r="BH209" s="122">
        <f>BB209+BD209+BF209</f>
        <v/>
      </c>
      <c r="BI209" s="122">
        <f>BC209+BE209+BG209</f>
        <v/>
      </c>
      <c r="BJ209" s="324">
        <f>BL209+BS209+BV209+BY209+CB209+CE209+CH209+CK209</f>
        <v/>
      </c>
      <c r="BK209" s="320">
        <f>((AI209+AW209)*AB209)+((AJ209+AK209+AX209+AY209)*AC209)</f>
        <v/>
      </c>
      <c r="BL209" s="132">
        <f>BM209+BN209+AL209</f>
        <v/>
      </c>
      <c r="BM209" s="133">
        <f>AW209</f>
        <v/>
      </c>
      <c r="BN209" s="133">
        <f>AX209+AY209</f>
        <v/>
      </c>
      <c r="BO209" s="179" t="n"/>
      <c r="BP209" s="179" t="n"/>
      <c r="BQ209" s="179" t="n"/>
      <c r="BR209" s="179" t="n"/>
      <c r="BS209" s="179" t="n"/>
      <c r="BT209" s="179" t="n"/>
      <c r="BU209" s="320" t="n">
        <v>0</v>
      </c>
      <c r="BV209" s="179" t="n"/>
      <c r="BW209" s="179" t="n"/>
      <c r="BX209" s="179" t="n"/>
      <c r="BY209" s="179" t="n"/>
      <c r="BZ209" s="179" t="n"/>
      <c r="CA209" s="124">
        <f>BY209*BZ209</f>
        <v/>
      </c>
      <c r="CB209" s="179" t="n"/>
      <c r="CC209" s="179" t="n"/>
      <c r="CD209" s="179" t="n"/>
      <c r="CE209" s="179" t="n"/>
      <c r="CF209" s="179" t="n"/>
      <c r="CG209" s="179" t="n"/>
      <c r="CH209" s="179" t="n"/>
      <c r="CI209" s="179" t="n"/>
      <c r="CJ209" s="179" t="n"/>
      <c r="CK209" s="179" t="n"/>
      <c r="CL209" s="179" t="n"/>
      <c r="CM209" s="179" t="n"/>
      <c r="CN209" s="179" t="n"/>
      <c r="CO209" s="170" t="n"/>
      <c r="CP209" s="179" t="n"/>
      <c r="CQ209" s="179" t="n"/>
      <c r="CR209" s="170" t="n"/>
      <c r="CS209" s="155" t="n"/>
      <c r="CT209" s="155" t="n"/>
      <c r="CU209" s="177" t="n"/>
      <c r="CV209" s="177" t="n"/>
      <c r="CW209" s="325" t="n"/>
    </row>
    <row r="210" ht="19.9" customFormat="1" customHeight="1" s="67">
      <c r="A210" s="120" t="n"/>
      <c r="B210" s="65" t="n">
        <v>10037019056</v>
      </c>
      <c r="C210" s="120" t="inlineStr">
        <is>
          <t>LAURI POOZ</t>
        </is>
      </c>
      <c r="D210" s="121" t="inlineStr">
        <is>
          <t>ÁGUA FRIA GO</t>
        </is>
      </c>
      <c r="E210" s="121" t="n"/>
      <c r="F210" s="141" t="n"/>
      <c r="G210" s="334" t="n"/>
      <c r="H210" s="143">
        <f>F210*G210</f>
        <v/>
      </c>
      <c r="I210" s="140" t="n"/>
      <c r="J210" s="144" t="n"/>
      <c r="K210" s="66" t="n"/>
      <c r="L210" s="140" t="n"/>
      <c r="M210" s="145" t="inlineStr">
        <is>
          <t>Outubro/2023</t>
        </is>
      </c>
      <c r="N210" s="145" t="inlineStr">
        <is>
          <t>01/09/2023 a 01/10/2023</t>
        </is>
      </c>
      <c r="O210" s="331" t="n"/>
      <c r="P210" s="331" t="n"/>
      <c r="Q210" s="331" t="n"/>
      <c r="R210" s="147" t="n"/>
      <c r="S210" s="331" t="n"/>
      <c r="T210" s="331" t="n"/>
      <c r="U210" s="331" t="n"/>
      <c r="V210" s="331" t="n"/>
      <c r="W210" s="331" t="n"/>
      <c r="X210" s="331" t="n"/>
      <c r="Y210" s="331" t="n"/>
      <c r="Z210" s="331" t="n"/>
      <c r="AA210" s="331" t="n"/>
      <c r="AB210" s="332" t="n"/>
      <c r="AC210" s="332" t="n"/>
      <c r="AD210" s="143" t="n"/>
      <c r="AE210" s="173" t="n"/>
      <c r="AF210" s="143" t="n"/>
      <c r="AG210" s="143">
        <f>SUM(AD210:AF210)</f>
        <v/>
      </c>
      <c r="AH210" s="143">
        <f>(AD210*AB210)+((AE210+AF210)*AC210)</f>
        <v/>
      </c>
      <c r="AI210" s="143">
        <f>AD210-AS210</f>
        <v/>
      </c>
      <c r="AJ210" s="143">
        <f>AE210-AT210</f>
        <v/>
      </c>
      <c r="AK210" s="143">
        <f>AF210-AU210</f>
        <v/>
      </c>
      <c r="AL210" s="208">
        <f>SUM(AI210:AK210)</f>
        <v/>
      </c>
      <c r="AM210" s="336">
        <f>(AI210*AB210)+((AJ210+AK210)*AC210)</f>
        <v/>
      </c>
      <c r="AN210" s="155" t="n">
        <v>0.84</v>
      </c>
      <c r="AO210" s="155" t="n">
        <v>21148.62</v>
      </c>
      <c r="AP210" s="155" t="n"/>
      <c r="AQ210" s="124">
        <f>SUM(AN210:AP210)</f>
        <v/>
      </c>
      <c r="AR210" s="321">
        <f>(AN210*AB210)+((AO210+AP210)*AC210)</f>
        <v/>
      </c>
      <c r="AS210" s="155" t="n">
        <v>0.66</v>
      </c>
      <c r="AT210" s="155" t="n">
        <v>0</v>
      </c>
      <c r="AU210" s="155" t="n"/>
      <c r="AV210" s="124">
        <f>SUM(AS210:AU210)</f>
        <v/>
      </c>
      <c r="AW210" s="155" t="n">
        <v>0.66</v>
      </c>
      <c r="AX210" s="155" t="n">
        <v>0</v>
      </c>
      <c r="AY210" s="155" t="n"/>
      <c r="AZ210" s="124">
        <f>SUM(AW210:AY210)</f>
        <v/>
      </c>
      <c r="BA210" s="335">
        <f>(AW210*AB210)+((AX210+AY210)*AC210)</f>
        <v/>
      </c>
      <c r="BB210" s="122">
        <f>AN210-AW210</f>
        <v/>
      </c>
      <c r="BC210" s="141">
        <f>BB210*AB210</f>
        <v/>
      </c>
      <c r="BD210" s="122">
        <f>AO210-AX210</f>
        <v/>
      </c>
      <c r="BE210" s="122">
        <f>BD210*AC210</f>
        <v/>
      </c>
      <c r="BF210" s="122">
        <f>AP210-AY210</f>
        <v/>
      </c>
      <c r="BG210" s="122">
        <f>BF210*AC210</f>
        <v/>
      </c>
      <c r="BH210" s="122">
        <f>BB210+BD210+BF210</f>
        <v/>
      </c>
      <c r="BI210" s="122">
        <f>BC210+BE210+BG210</f>
        <v/>
      </c>
      <c r="BJ210" s="324">
        <f>BL210+BS210+BV210+BY210+CB210+CE210+CH210+CK210</f>
        <v/>
      </c>
      <c r="BK210" s="320">
        <f>((AI210+AW210)*AB210)+((AJ210+AK210+AX210+AY210)*AC210)</f>
        <v/>
      </c>
      <c r="BL210" s="132">
        <f>BM210+BN210+AL210</f>
        <v/>
      </c>
      <c r="BM210" s="133">
        <f>AW210</f>
        <v/>
      </c>
      <c r="BN210" s="133">
        <f>AX210+AY210</f>
        <v/>
      </c>
      <c r="BO210" s="179" t="n"/>
      <c r="BP210" s="179" t="n"/>
      <c r="BQ210" s="179" t="n"/>
      <c r="BR210" s="179" t="n"/>
      <c r="BS210" s="179" t="n"/>
      <c r="BT210" s="179" t="n"/>
      <c r="BU210" s="320" t="n">
        <v>0</v>
      </c>
      <c r="BV210" s="179" t="n"/>
      <c r="BW210" s="179" t="n"/>
      <c r="BX210" s="179" t="n"/>
      <c r="BY210" s="179" t="n"/>
      <c r="BZ210" s="179" t="n"/>
      <c r="CA210" s="124">
        <f>BY210*BZ210</f>
        <v/>
      </c>
      <c r="CB210" s="179" t="n"/>
      <c r="CC210" s="179" t="n"/>
      <c r="CD210" s="179" t="n"/>
      <c r="CE210" s="179" t="n"/>
      <c r="CF210" s="179" t="n"/>
      <c r="CG210" s="179" t="n"/>
      <c r="CH210" s="179" t="n"/>
      <c r="CI210" s="179" t="n"/>
      <c r="CJ210" s="179" t="n"/>
      <c r="CK210" s="179" t="n"/>
      <c r="CL210" s="179" t="n"/>
      <c r="CM210" s="179" t="n"/>
      <c r="CN210" s="179" t="n"/>
      <c r="CO210" s="170" t="n"/>
      <c r="CP210" s="179" t="n"/>
      <c r="CQ210" s="179" t="n"/>
      <c r="CR210" s="170" t="n"/>
      <c r="CS210" s="155" t="n"/>
      <c r="CT210" s="155" t="n"/>
      <c r="CU210" s="177" t="n"/>
      <c r="CV210" s="177" t="n"/>
      <c r="CW210" s="325" t="n"/>
    </row>
    <row r="211" ht="19.9" customFormat="1" customHeight="1" s="67">
      <c r="A211" s="139" t="n"/>
      <c r="B211" s="66" t="n">
        <v>10037019056</v>
      </c>
      <c r="C211" s="139" t="inlineStr">
        <is>
          <t>LAURI POOZ</t>
        </is>
      </c>
      <c r="D211" s="140" t="inlineStr">
        <is>
          <t>ÁGUA FRIA GO</t>
        </is>
      </c>
      <c r="E211" s="140" t="n"/>
      <c r="F211" s="122" t="n"/>
      <c r="G211" s="320" t="n"/>
      <c r="H211" s="124">
        <f>F211*G211</f>
        <v/>
      </c>
      <c r="I211" s="121" t="n"/>
      <c r="J211" s="125" t="n"/>
      <c r="K211" s="65" t="n"/>
      <c r="L211" s="121" t="n"/>
      <c r="M211" s="126" t="inlineStr">
        <is>
          <t>Novembro/2023</t>
        </is>
      </c>
      <c r="N211" s="126" t="inlineStr">
        <is>
          <t>01/10/2023 a 01/11/2023</t>
        </is>
      </c>
      <c r="O211" s="321" t="n"/>
      <c r="P211" s="321" t="n"/>
      <c r="Q211" s="321" t="n"/>
      <c r="R211" s="207" t="n"/>
      <c r="S211" s="321" t="n"/>
      <c r="T211" s="321" t="n"/>
      <c r="U211" s="321" t="n"/>
      <c r="V211" s="321" t="n"/>
      <c r="W211" s="321" t="n"/>
      <c r="X211" s="321" t="n"/>
      <c r="Y211" s="321" t="n"/>
      <c r="Z211" s="321" t="n"/>
      <c r="AA211" s="321" t="n"/>
      <c r="AB211" s="322" t="n"/>
      <c r="AC211" s="322" t="n"/>
      <c r="AD211" s="124" t="n"/>
      <c r="AE211" s="124" t="n"/>
      <c r="AF211" s="124" t="n"/>
      <c r="AG211" s="124">
        <f>SUM(AD211:AF211)</f>
        <v/>
      </c>
      <c r="AH211" s="124">
        <f>(AD211*AB211)+((AE211+AF211)*AC211)</f>
        <v/>
      </c>
      <c r="AI211" s="124">
        <f>AD211-AS211</f>
        <v/>
      </c>
      <c r="AJ211" s="124">
        <f>AE211-AT211</f>
        <v/>
      </c>
      <c r="AK211" s="124">
        <f>AF211-AU211</f>
        <v/>
      </c>
      <c r="AL211" s="210">
        <f>SUM(AI211:AK211)</f>
        <v/>
      </c>
      <c r="AM211" s="337">
        <f>(AI211*AB211)+((AJ211+AK211)*AC211)</f>
        <v/>
      </c>
      <c r="AN211" s="155" t="n">
        <v>0.68</v>
      </c>
      <c r="AO211" s="155" t="n">
        <v>882.84</v>
      </c>
      <c r="AP211" s="155" t="n">
        <v>0.32</v>
      </c>
      <c r="AQ211" s="143">
        <f>SUM(AN211:AP211)</f>
        <v/>
      </c>
      <c r="AR211" s="331">
        <f>(AN211*AB211)+((AO211+AP211)*AC211)</f>
        <v/>
      </c>
      <c r="AS211" s="155" t="n">
        <v>1.12</v>
      </c>
      <c r="AT211" s="155" t="n">
        <v>17769.14</v>
      </c>
      <c r="AU211" s="155" t="n">
        <v>7.67</v>
      </c>
      <c r="AV211" s="124">
        <f>SUM(AS211:AU211)</f>
        <v/>
      </c>
      <c r="AW211" s="155" t="n">
        <v>0.68</v>
      </c>
      <c r="AX211" s="155" t="n">
        <v>882.84</v>
      </c>
      <c r="AY211" s="155" t="n">
        <v>0.32</v>
      </c>
      <c r="AZ211" s="124">
        <f>SUM(AW211:AY211)</f>
        <v/>
      </c>
      <c r="BA211" s="335">
        <f>(AW211*AB211)+((AX211+AY211)*AC211)</f>
        <v/>
      </c>
      <c r="BB211" s="122">
        <f>AN211-AW211</f>
        <v/>
      </c>
      <c r="BC211" s="141">
        <f>BB211*AB211</f>
        <v/>
      </c>
      <c r="BD211" s="122">
        <f>AO211-AX211</f>
        <v/>
      </c>
      <c r="BE211" s="122">
        <f>BD211*AC211</f>
        <v/>
      </c>
      <c r="BF211" s="122">
        <f>AP211-AY211</f>
        <v/>
      </c>
      <c r="BG211" s="122">
        <f>BF211*AC211</f>
        <v/>
      </c>
      <c r="BH211" s="122">
        <f>BB211+BD211+BF211</f>
        <v/>
      </c>
      <c r="BI211" s="122">
        <f>BC211+BE211+BG211</f>
        <v/>
      </c>
      <c r="BJ211" s="324">
        <f>BL211+BS211+BV211+BY211+CB211+CE211+CH211+CK211</f>
        <v/>
      </c>
      <c r="BK211" s="320">
        <f>((AI211+AW211)*AB211)+((AJ211+AK211+AX211+AY211)*AC211)</f>
        <v/>
      </c>
      <c r="BL211" s="132">
        <f>BM211+BN211+AL211</f>
        <v/>
      </c>
      <c r="BM211" s="133">
        <f>AW211</f>
        <v/>
      </c>
      <c r="BN211" s="133">
        <f>AX211+AY211</f>
        <v/>
      </c>
      <c r="BO211" s="179" t="n"/>
      <c r="BP211" s="179" t="n"/>
      <c r="BQ211" s="179" t="n"/>
      <c r="BR211" s="179" t="n"/>
      <c r="BS211" s="179" t="n"/>
      <c r="BT211" s="179" t="n"/>
      <c r="BU211" s="320" t="n">
        <v>0</v>
      </c>
      <c r="BV211" s="179" t="n"/>
      <c r="BW211" s="179" t="n"/>
      <c r="BX211" s="179" t="n"/>
      <c r="BY211" s="179" t="n"/>
      <c r="BZ211" s="179" t="n"/>
      <c r="CA211" s="124">
        <f>BY211*BZ211</f>
        <v/>
      </c>
      <c r="CB211" s="179" t="n"/>
      <c r="CC211" s="179" t="n"/>
      <c r="CD211" s="179" t="n"/>
      <c r="CE211" s="179" t="n"/>
      <c r="CF211" s="179" t="n"/>
      <c r="CG211" s="179" t="n"/>
      <c r="CH211" s="179" t="n"/>
      <c r="CI211" s="179" t="n"/>
      <c r="CJ211" s="179" t="n"/>
      <c r="CK211" s="179" t="n"/>
      <c r="CL211" s="179" t="n"/>
      <c r="CM211" s="179" t="n"/>
      <c r="CN211" s="179" t="n"/>
      <c r="CO211" s="170" t="n"/>
      <c r="CP211" s="179" t="n"/>
      <c r="CQ211" s="179" t="n"/>
      <c r="CR211" s="170" t="n"/>
      <c r="CS211" s="155" t="n"/>
      <c r="CT211" s="155" t="n"/>
      <c r="CU211" s="177" t="n"/>
      <c r="CV211" s="177" t="n"/>
      <c r="CW211" s="325" t="n"/>
    </row>
    <row r="212" ht="19.9" customFormat="1" customHeight="1" s="67">
      <c r="A212" s="120" t="n"/>
      <c r="B212" s="65" t="n">
        <v>10037019056</v>
      </c>
      <c r="C212" s="120" t="inlineStr">
        <is>
          <t>LAURI POOZ</t>
        </is>
      </c>
      <c r="D212" s="121" t="inlineStr">
        <is>
          <t>ÁGUA FRIA GO</t>
        </is>
      </c>
      <c r="E212" s="121" t="n"/>
      <c r="F212" s="141" t="n"/>
      <c r="G212" s="334" t="n"/>
      <c r="H212" s="143">
        <f>F212*G212</f>
        <v/>
      </c>
      <c r="I212" s="140" t="n"/>
      <c r="J212" s="144" t="n"/>
      <c r="K212" s="66" t="n"/>
      <c r="L212" s="140" t="n"/>
      <c r="M212" s="145" t="inlineStr">
        <is>
          <t>Dezembro/2023</t>
        </is>
      </c>
      <c r="N212" s="145" t="inlineStr">
        <is>
          <t>01/11/2023 a 01/12/2023</t>
        </is>
      </c>
      <c r="O212" s="331" t="n"/>
      <c r="P212" s="331" t="n"/>
      <c r="Q212" s="331" t="n"/>
      <c r="R212" s="147" t="n"/>
      <c r="S212" s="331" t="n"/>
      <c r="T212" s="331" t="n"/>
      <c r="U212" s="331" t="n"/>
      <c r="V212" s="331" t="n"/>
      <c r="W212" s="331" t="n"/>
      <c r="X212" s="331" t="n"/>
      <c r="Y212" s="331" t="n"/>
      <c r="Z212" s="331" t="n"/>
      <c r="AA212" s="331" t="n"/>
      <c r="AB212" s="332" t="n"/>
      <c r="AC212" s="332" t="n"/>
      <c r="AD212" s="143" t="n"/>
      <c r="AE212" s="173" t="n"/>
      <c r="AF212" s="143" t="n"/>
      <c r="AG212" s="143">
        <f>SUM(AD212:AF212)</f>
        <v/>
      </c>
      <c r="AH212" s="143">
        <f>(AD212*AB212)+((AE212+AF212)*AC212)</f>
        <v/>
      </c>
      <c r="AI212" s="143">
        <f>AD212-AS212</f>
        <v/>
      </c>
      <c r="AJ212" s="143">
        <f>AE212-AT212</f>
        <v/>
      </c>
      <c r="AK212" s="143">
        <f>AF212-AU212</f>
        <v/>
      </c>
      <c r="AL212" s="208">
        <f>SUM(AI212:AK212)</f>
        <v/>
      </c>
      <c r="AM212" s="336">
        <f>(AI212*AB212)+((AJ212+AK212)*AC212)</f>
        <v/>
      </c>
      <c r="AN212" s="155" t="n">
        <v>0.59</v>
      </c>
      <c r="AO212" s="155" t="n">
        <v>8902.74</v>
      </c>
      <c r="AP212" s="155" t="n">
        <v>2.46</v>
      </c>
      <c r="AQ212" s="124">
        <f>SUM(AN212:AP212)</f>
        <v/>
      </c>
      <c r="AR212" s="321">
        <f>(AN212*AB212)+((AO212+AP212)*AC212)</f>
        <v/>
      </c>
      <c r="AS212" s="155" t="n">
        <v>5.83</v>
      </c>
      <c r="AT212" s="155" t="n">
        <v>9322.559999999999</v>
      </c>
      <c r="AU212" s="155" t="n">
        <v>15.21</v>
      </c>
      <c r="AV212" s="124">
        <f>SUM(AS212:AU212)</f>
        <v/>
      </c>
      <c r="AW212" s="155" t="n">
        <v>0.59</v>
      </c>
      <c r="AX212" s="155" t="n">
        <v>8902.74</v>
      </c>
      <c r="AY212" s="155" t="n">
        <v>2.46</v>
      </c>
      <c r="AZ212" s="124">
        <f>SUM(AW212:AY212)</f>
        <v/>
      </c>
      <c r="BA212" s="335">
        <f>(AW212*AB212)+((AX212+AY212)*AC212)</f>
        <v/>
      </c>
      <c r="BB212" s="122">
        <f>AN212-AW212</f>
        <v/>
      </c>
      <c r="BC212" s="141">
        <f>BB212*AB212</f>
        <v/>
      </c>
      <c r="BD212" s="122">
        <f>AO212-AX212</f>
        <v/>
      </c>
      <c r="BE212" s="122">
        <f>BD212*AC212</f>
        <v/>
      </c>
      <c r="BF212" s="122">
        <f>AP212-AY212</f>
        <v/>
      </c>
      <c r="BG212" s="122">
        <f>BF212*AC212</f>
        <v/>
      </c>
      <c r="BH212" s="122">
        <f>BB212+BD212+BF212</f>
        <v/>
      </c>
      <c r="BI212" s="122">
        <f>BC212+BE212+BG212</f>
        <v/>
      </c>
      <c r="BJ212" s="324">
        <f>BL212+BS212+BV212+BY212+CB212+CE212+CH212+CK212</f>
        <v/>
      </c>
      <c r="BK212" s="320">
        <f>((AI212+AW212)*AB212)+((AJ212+AK212+AX212+AY212)*AC212)</f>
        <v/>
      </c>
      <c r="BL212" s="132">
        <f>BM212+BN212+AL212</f>
        <v/>
      </c>
      <c r="BM212" s="133">
        <f>AW212</f>
        <v/>
      </c>
      <c r="BN212" s="133">
        <f>AX212+AY212</f>
        <v/>
      </c>
      <c r="BO212" s="179" t="n"/>
      <c r="BP212" s="179" t="n"/>
      <c r="BQ212" s="179" t="n"/>
      <c r="BR212" s="179" t="n"/>
      <c r="BS212" s="179" t="n"/>
      <c r="BT212" s="179" t="n"/>
      <c r="BU212" s="320" t="n">
        <v>0</v>
      </c>
      <c r="BV212" s="179" t="n"/>
      <c r="BW212" s="179" t="n"/>
      <c r="BX212" s="179" t="n"/>
      <c r="BY212" s="179" t="n"/>
      <c r="BZ212" s="179" t="n"/>
      <c r="CA212" s="124">
        <f>BY212*BZ212</f>
        <v/>
      </c>
      <c r="CB212" s="179" t="n"/>
      <c r="CC212" s="179" t="n"/>
      <c r="CD212" s="179" t="n"/>
      <c r="CE212" s="179" t="n"/>
      <c r="CF212" s="179" t="n"/>
      <c r="CG212" s="179" t="n"/>
      <c r="CH212" s="179" t="n"/>
      <c r="CI212" s="179" t="n"/>
      <c r="CJ212" s="179" t="n"/>
      <c r="CK212" s="179" t="n"/>
      <c r="CL212" s="179" t="n"/>
      <c r="CM212" s="179" t="n"/>
      <c r="CN212" s="179" t="n"/>
      <c r="CO212" s="170" t="n"/>
      <c r="CP212" s="179" t="n"/>
      <c r="CQ212" s="179" t="n"/>
      <c r="CR212" s="170" t="n"/>
      <c r="CS212" s="155" t="n"/>
      <c r="CT212" s="155" t="n"/>
      <c r="CU212" s="177" t="n"/>
      <c r="CV212" s="177" t="n"/>
      <c r="CW212" s="325" t="n"/>
    </row>
    <row r="213" ht="19.9" customFormat="1" customHeight="1" s="67">
      <c r="A213" s="233" t="inlineStr">
        <is>
          <t>São Salvador</t>
        </is>
      </c>
      <c r="B213" s="66" t="n">
        <v>10024125537</v>
      </c>
      <c r="C213" s="233" t="inlineStr">
        <is>
          <t>FAZENDA CONCEICAO</t>
        </is>
      </c>
      <c r="D213" s="140" t="inlineStr">
        <is>
          <t>ITABERAI</t>
        </is>
      </c>
      <c r="E213" s="140" t="n">
        <v>44838</v>
      </c>
      <c r="F213" s="122" t="n">
        <v>37705.88</v>
      </c>
      <c r="G213" s="320" t="n">
        <v>0.53</v>
      </c>
      <c r="H213" s="124">
        <f>F213*G213</f>
        <v/>
      </c>
      <c r="I213" s="121" t="inlineStr">
        <is>
          <t>Agosto/2023</t>
        </is>
      </c>
      <c r="J213" s="125" t="inlineStr">
        <is>
          <t>2</t>
        </is>
      </c>
      <c r="K213" s="65" t="inlineStr">
        <is>
          <t>C36W-545 W</t>
        </is>
      </c>
      <c r="L213" s="121" t="n"/>
      <c r="M213" s="126" t="inlineStr">
        <is>
          <t>Agosto/2023</t>
        </is>
      </c>
      <c r="N213" s="126" t="inlineStr">
        <is>
          <t>22/08/2023 a 01/09/2023</t>
        </is>
      </c>
      <c r="O213" s="321" t="n">
        <v>11567.34</v>
      </c>
      <c r="P213" s="321" t="n"/>
      <c r="Q213" s="321" t="n">
        <v>3451.84</v>
      </c>
      <c r="R213" s="207" t="n">
        <v>132.86</v>
      </c>
      <c r="S213" s="321" t="n">
        <v>0</v>
      </c>
      <c r="T213" s="321" t="n">
        <v>0</v>
      </c>
      <c r="U213" s="321" t="n">
        <v>0</v>
      </c>
      <c r="V213" s="321" t="n">
        <v>0</v>
      </c>
      <c r="W213" s="321" t="n">
        <v>0</v>
      </c>
      <c r="X213" s="321" t="n">
        <v>0</v>
      </c>
      <c r="Y213" s="321" t="n">
        <v>0</v>
      </c>
      <c r="Z213" s="321">
        <f>301.76-261.11-2434.55</f>
        <v/>
      </c>
      <c r="AA213" s="321" t="n">
        <v>0</v>
      </c>
      <c r="AB213" s="322">
        <f>0.494926+1.669076</f>
        <v/>
      </c>
      <c r="AC213" s="322">
        <f>0.308976+0.157794</f>
        <v/>
      </c>
      <c r="AD213" s="124" t="n">
        <v>0.77</v>
      </c>
      <c r="AE213" s="124" t="n">
        <v>39179.01</v>
      </c>
      <c r="AF213" s="124" t="n">
        <v>0</v>
      </c>
      <c r="AG213" s="124">
        <f>SUM(AD213:AF213)</f>
        <v/>
      </c>
      <c r="AH213" s="124">
        <f>(AD213*AB213)+((AE213+AF213)*AC213)</f>
        <v/>
      </c>
      <c r="AI213" s="124">
        <f>AD213-AS213</f>
        <v/>
      </c>
      <c r="AJ213" s="124">
        <f>AE213-AT213</f>
        <v/>
      </c>
      <c r="AK213" s="124">
        <f>AF213-AU213</f>
        <v/>
      </c>
      <c r="AL213" s="210">
        <f>SUM(AI213:AK213)</f>
        <v/>
      </c>
      <c r="AM213" s="337">
        <f>(AI213*AB213)+((AJ213+AK213)*AC213)</f>
        <v/>
      </c>
      <c r="AN213" s="183" t="n">
        <v>2471.99</v>
      </c>
      <c r="AO213" s="183" t="n">
        <v>8797.049999999999</v>
      </c>
      <c r="AP213" s="183" t="n">
        <v>4022.25</v>
      </c>
      <c r="AQ213" s="143">
        <f>SUM(AN213:AP213)</f>
        <v/>
      </c>
      <c r="AR213" s="331">
        <f>(AN213*AB213)+((AO213+AP213)*AC213)</f>
        <v/>
      </c>
      <c r="AS213" s="183" t="n">
        <v>0</v>
      </c>
      <c r="AT213" s="183" t="n">
        <v>1764.6</v>
      </c>
      <c r="AU213" s="183" t="n">
        <v>0</v>
      </c>
      <c r="AV213" s="124">
        <f>SUM(AS213:AU213)</f>
        <v/>
      </c>
      <c r="AW213" s="183" t="n">
        <v>0</v>
      </c>
      <c r="AX213" s="183" t="n">
        <v>1764.6</v>
      </c>
      <c r="AY213" s="183" t="n">
        <v>0</v>
      </c>
      <c r="AZ213" s="124">
        <f>SUM(AW213:AY213)</f>
        <v/>
      </c>
      <c r="BA213" s="335">
        <f>(AW213*AB213)+((AX213+AY213)*AC213)</f>
        <v/>
      </c>
      <c r="BB213" s="122">
        <f>AN213-AW213</f>
        <v/>
      </c>
      <c r="BC213" s="141">
        <f>BB213*AB213</f>
        <v/>
      </c>
      <c r="BD213" s="122">
        <f>AO213-AX213</f>
        <v/>
      </c>
      <c r="BE213" s="122">
        <f>BD213*AC213</f>
        <v/>
      </c>
      <c r="BF213" s="122">
        <f>AP213-AY213</f>
        <v/>
      </c>
      <c r="BG213" s="122">
        <f>BF213*AC213</f>
        <v/>
      </c>
      <c r="BH213" s="122">
        <f>BB213+BD213+BF213</f>
        <v/>
      </c>
      <c r="BI213" s="122">
        <f>BC213+BE213+BG213</f>
        <v/>
      </c>
      <c r="BJ213" s="324">
        <f>BL213+BS213+BV213+BY213+CB213+CE213+CH213+CK213</f>
        <v/>
      </c>
      <c r="BK213" s="320">
        <f>((AI213+AW213)*AB213)+((AJ213+AK213+AX213+AY213)*AC213)</f>
        <v/>
      </c>
      <c r="BL213" s="132">
        <f>BM213+BN213+AL213</f>
        <v/>
      </c>
      <c r="BM213" s="133">
        <f>AW213</f>
        <v/>
      </c>
      <c r="BN213" s="133">
        <f>AX213+AY213</f>
        <v/>
      </c>
      <c r="BO213" s="179" t="n"/>
      <c r="BP213" s="179" t="n"/>
      <c r="BQ213" s="179" t="n"/>
      <c r="BR213" s="179" t="n"/>
      <c r="BS213" s="179" t="n"/>
      <c r="BT213" s="179" t="n"/>
      <c r="BU213" s="320" t="n">
        <v>0</v>
      </c>
      <c r="BV213" s="179" t="n"/>
      <c r="BW213" s="179" t="n"/>
      <c r="BX213" s="179" t="n"/>
      <c r="BY213" s="179" t="n"/>
      <c r="BZ213" s="179" t="n"/>
      <c r="CA213" s="124">
        <f>BY213*BZ213</f>
        <v/>
      </c>
      <c r="CB213" s="179" t="n"/>
      <c r="CC213" s="179" t="n"/>
      <c r="CD213" s="179" t="n"/>
      <c r="CE213" s="179" t="n"/>
      <c r="CF213" s="179" t="n"/>
      <c r="CG213" s="179" t="n"/>
      <c r="CH213" s="179" t="n"/>
      <c r="CI213" s="179" t="n"/>
      <c r="CJ213" s="179" t="n"/>
      <c r="CK213" s="179" t="n"/>
      <c r="CL213" s="179" t="n"/>
      <c r="CM213" s="179" t="n"/>
      <c r="CN213" s="179" t="n"/>
      <c r="CO213" s="170" t="n">
        <v>0</v>
      </c>
      <c r="CP213" s="179" t="n"/>
      <c r="CQ213" s="179" t="n"/>
      <c r="CR213" s="170" t="n">
        <v>0</v>
      </c>
      <c r="CS213" s="155" t="n"/>
      <c r="CT213" s="155" t="n"/>
      <c r="CU213" s="177">
        <f>(BB213* AB213)+(BD213* AC213)+(BF213* AC213)+(S213+T213+U213+V213+W213+X213+Y213+Z213)</f>
        <v/>
      </c>
      <c r="CV213" s="177">
        <f>CU213-O213</f>
        <v/>
      </c>
      <c r="CW213" s="325" t="n"/>
    </row>
    <row r="214" ht="19.9" customFormat="1" customHeight="1" s="67">
      <c r="A214" s="120" t="inlineStr">
        <is>
          <t>São Salvador</t>
        </is>
      </c>
      <c r="B214" s="65" t="n">
        <v>10024125537</v>
      </c>
      <c r="C214" s="120" t="inlineStr">
        <is>
          <t>FAZENDA CONCEICAO</t>
        </is>
      </c>
      <c r="D214" s="121" t="inlineStr">
        <is>
          <t>ITABERAI</t>
        </is>
      </c>
      <c r="E214" s="121" t="n">
        <v>44838</v>
      </c>
      <c r="F214" s="141" t="n">
        <v>37705.88</v>
      </c>
      <c r="G214" s="334" t="n">
        <v>0.53</v>
      </c>
      <c r="H214" s="143">
        <f>F214*G214</f>
        <v/>
      </c>
      <c r="I214" s="140" t="inlineStr">
        <is>
          <t>Agosto/2023</t>
        </is>
      </c>
      <c r="J214" s="144" t="inlineStr">
        <is>
          <t>2</t>
        </is>
      </c>
      <c r="K214" s="66" t="inlineStr">
        <is>
          <t>C36W-545 W</t>
        </is>
      </c>
      <c r="L214" s="140" t="n"/>
      <c r="M214" s="145" t="inlineStr">
        <is>
          <t>Setembro/2023</t>
        </is>
      </c>
      <c r="N214" s="145" t="inlineStr">
        <is>
          <t>01/09/2023 a 01/10/2023</t>
        </is>
      </c>
      <c r="O214" s="331" t="n">
        <v>17595.84</v>
      </c>
      <c r="P214" s="331" t="n"/>
      <c r="Q214" s="331" t="n">
        <v>4873.48</v>
      </c>
      <c r="R214" s="147" t="n">
        <v>183.73</v>
      </c>
      <c r="S214" s="331">
        <f>166.68+43.86</f>
        <v/>
      </c>
      <c r="T214" s="331" t="n">
        <v>0</v>
      </c>
      <c r="U214" s="331" t="n">
        <v>0</v>
      </c>
      <c r="V214" s="331" t="n">
        <v>0</v>
      </c>
      <c r="W214" s="331" t="n">
        <v>0</v>
      </c>
      <c r="X214" s="331" t="n">
        <v>0</v>
      </c>
      <c r="Y214" s="331" t="n">
        <v>0</v>
      </c>
      <c r="Z214" s="331">
        <f>466.19-395.1+743.05</f>
        <v/>
      </c>
      <c r="AA214" s="331" t="n">
        <v>0</v>
      </c>
      <c r="AB214" s="332">
        <f>0.505318+1.704124</f>
        <v/>
      </c>
      <c r="AC214" s="332">
        <f>0.315464+0.161108</f>
        <v/>
      </c>
      <c r="AD214" s="143" t="n">
        <v>1.2</v>
      </c>
      <c r="AE214" s="173" t="n">
        <v>24142.92</v>
      </c>
      <c r="AF214" s="143" t="n">
        <v>0</v>
      </c>
      <c r="AG214" s="143">
        <f>SUM(AD214:AF214)</f>
        <v/>
      </c>
      <c r="AH214" s="143">
        <f>(AD214*AB214)+((AE214+AF214)*AC214)</f>
        <v/>
      </c>
      <c r="AI214" s="143">
        <f>AD214-AS214</f>
        <v/>
      </c>
      <c r="AJ214" s="143">
        <f>AE214-AT214</f>
        <v/>
      </c>
      <c r="AK214" s="143">
        <f>AF214-AU214</f>
        <v/>
      </c>
      <c r="AL214" s="208">
        <f>SUM(AI214:AK214)</f>
        <v/>
      </c>
      <c r="AM214" s="336">
        <f>(AI214*AB214)+((AJ214+AK214)*AC214)</f>
        <v/>
      </c>
      <c r="AN214" s="183" t="n">
        <v>3021.87</v>
      </c>
      <c r="AO214" s="183" t="n">
        <v>14791.5</v>
      </c>
      <c r="AP214" s="183" t="n">
        <v>8900.85</v>
      </c>
      <c r="AQ214" s="124">
        <f>SUM(AN214:AP214)</f>
        <v/>
      </c>
      <c r="AR214" s="321">
        <f>(AN214*AB214)+((AO214+AP214)*AC214)</f>
        <v/>
      </c>
      <c r="AS214" s="183" t="n">
        <v>0</v>
      </c>
      <c r="AT214" s="183" t="n">
        <v>13156.65</v>
      </c>
      <c r="AU214" s="183" t="n">
        <v>0</v>
      </c>
      <c r="AV214" s="124">
        <f>SUM(AS214:AU214)</f>
        <v/>
      </c>
      <c r="AW214" s="183" t="n">
        <v>0</v>
      </c>
      <c r="AX214" s="155" t="n">
        <v>13156.65</v>
      </c>
      <c r="AY214" s="183" t="n">
        <v>0</v>
      </c>
      <c r="AZ214" s="124">
        <f>SUM(AW214:AY214)</f>
        <v/>
      </c>
      <c r="BA214" s="335">
        <f>(AW214*AB214)+((AX214+AY214)*AC214)</f>
        <v/>
      </c>
      <c r="BB214" s="122">
        <f>AN214-AW214</f>
        <v/>
      </c>
      <c r="BC214" s="141">
        <f>BB214*AB214</f>
        <v/>
      </c>
      <c r="BD214" s="122">
        <f>AO214-AX214</f>
        <v/>
      </c>
      <c r="BE214" s="122">
        <f>BD214*AC214</f>
        <v/>
      </c>
      <c r="BF214" s="122">
        <f>AP214-AY214</f>
        <v/>
      </c>
      <c r="BG214" s="122">
        <f>BF214*AC214</f>
        <v/>
      </c>
      <c r="BH214" s="122">
        <f>BB214+BD214+BF214</f>
        <v/>
      </c>
      <c r="BI214" s="122">
        <f>BC214+BE214+BG214</f>
        <v/>
      </c>
      <c r="BJ214" s="324">
        <f>BL214+BS214+BV214+BY214+CB214+CE214+CH214+CK214</f>
        <v/>
      </c>
      <c r="BK214" s="320">
        <f>((AI214+AW214)*AB214)+((AJ214+AK214+AX214+AY214)*AC214)</f>
        <v/>
      </c>
      <c r="BL214" s="132">
        <f>BM214+BN214+AL214</f>
        <v/>
      </c>
      <c r="BM214" s="133">
        <f>AW214</f>
        <v/>
      </c>
      <c r="BN214" s="133">
        <f>AX214+AY214</f>
        <v/>
      </c>
      <c r="BO214" s="179" t="n"/>
      <c r="BP214" s="179" t="n"/>
      <c r="BQ214" s="179" t="n"/>
      <c r="BR214" s="179" t="n"/>
      <c r="BS214" s="179" t="n"/>
      <c r="BT214" s="179" t="n"/>
      <c r="BU214" s="320" t="n">
        <v>0</v>
      </c>
      <c r="BV214" s="179" t="n"/>
      <c r="BW214" s="179" t="n"/>
      <c r="BX214" s="179" t="n"/>
      <c r="BY214" s="179" t="n"/>
      <c r="BZ214" s="179" t="n"/>
      <c r="CA214" s="124">
        <f>BY214*BZ214</f>
        <v/>
      </c>
      <c r="CB214" s="179" t="n"/>
      <c r="CC214" s="179" t="n"/>
      <c r="CD214" s="179" t="n"/>
      <c r="CE214" s="179" t="n"/>
      <c r="CF214" s="179" t="n"/>
      <c r="CG214" s="179" t="n"/>
      <c r="CH214" s="179" t="n"/>
      <c r="CI214" s="179" t="n"/>
      <c r="CJ214" s="179" t="n"/>
      <c r="CK214" s="179" t="n"/>
      <c r="CL214" s="179" t="n"/>
      <c r="CM214" s="179" t="n"/>
      <c r="CN214" s="179" t="n"/>
      <c r="CO214" s="170" t="n">
        <v>0</v>
      </c>
      <c r="CP214" s="179" t="n"/>
      <c r="CQ214" s="179" t="n"/>
      <c r="CR214" s="170" t="n">
        <v>0</v>
      </c>
      <c r="CS214" s="155" t="n"/>
      <c r="CT214" s="155" t="n"/>
      <c r="CU214" s="177">
        <f>(BB214* AB214)+(BD214* AC214)+(BF214* AC214)+(S214+T214+U214+V214+W214+X214+Y214+Z214)</f>
        <v/>
      </c>
      <c r="CV214" s="177">
        <f>CU214-O214</f>
        <v/>
      </c>
      <c r="CW214" s="325" t="n"/>
    </row>
    <row r="215" ht="19.9" customFormat="1" customHeight="1" s="67">
      <c r="A215" s="139" t="inlineStr">
        <is>
          <t>São Salvador</t>
        </is>
      </c>
      <c r="B215" s="66" t="n">
        <v>10024125537</v>
      </c>
      <c r="C215" s="139" t="inlineStr">
        <is>
          <t>FAZENDA CONCEICAO</t>
        </is>
      </c>
      <c r="D215" s="140" t="inlineStr">
        <is>
          <t>ITABERAI</t>
        </is>
      </c>
      <c r="E215" s="140" t="n">
        <v>44838</v>
      </c>
      <c r="F215" s="122" t="n">
        <v>37705.88</v>
      </c>
      <c r="G215" s="320" t="n">
        <v>0.53</v>
      </c>
      <c r="H215" s="124">
        <f>F215*G215</f>
        <v/>
      </c>
      <c r="I215" s="121" t="inlineStr">
        <is>
          <t>Agosto/2023</t>
        </is>
      </c>
      <c r="J215" s="125" t="inlineStr">
        <is>
          <t>2</t>
        </is>
      </c>
      <c r="K215" s="65" t="inlineStr">
        <is>
          <t>C36W-545 W</t>
        </is>
      </c>
      <c r="L215" s="121" t="n"/>
      <c r="M215" s="126" t="inlineStr">
        <is>
          <t>Outubro/2023</t>
        </is>
      </c>
      <c r="N215" s="126" t="inlineStr">
        <is>
          <t>01/10/2023 a 01/11/2023</t>
        </is>
      </c>
      <c r="O215" s="321" t="n">
        <v>47518.33</v>
      </c>
      <c r="P215" s="321" t="n"/>
      <c r="Q215" s="321" t="n">
        <v>6481.88</v>
      </c>
      <c r="R215" s="207" t="n">
        <v>231.47</v>
      </c>
      <c r="S215" s="321">
        <f>26.49+26.49</f>
        <v/>
      </c>
      <c r="T215" s="321" t="n">
        <v>0</v>
      </c>
      <c r="U215" s="321" t="n">
        <v>0</v>
      </c>
      <c r="V215" s="321" t="n">
        <v>0</v>
      </c>
      <c r="W215" s="321" t="n">
        <v>0</v>
      </c>
      <c r="X215" s="321" t="n">
        <v>0</v>
      </c>
      <c r="Y215" s="321" t="n">
        <v>0</v>
      </c>
      <c r="Z215" s="321">
        <f>3486.32+599.76-502.32</f>
        <v/>
      </c>
      <c r="AA215" s="321" t="n">
        <v>0</v>
      </c>
      <c r="AB215" s="322">
        <f>0.508283+1.778455</f>
        <v/>
      </c>
      <c r="AC215" s="322">
        <f>0.319708+0.146628</f>
        <v/>
      </c>
      <c r="AD215" s="124" t="n">
        <v>3.03</v>
      </c>
      <c r="AE215" s="124" t="n">
        <v>17134.82</v>
      </c>
      <c r="AF215" s="124" t="n">
        <v>0.07000000000000001</v>
      </c>
      <c r="AG215" s="124">
        <f>SUM(AD215:AF215)</f>
        <v/>
      </c>
      <c r="AH215" s="124">
        <f>(AD215*AB215)+((AE215+AF215)*AC215)</f>
        <v/>
      </c>
      <c r="AI215" s="124">
        <f>AD215-AS215</f>
        <v/>
      </c>
      <c r="AJ215" s="124">
        <f>AE215-AT215</f>
        <v/>
      </c>
      <c r="AK215" s="124">
        <f>AF215-AU215</f>
        <v/>
      </c>
      <c r="AL215" s="210">
        <f>SUM(AI215:AK215)</f>
        <v/>
      </c>
      <c r="AM215" s="337">
        <f>(AI215*AB215)+((AJ215+AK215)*AC215)</f>
        <v/>
      </c>
      <c r="AN215" s="183" t="n">
        <v>5876.89</v>
      </c>
      <c r="AO215" s="183" t="n">
        <v>34279.95</v>
      </c>
      <c r="AP215" s="183" t="n">
        <v>20033.4</v>
      </c>
      <c r="AQ215" s="143">
        <f>SUM(AN215:AP215)</f>
        <v/>
      </c>
      <c r="AR215" s="331">
        <f>(AN215*AB215)+((AO215+AP215)*AC215)</f>
        <v/>
      </c>
      <c r="AS215" s="183" t="n">
        <v>0</v>
      </c>
      <c r="AT215" s="183" t="n">
        <v>2932.35</v>
      </c>
      <c r="AU215" s="183" t="n">
        <v>0</v>
      </c>
      <c r="AV215" s="124">
        <f>SUM(AS215:AU215)</f>
        <v/>
      </c>
      <c r="AW215" s="183" t="n">
        <v>0</v>
      </c>
      <c r="AX215" s="183" t="n">
        <v>2932.35</v>
      </c>
      <c r="AY215" s="183" t="n">
        <v>0</v>
      </c>
      <c r="AZ215" s="124">
        <f>SUM(AW215:AY215)</f>
        <v/>
      </c>
      <c r="BA215" s="335">
        <f>(AW215*AB215)+((AX215+AY215)*AC215)</f>
        <v/>
      </c>
      <c r="BB215" s="122">
        <f>AN215-AW215</f>
        <v/>
      </c>
      <c r="BC215" s="141">
        <f>BB215*AB215</f>
        <v/>
      </c>
      <c r="BD215" s="122">
        <f>AO215-AX215</f>
        <v/>
      </c>
      <c r="BE215" s="122">
        <f>BD215*AC215</f>
        <v/>
      </c>
      <c r="BF215" s="122">
        <f>AP215-AY215</f>
        <v/>
      </c>
      <c r="BG215" s="122">
        <f>BF215*AC215</f>
        <v/>
      </c>
      <c r="BH215" s="122">
        <f>BB215+BD215+BF215</f>
        <v/>
      </c>
      <c r="BI215" s="122">
        <f>BC215+BE215+BG215</f>
        <v/>
      </c>
      <c r="BJ215" s="324">
        <f>BL215+BS215+BV215+BY215+CB215+CE215+CH215+CK215</f>
        <v/>
      </c>
      <c r="BK215" s="320">
        <f>((AI215+AW215)*AB215)+((AJ215+AK215+AX215+AY215)*AC215)</f>
        <v/>
      </c>
      <c r="BL215" s="132">
        <f>BM215+BN215+AL215</f>
        <v/>
      </c>
      <c r="BM215" s="133">
        <f>AW215</f>
        <v/>
      </c>
      <c r="BN215" s="133">
        <f>AX215+AY215</f>
        <v/>
      </c>
      <c r="BO215" s="179" t="n"/>
      <c r="BP215" s="179" t="n"/>
      <c r="BQ215" s="179" t="n"/>
      <c r="BR215" s="179" t="n"/>
      <c r="BS215" s="179" t="n"/>
      <c r="BT215" s="179" t="n"/>
      <c r="BU215" s="320" t="n">
        <v>0</v>
      </c>
      <c r="BV215" s="179" t="n"/>
      <c r="BW215" s="179" t="n"/>
      <c r="BX215" s="179" t="n"/>
      <c r="BY215" s="179" t="n"/>
      <c r="BZ215" s="179" t="n"/>
      <c r="CA215" s="124">
        <f>BY215*BZ215</f>
        <v/>
      </c>
      <c r="CB215" s="179" t="n"/>
      <c r="CC215" s="179" t="n"/>
      <c r="CD215" s="179" t="n"/>
      <c r="CE215" s="179" t="n"/>
      <c r="CF215" s="179" t="n"/>
      <c r="CG215" s="179" t="n"/>
      <c r="CH215" s="179" t="n"/>
      <c r="CI215" s="179" t="n"/>
      <c r="CJ215" s="179" t="n"/>
      <c r="CK215" s="179" t="n"/>
      <c r="CL215" s="179" t="n"/>
      <c r="CM215" s="179" t="n"/>
      <c r="CN215" s="179" t="n"/>
      <c r="CO215" s="170" t="n">
        <v>0</v>
      </c>
      <c r="CP215" s="179" t="n"/>
      <c r="CQ215" s="179" t="n"/>
      <c r="CR215" s="170" t="n">
        <v>0</v>
      </c>
      <c r="CS215" s="155" t="n"/>
      <c r="CT215" s="155" t="n"/>
      <c r="CU215" s="177">
        <f>(BB215* AB215)+(BD215* AC215)+(BF215* AC215)+(S215+T215+U215+V215+W215+X215+Y215+Z215)</f>
        <v/>
      </c>
      <c r="CV215" s="177">
        <f>CU215-O215</f>
        <v/>
      </c>
      <c r="CW215" s="325" t="n"/>
    </row>
    <row r="216" ht="19.9" customFormat="1" customHeight="1" s="67">
      <c r="A216" s="120" t="inlineStr">
        <is>
          <t>São Salvador</t>
        </is>
      </c>
      <c r="B216" s="65" t="n">
        <v>10024125537</v>
      </c>
      <c r="C216" s="120" t="inlineStr">
        <is>
          <t>FAZENDA CONCEICAO</t>
        </is>
      </c>
      <c r="D216" s="121" t="inlineStr">
        <is>
          <t>ITABERAI</t>
        </is>
      </c>
      <c r="E216" s="121" t="n">
        <v>44838</v>
      </c>
      <c r="F216" s="141" t="n">
        <v>37705.88</v>
      </c>
      <c r="G216" s="334" t="n">
        <v>0.53</v>
      </c>
      <c r="H216" s="143">
        <f>F216*G216</f>
        <v/>
      </c>
      <c r="I216" s="140" t="inlineStr">
        <is>
          <t>Agosto/2023</t>
        </is>
      </c>
      <c r="J216" s="144" t="inlineStr">
        <is>
          <t>2</t>
        </is>
      </c>
      <c r="K216" s="66" t="inlineStr">
        <is>
          <t>C36W-545 W</t>
        </is>
      </c>
      <c r="L216" s="140" t="n"/>
      <c r="M216" s="145" t="inlineStr">
        <is>
          <t>Novembro/2023</t>
        </is>
      </c>
      <c r="N216" s="145" t="inlineStr">
        <is>
          <t>01/11/2023 a 01/12/2023</t>
        </is>
      </c>
      <c r="O216" s="331" t="n">
        <v>40981.12</v>
      </c>
      <c r="P216" s="331" t="n"/>
      <c r="Q216" s="331" t="n">
        <v>9027.18</v>
      </c>
      <c r="R216" s="147" t="n">
        <v>297.91</v>
      </c>
      <c r="S216" s="331">
        <f>88.03+44.02+0.35</f>
        <v/>
      </c>
      <c r="T216" s="331" t="n">
        <v>0</v>
      </c>
      <c r="U216" s="331" t="n">
        <v>0</v>
      </c>
      <c r="V216" s="331" t="n">
        <v>0</v>
      </c>
      <c r="W216" s="331" t="n">
        <v>0</v>
      </c>
      <c r="X216" s="331" t="n">
        <v>0</v>
      </c>
      <c r="Y216" s="331" t="n">
        <v>0</v>
      </c>
      <c r="Z216" s="331">
        <f>7751.64</f>
        <v/>
      </c>
      <c r="AA216" s="331" t="n">
        <v>0</v>
      </c>
      <c r="AB216" s="332">
        <f>0.505883+1.888463</f>
        <v/>
      </c>
      <c r="AC216" s="332">
        <f>0.117543+0.322605</f>
        <v/>
      </c>
      <c r="AD216" s="143" t="n">
        <v>10.15</v>
      </c>
      <c r="AE216" s="173" t="n">
        <v>22049.55</v>
      </c>
      <c r="AF216" s="143" t="n">
        <v>4.73</v>
      </c>
      <c r="AG216" s="143">
        <f>SUM(AD216:AF216)</f>
        <v/>
      </c>
      <c r="AH216" s="143">
        <f>(AD216*AB216)+((AE216+AF216)*AC216)</f>
        <v/>
      </c>
      <c r="AI216" s="143">
        <f>AD216-AS216</f>
        <v/>
      </c>
      <c r="AJ216" s="143">
        <f>AE216-AT216</f>
        <v/>
      </c>
      <c r="AK216" s="143">
        <f>AF216-AU216</f>
        <v/>
      </c>
      <c r="AL216" s="208">
        <f>SUM(AI216:AK216)</f>
        <v/>
      </c>
      <c r="AM216" s="336">
        <f>(AI216*AB216)+((AJ216+AK216)*AC216)</f>
        <v/>
      </c>
      <c r="AN216" s="183" t="n">
        <v>2997.48</v>
      </c>
      <c r="AO216" s="183" t="n">
        <v>26884.2</v>
      </c>
      <c r="AP216" s="183" t="n">
        <v>20863.8</v>
      </c>
      <c r="AQ216" s="124">
        <f>SUM(AN216:AP216)</f>
        <v/>
      </c>
      <c r="AR216" s="321">
        <f>(AN216*AB216)+((AO216+AP216)*AC216)</f>
        <v/>
      </c>
      <c r="AS216" s="183" t="n">
        <v>0</v>
      </c>
      <c r="AT216" s="183" t="n">
        <v>9367.950000000001</v>
      </c>
      <c r="AU216" s="183" t="n">
        <v>0</v>
      </c>
      <c r="AV216" s="124">
        <f>SUM(AS216:AU216)</f>
        <v/>
      </c>
      <c r="AW216" s="183" t="n">
        <v>0</v>
      </c>
      <c r="AX216" s="183" t="n">
        <v>9367.950000000001</v>
      </c>
      <c r="AY216" s="183" t="n">
        <v>0</v>
      </c>
      <c r="AZ216" s="124">
        <f>SUM(AW216:AY216)</f>
        <v/>
      </c>
      <c r="BA216" s="335">
        <f>(AW216*AB216)+((AX216+AY216)*AC216)</f>
        <v/>
      </c>
      <c r="BB216" s="122">
        <f>AN216-AW216</f>
        <v/>
      </c>
      <c r="BC216" s="141">
        <f>BB216*AB216</f>
        <v/>
      </c>
      <c r="BD216" s="122">
        <f>AO216-AX216</f>
        <v/>
      </c>
      <c r="BE216" s="122">
        <f>BD216*AC216</f>
        <v/>
      </c>
      <c r="BF216" s="122">
        <f>AP216-AY216</f>
        <v/>
      </c>
      <c r="BG216" s="122">
        <f>BF216*AC216</f>
        <v/>
      </c>
      <c r="BH216" s="122">
        <f>BB216+BD216+BF216</f>
        <v/>
      </c>
      <c r="BI216" s="122">
        <f>BC216+BE216+BG216</f>
        <v/>
      </c>
      <c r="BJ216" s="324">
        <f>BL216+BS216+BV216+BY216+CB216+CE216+CH216+CK216</f>
        <v/>
      </c>
      <c r="BK216" s="320">
        <f>((AI216+AW216)*AB216)+((AJ216+AK216+AX216+AY216)*AC216)</f>
        <v/>
      </c>
      <c r="BL216" s="132">
        <f>BM216+BN216+AL216</f>
        <v/>
      </c>
      <c r="BM216" s="133">
        <f>AW216</f>
        <v/>
      </c>
      <c r="BN216" s="133">
        <f>AX216+AY216</f>
        <v/>
      </c>
      <c r="BO216" s="179" t="n"/>
      <c r="BP216" s="179" t="n"/>
      <c r="BQ216" s="179" t="n"/>
      <c r="BR216" s="179" t="n"/>
      <c r="BS216" s="179" t="n"/>
      <c r="BT216" s="179" t="n"/>
      <c r="BU216" s="320" t="n">
        <v>0</v>
      </c>
      <c r="BV216" s="179" t="n"/>
      <c r="BW216" s="179" t="n"/>
      <c r="BX216" s="179" t="n"/>
      <c r="BY216" s="179" t="n"/>
      <c r="BZ216" s="179" t="n"/>
      <c r="CA216" s="124">
        <f>BY216*BZ216</f>
        <v/>
      </c>
      <c r="CB216" s="179" t="n"/>
      <c r="CC216" s="179" t="n"/>
      <c r="CD216" s="179" t="n"/>
      <c r="CE216" s="179" t="n"/>
      <c r="CF216" s="179" t="n"/>
      <c r="CG216" s="179" t="n"/>
      <c r="CH216" s="179" t="n"/>
      <c r="CI216" s="179" t="n"/>
      <c r="CJ216" s="179" t="n"/>
      <c r="CK216" s="179" t="n"/>
      <c r="CL216" s="179" t="n"/>
      <c r="CM216" s="179" t="n"/>
      <c r="CN216" s="179" t="n"/>
      <c r="CO216" s="170" t="n">
        <v>0</v>
      </c>
      <c r="CP216" s="179" t="n"/>
      <c r="CQ216" s="179" t="n"/>
      <c r="CR216" s="170" t="n">
        <v>0</v>
      </c>
      <c r="CS216" s="155" t="n"/>
      <c r="CT216" s="155" t="n"/>
      <c r="CU216" s="177">
        <f>(BB216* AB216)+(BD216* AC216)+(BF216* AC216)+(S216+T216+U216+V216+W216+X216+Y216+Z216)</f>
        <v/>
      </c>
      <c r="CV216" s="177">
        <f>CU216-O216</f>
        <v/>
      </c>
      <c r="CW216" s="325" t="n"/>
    </row>
    <row r="217" ht="19.9" customFormat="1" customHeight="1" s="67">
      <c r="A217" s="233" t="inlineStr">
        <is>
          <t>São Salvador</t>
        </is>
      </c>
      <c r="B217" s="66" t="n">
        <v>10024125537</v>
      </c>
      <c r="C217" s="233" t="inlineStr">
        <is>
          <t>FAZENDA CONCEICAO</t>
        </is>
      </c>
      <c r="D217" s="140" t="inlineStr">
        <is>
          <t>ITABERAI</t>
        </is>
      </c>
      <c r="E217" s="140" t="n">
        <v>44838</v>
      </c>
      <c r="F217" s="122" t="n">
        <v>37705.88</v>
      </c>
      <c r="G217" s="320" t="n">
        <v>0.53</v>
      </c>
      <c r="H217" s="124">
        <f>F217*G217</f>
        <v/>
      </c>
      <c r="I217" s="121" t="inlineStr">
        <is>
          <t>Agosto/2023</t>
        </is>
      </c>
      <c r="J217" s="125" t="inlineStr">
        <is>
          <t>2</t>
        </is>
      </c>
      <c r="K217" s="65" t="inlineStr">
        <is>
          <t>C36W-545 W</t>
        </is>
      </c>
      <c r="L217" s="121" t="n"/>
      <c r="M217" s="126" t="inlineStr">
        <is>
          <t>Dezembro/2023</t>
        </is>
      </c>
      <c r="N217" s="126" t="inlineStr">
        <is>
          <t>01/12/2023 a 01/01/2024</t>
        </is>
      </c>
      <c r="O217" s="321" t="n">
        <v>89589.98</v>
      </c>
      <c r="P217" s="321" t="n"/>
      <c r="Q217" s="321" t="n">
        <v>11909.2</v>
      </c>
      <c r="R217" s="207" t="n">
        <v>398.59</v>
      </c>
      <c r="S217" s="321">
        <f>329.84+8.68</f>
        <v/>
      </c>
      <c r="T217" s="321" t="n">
        <v>0</v>
      </c>
      <c r="U217" s="321" t="n">
        <v>0</v>
      </c>
      <c r="V217" s="321" t="n">
        <v>0</v>
      </c>
      <c r="W217" s="321" t="n">
        <v>0</v>
      </c>
      <c r="X217" s="321" t="n">
        <v>0</v>
      </c>
      <c r="Y217" s="321" t="n">
        <v>0</v>
      </c>
      <c r="Z217" s="321">
        <f>13659.83-6635.58</f>
        <v/>
      </c>
      <c r="AA217" s="321" t="n">
        <v>0</v>
      </c>
      <c r="AB217" s="322">
        <f>0.498807+1.862043</f>
        <v/>
      </c>
      <c r="AC217" s="322">
        <f>0.318092+0.115899</f>
        <v/>
      </c>
      <c r="AD217" s="124" t="n">
        <v>33.99</v>
      </c>
      <c r="AE217" s="124" t="n">
        <v>23483.14</v>
      </c>
      <c r="AF217" s="124" t="n">
        <v>1.92</v>
      </c>
      <c r="AG217" s="124">
        <f>SUM(AD217:AF217)</f>
        <v/>
      </c>
      <c r="AH217" s="124">
        <f>(AD217*AB217)+((AE217+AF217)*AC217)</f>
        <v/>
      </c>
      <c r="AI217" s="124">
        <f>AD217-AS217</f>
        <v/>
      </c>
      <c r="AJ217" s="124">
        <f>AE217-AT217</f>
        <v/>
      </c>
      <c r="AK217" s="124">
        <f>AF217-AU217</f>
        <v/>
      </c>
      <c r="AL217" s="210">
        <f>SUM(AI217:AK217)</f>
        <v/>
      </c>
      <c r="AM217" s="337">
        <f>(AI217*AB217)+((AJ217+AK217)*AC217)</f>
        <v/>
      </c>
      <c r="AN217" s="183" t="n">
        <v>9067.440000000001</v>
      </c>
      <c r="AO217" s="183" t="n">
        <v>76734.14999999999</v>
      </c>
      <c r="AP217" s="183" t="n">
        <v>36018.6</v>
      </c>
      <c r="AQ217" s="143">
        <f>SUM(AN217:AP217)</f>
        <v/>
      </c>
      <c r="AR217" s="331">
        <f>(AN217*AB217)+((AO217+AP217)*AC217)</f>
        <v/>
      </c>
      <c r="AS217" s="183" t="n">
        <v>0</v>
      </c>
      <c r="AT217" s="155" t="n">
        <v>51.9</v>
      </c>
      <c r="AU217" s="183" t="n">
        <v>0</v>
      </c>
      <c r="AV217" s="124">
        <f>SUM(AS217:AU217)</f>
        <v/>
      </c>
      <c r="AW217" s="183" t="n">
        <v>0</v>
      </c>
      <c r="AX217" s="155" t="n">
        <v>51.9</v>
      </c>
      <c r="AY217" s="183" t="n">
        <v>0</v>
      </c>
      <c r="AZ217" s="124">
        <f>SUM(AW217:AY217)</f>
        <v/>
      </c>
      <c r="BA217" s="335">
        <f>(AW217*AB217)+((AX217+AY217)*AC217)</f>
        <v/>
      </c>
      <c r="BB217" s="122">
        <f>AN217-AW217</f>
        <v/>
      </c>
      <c r="BC217" s="141">
        <f>BB217*AB217</f>
        <v/>
      </c>
      <c r="BD217" s="122">
        <f>AO217-AX217</f>
        <v/>
      </c>
      <c r="BE217" s="122">
        <f>BD217*AC217</f>
        <v/>
      </c>
      <c r="BF217" s="122">
        <f>AP217-AY217</f>
        <v/>
      </c>
      <c r="BG217" s="122">
        <f>BF217*AC217</f>
        <v/>
      </c>
      <c r="BH217" s="122">
        <f>BB217+BD217+BF217</f>
        <v/>
      </c>
      <c r="BI217" s="122">
        <f>BC217+BE217+BG217</f>
        <v/>
      </c>
      <c r="BJ217" s="324">
        <f>BL217+BS217+BV217+BY217+CB217+CE217+CH217+CK217</f>
        <v/>
      </c>
      <c r="BK217" s="320">
        <f>((AI217+AW217)*AB217)+((AJ217+AK217+AX217+AY217)*AC217)</f>
        <v/>
      </c>
      <c r="BL217" s="132">
        <f>BM217+BN217+AL217</f>
        <v/>
      </c>
      <c r="BM217" s="133">
        <f>AW217</f>
        <v/>
      </c>
      <c r="BN217" s="133">
        <f>AX217+AY217</f>
        <v/>
      </c>
      <c r="BO217" s="179" t="n"/>
      <c r="BP217" s="179" t="n"/>
      <c r="BQ217" s="179" t="n"/>
      <c r="BR217" s="179" t="n"/>
      <c r="BS217" s="179" t="n"/>
      <c r="BT217" s="179" t="n"/>
      <c r="BU217" s="320" t="n">
        <v>0</v>
      </c>
      <c r="BV217" s="179" t="n"/>
      <c r="BW217" s="179" t="n"/>
      <c r="BX217" s="179" t="n"/>
      <c r="BY217" s="179" t="n"/>
      <c r="BZ217" s="179" t="n"/>
      <c r="CA217" s="124">
        <f>BY217*BZ217</f>
        <v/>
      </c>
      <c r="CB217" s="179" t="n"/>
      <c r="CC217" s="179" t="n"/>
      <c r="CD217" s="179" t="n"/>
      <c r="CE217" s="179" t="n"/>
      <c r="CF217" s="179" t="n"/>
      <c r="CG217" s="179" t="n"/>
      <c r="CH217" s="179" t="n"/>
      <c r="CI217" s="179" t="n"/>
      <c r="CJ217" s="179" t="n"/>
      <c r="CK217" s="179" t="n"/>
      <c r="CL217" s="179" t="n"/>
      <c r="CM217" s="179" t="n"/>
      <c r="CN217" s="179" t="n"/>
      <c r="CO217" s="170" t="n">
        <v>0</v>
      </c>
      <c r="CP217" s="179" t="n"/>
      <c r="CQ217" s="179" t="n"/>
      <c r="CR217" s="170" t="n">
        <v>0</v>
      </c>
      <c r="CS217" s="156" t="n"/>
      <c r="CT217" s="155" t="n"/>
      <c r="CU217" s="177">
        <f>(BB217* AB217)+(BD217* AC217)+(BF217* AC217)+(S217+T217+U217+V217+W217+X217+Y217+Z217)</f>
        <v/>
      </c>
      <c r="CV217" s="177">
        <f>CU217-O217</f>
        <v/>
      </c>
      <c r="CW217" s="325" t="n"/>
    </row>
    <row r="218" ht="19.9" customFormat="1" customHeight="1" s="67">
      <c r="A218" s="120" t="n"/>
      <c r="B218" s="65" t="n">
        <v>10016165320</v>
      </c>
      <c r="C218" s="120" t="inlineStr">
        <is>
          <t>Fricó Alimentos</t>
        </is>
      </c>
      <c r="D218" s="121" t="inlineStr">
        <is>
          <t>Trindade</t>
        </is>
      </c>
      <c r="E218" s="121" t="inlineStr">
        <is>
          <t>Julho/2023</t>
        </is>
      </c>
      <c r="F218" s="141" t="n">
        <v>108566</v>
      </c>
      <c r="G218" s="334" t="n">
        <v>0.4989</v>
      </c>
      <c r="H218" s="143">
        <f>F218*G218</f>
        <v/>
      </c>
      <c r="I218" s="140" t="inlineStr">
        <is>
          <t>Janeiro/2024</t>
        </is>
      </c>
      <c r="J218" s="144" t="inlineStr">
        <is>
          <t>6 Growatt de 100KW (Zero Grid)</t>
        </is>
      </c>
      <c r="K218" s="66" t="inlineStr">
        <is>
          <t>1.500 de 555W</t>
        </is>
      </c>
      <c r="L218" s="140" t="n"/>
      <c r="M218" s="145" t="inlineStr">
        <is>
          <t>Julho/2023</t>
        </is>
      </c>
      <c r="N218" s="145" t="inlineStr">
        <is>
          <t>01/07/2023 a 01/08/2023</t>
        </is>
      </c>
      <c r="O218" s="331" t="n">
        <v>313230.2</v>
      </c>
      <c r="P218" s="331" t="n"/>
      <c r="Q218" s="331" t="n">
        <v>14861.32</v>
      </c>
      <c r="R218" s="147" t="n"/>
      <c r="S218" s="331" t="n">
        <v>75.73999999999999</v>
      </c>
      <c r="T218" s="331" t="n"/>
      <c r="U218" s="331" t="n">
        <v>138.72</v>
      </c>
      <c r="V218" s="331" t="n"/>
      <c r="W218" s="331" t="n"/>
      <c r="X218" s="331" t="n"/>
      <c r="Y218" s="331" t="n"/>
      <c r="Z218" s="331">
        <f>111.1+13141.23+51.5+47.44+(8.87+26.61-380)+949.74-0.13</f>
        <v/>
      </c>
      <c r="AA218" s="331" t="n"/>
      <c r="AB218" s="332">
        <f>0.271218+0.842748</f>
        <v/>
      </c>
      <c r="AC218" s="332">
        <f>0.271218+0.145585</f>
        <v/>
      </c>
      <c r="AD218" s="143" t="n">
        <v>0</v>
      </c>
      <c r="AE218" s="173" t="n">
        <v>10784.5</v>
      </c>
      <c r="AF218" s="143" t="n">
        <v>0</v>
      </c>
      <c r="AG218" s="143">
        <f>SUM(AD218:AF218)</f>
        <v/>
      </c>
      <c r="AH218" s="143">
        <f>(AD218*AB218)+((AE218+AF218)*AC218)</f>
        <v/>
      </c>
      <c r="AI218" s="143">
        <f>AD218-AS218</f>
        <v/>
      </c>
      <c r="AJ218" s="143">
        <f>AE218-AT218</f>
        <v/>
      </c>
      <c r="AK218" s="143">
        <f>AF218-AU218</f>
        <v/>
      </c>
      <c r="AL218" s="208">
        <f>SUM(AI218:AK218)</f>
        <v/>
      </c>
      <c r="AM218" s="336">
        <f>(AI218*AB218)+((AJ218+AK218)*AC218)</f>
        <v/>
      </c>
      <c r="AN218" s="155" t="n">
        <v>60220.23</v>
      </c>
      <c r="AO218" s="155" t="n">
        <v>520905</v>
      </c>
      <c r="AP218" s="155" t="n"/>
      <c r="AQ218" s="124">
        <f>SUM(AN218:AP218)</f>
        <v/>
      </c>
      <c r="AR218" s="321">
        <f>(AN218*AB218)+((AO218+AP218)*AC218)</f>
        <v/>
      </c>
      <c r="AS218" s="155" t="n"/>
      <c r="AT218" s="155" t="n"/>
      <c r="AU218" s="155" t="n"/>
      <c r="AV218" s="124">
        <f>SUM(AS218:AU218)</f>
        <v/>
      </c>
      <c r="AW218" s="155" t="n"/>
      <c r="AX218" s="155" t="n"/>
      <c r="AY218" s="155" t="n"/>
      <c r="AZ218" s="124">
        <f>SUM(AW218:AY218)</f>
        <v/>
      </c>
      <c r="BA218" s="323">
        <f>(AW218*AB218)+((AX218+AY218)*AC218)</f>
        <v/>
      </c>
      <c r="BB218" s="122">
        <f>AN218-AW218</f>
        <v/>
      </c>
      <c r="BC218" s="122">
        <f>BB218*AB218</f>
        <v/>
      </c>
      <c r="BD218" s="122">
        <f>AO218-AX218</f>
        <v/>
      </c>
      <c r="BE218" s="122">
        <f>BD218*AC218</f>
        <v/>
      </c>
      <c r="BF218" s="122">
        <f>AP218-AY218</f>
        <v/>
      </c>
      <c r="BG218" s="122">
        <f>BF218*AC218</f>
        <v/>
      </c>
      <c r="BH218" s="122">
        <f>BB218+BD218+BF218</f>
        <v/>
      </c>
      <c r="BI218" s="122">
        <f>BC218+BE218+BG218</f>
        <v/>
      </c>
      <c r="BJ218" s="362">
        <f>BL218+BS218+BV218+BY218+CB218+CE218+CH218+CK218</f>
        <v/>
      </c>
      <c r="BK218" s="320">
        <f>((AI218+AW218)*AB218)+((AJ218+AK218+AX218+AY218)*AC218)</f>
        <v/>
      </c>
      <c r="BL218" s="124">
        <f>BM218+BN218+AL218</f>
        <v/>
      </c>
      <c r="BM218" s="124">
        <f>AW218</f>
        <v/>
      </c>
      <c r="BN218" s="124">
        <f>AX218+AY218</f>
        <v/>
      </c>
      <c r="BO218" s="179" t="n"/>
      <c r="BP218" s="179" t="n"/>
      <c r="BQ218" s="179" t="n"/>
      <c r="BR218" s="179" t="n"/>
      <c r="BS218" s="179" t="n"/>
      <c r="BT218" s="179" t="n"/>
      <c r="BU218" s="320" t="n"/>
      <c r="BV218" s="179" t="n"/>
      <c r="BW218" s="179" t="n"/>
      <c r="BX218" s="179" t="n"/>
      <c r="BY218" s="179" t="n"/>
      <c r="BZ218" s="179" t="n"/>
      <c r="CA218" s="124" t="n"/>
      <c r="CB218" s="179" t="n"/>
      <c r="CC218" s="179" t="n"/>
      <c r="CD218" s="179" t="n"/>
      <c r="CE218" s="179" t="n"/>
      <c r="CF218" s="179" t="n"/>
      <c r="CG218" s="179" t="n"/>
      <c r="CH218" s="179" t="n"/>
      <c r="CI218" s="179" t="n"/>
      <c r="CJ218" s="179" t="n"/>
      <c r="CK218" s="179" t="n"/>
      <c r="CL218" s="179" t="n"/>
      <c r="CM218" s="179" t="n"/>
      <c r="CN218" s="179" t="n"/>
      <c r="CO218" s="170" t="n"/>
      <c r="CP218" s="179" t="n"/>
      <c r="CQ218" s="179" t="n"/>
      <c r="CR218" s="170" t="n"/>
      <c r="CS218" s="155" t="n"/>
      <c r="CT218" s="155" t="n"/>
      <c r="CU218" s="177" t="n"/>
      <c r="CV218" s="177" t="n"/>
      <c r="CW218" s="325">
        <f>((AG218*G218)-AH218)</f>
        <v/>
      </c>
    </row>
    <row r="219" ht="19.9" customFormat="1" customHeight="1" s="67">
      <c r="A219" s="139" t="n"/>
      <c r="B219" s="66" t="n">
        <v>10016165320</v>
      </c>
      <c r="C219" s="139" t="inlineStr">
        <is>
          <t>Fricó Alimentos</t>
        </is>
      </c>
      <c r="D219" s="140" t="inlineStr">
        <is>
          <t>Trindade</t>
        </is>
      </c>
      <c r="E219" s="140" t="inlineStr">
        <is>
          <t>Julho/2023</t>
        </is>
      </c>
      <c r="F219" s="122" t="n">
        <v>108566</v>
      </c>
      <c r="G219" s="320" t="n">
        <v>0.4989</v>
      </c>
      <c r="H219" s="124">
        <f>F219*G219</f>
        <v/>
      </c>
      <c r="I219" s="121" t="inlineStr">
        <is>
          <t>Janeiro/2024</t>
        </is>
      </c>
      <c r="J219" s="125" t="inlineStr">
        <is>
          <t>6 Growatt de 100KW (Zero Grid)</t>
        </is>
      </c>
      <c r="K219" s="65" t="inlineStr">
        <is>
          <t>1.500 de 555W</t>
        </is>
      </c>
      <c r="L219" s="121" t="n"/>
      <c r="M219" s="126" t="inlineStr">
        <is>
          <t>Agosto/2023</t>
        </is>
      </c>
      <c r="N219" s="126" t="inlineStr">
        <is>
          <t>01/08/2023 a 01/09/2023</t>
        </is>
      </c>
      <c r="O219" s="321" t="n">
        <v>318217.39</v>
      </c>
      <c r="P219" s="321" t="n"/>
      <c r="Q219" s="321" t="n">
        <v>14464.1</v>
      </c>
      <c r="R219" s="207" t="n"/>
      <c r="S219" s="321" t="n">
        <v>1432.9</v>
      </c>
      <c r="T219" s="321" t="n"/>
      <c r="U219" s="321" t="n">
        <v>138.72</v>
      </c>
      <c r="V219" s="321" t="n"/>
      <c r="W219" s="321" t="n"/>
      <c r="X219" s="321" t="n"/>
      <c r="Y219" s="321" t="n"/>
      <c r="Z219" s="321">
        <f>(7.56+21.23-380)+110.34+12364.05+235.89+47.44+851.25+0.2</f>
        <v/>
      </c>
      <c r="AA219" s="321" t="n"/>
      <c r="AB219" s="322">
        <f>0.269134+0.820223</f>
        <v/>
      </c>
      <c r="AC219" s="322">
        <f>0.141693+0.269134</f>
        <v/>
      </c>
      <c r="AD219" s="124" t="n">
        <v>0</v>
      </c>
      <c r="AE219" s="124" t="n">
        <v>53285.4</v>
      </c>
      <c r="AF219" s="124" t="n">
        <v>0</v>
      </c>
      <c r="AG219" s="124">
        <f>SUM(AD219:AF219)</f>
        <v/>
      </c>
      <c r="AH219" s="124">
        <f>(AD219*AB219)+((AE219+AF219)*AC219)</f>
        <v/>
      </c>
      <c r="AI219" s="124">
        <f>AD219-AS219</f>
        <v/>
      </c>
      <c r="AJ219" s="124">
        <f>AE219-AT219</f>
        <v/>
      </c>
      <c r="AK219" s="124">
        <f>AF219-AU219</f>
        <v/>
      </c>
      <c r="AL219" s="210">
        <f>SUM(AI219:AK219)</f>
        <v/>
      </c>
      <c r="AM219" s="337">
        <f>(AI219*AB219)+((AJ219+AK219)*AC219)</f>
        <v/>
      </c>
      <c r="AN219" s="176" t="n">
        <v>69627.60000000001</v>
      </c>
      <c r="AO219" s="176" t="n">
        <v>518647.5</v>
      </c>
      <c r="AP219" s="176" t="n"/>
      <c r="AQ219" s="173">
        <f>SUM(AN219:AP219)</f>
        <v/>
      </c>
      <c r="AR219" s="327">
        <f>(AN219*AB219)+((AO219+AP219)*AC219)</f>
        <v/>
      </c>
      <c r="AS219" s="176" t="n"/>
      <c r="AT219" s="176" t="n"/>
      <c r="AU219" s="176" t="n"/>
      <c r="AV219" s="173">
        <f>SUM(AS219:AU219)</f>
        <v/>
      </c>
      <c r="AW219" s="176" t="n"/>
      <c r="AX219" s="176" t="n"/>
      <c r="AY219" s="176" t="n"/>
      <c r="AZ219" s="173">
        <f>SUM(AW219:AY219)</f>
        <v/>
      </c>
      <c r="BA219" s="335">
        <f>(AW219*AB219)+((AX219+AY219)*AC219)</f>
        <v/>
      </c>
      <c r="BB219" s="141">
        <f>AN219-AW219</f>
        <v/>
      </c>
      <c r="BC219" s="141">
        <f>BB219*AB219</f>
        <v/>
      </c>
      <c r="BD219" s="141">
        <f>AO219-AX219</f>
        <v/>
      </c>
      <c r="BE219" s="141">
        <f>BD219*AC219</f>
        <v/>
      </c>
      <c r="BF219" s="141">
        <f>AP219-AY219</f>
        <v/>
      </c>
      <c r="BG219" s="141">
        <f>BF219*AC219</f>
        <v/>
      </c>
      <c r="BH219" s="141">
        <f>BB219+BD219+BF219</f>
        <v/>
      </c>
      <c r="BI219" s="141">
        <f>BC219+BE219+BG219</f>
        <v/>
      </c>
      <c r="BJ219" s="324">
        <f>BL219+BS219+BV219+BY219+CB219+CE219+CH219+CK219</f>
        <v/>
      </c>
      <c r="BK219" s="326">
        <f>((AI219+AW219)*AB219)+((AJ219+AK219+AX219+AY219)*AC219)</f>
        <v/>
      </c>
      <c r="BL219" s="132">
        <f>BM219+BN219+AL219</f>
        <v/>
      </c>
      <c r="BM219" s="133">
        <f>AW219</f>
        <v/>
      </c>
      <c r="BN219" s="133">
        <f>AX219+AY219</f>
        <v/>
      </c>
      <c r="BO219" s="184" t="n"/>
      <c r="BP219" s="184" t="n"/>
      <c r="BQ219" s="184" t="n"/>
      <c r="BR219" s="184" t="n"/>
      <c r="BS219" s="184" t="n"/>
      <c r="BT219" s="184" t="n"/>
      <c r="BU219" s="326" t="n"/>
      <c r="BV219" s="184" t="n"/>
      <c r="BW219" s="184" t="n"/>
      <c r="BX219" s="184" t="n"/>
      <c r="BY219" s="184" t="n"/>
      <c r="BZ219" s="184" t="n"/>
      <c r="CA219" s="173" t="n"/>
      <c r="CB219" s="184" t="n"/>
      <c r="CC219" s="184" t="n"/>
      <c r="CD219" s="184" t="n"/>
      <c r="CE219" s="184" t="n"/>
      <c r="CF219" s="184" t="n"/>
      <c r="CG219" s="184" t="n"/>
      <c r="CH219" s="184" t="n"/>
      <c r="CI219" s="184" t="n"/>
      <c r="CJ219" s="184" t="n"/>
      <c r="CK219" s="184" t="n"/>
      <c r="CL219" s="184" t="n"/>
      <c r="CM219" s="184" t="n"/>
      <c r="CN219" s="184" t="n"/>
      <c r="CO219" s="175" t="n"/>
      <c r="CP219" s="184" t="n"/>
      <c r="CQ219" s="184" t="n"/>
      <c r="CR219" s="175" t="n"/>
      <c r="CS219" s="176" t="n"/>
      <c r="CT219" s="176" t="n"/>
      <c r="CU219" s="177" t="n"/>
      <c r="CV219" s="177" t="n"/>
      <c r="CW219" s="325">
        <f>((AG219*G219)-AH219)</f>
        <v/>
      </c>
    </row>
    <row r="220" ht="19.9" customFormat="1" customHeight="1" s="67">
      <c r="A220" s="120" t="n"/>
      <c r="B220" s="65" t="n">
        <v>10016165320</v>
      </c>
      <c r="C220" s="120" t="inlineStr">
        <is>
          <t>Fricó Alimentos</t>
        </is>
      </c>
      <c r="D220" s="121" t="inlineStr">
        <is>
          <t>Trindade</t>
        </is>
      </c>
      <c r="E220" s="121" t="inlineStr">
        <is>
          <t>Julho/2023</t>
        </is>
      </c>
      <c r="F220" s="141" t="n">
        <v>108566</v>
      </c>
      <c r="G220" s="334" t="n">
        <v>0.4989</v>
      </c>
      <c r="H220" s="143">
        <f>F220*G220</f>
        <v/>
      </c>
      <c r="I220" s="140" t="inlineStr">
        <is>
          <t>Janeiro/2024</t>
        </is>
      </c>
      <c r="J220" s="144" t="inlineStr">
        <is>
          <t>6 Growatt de 100KW (Zero Grid)</t>
        </is>
      </c>
      <c r="K220" s="66" t="inlineStr">
        <is>
          <t>1.500 de 555W</t>
        </is>
      </c>
      <c r="L220" s="140" t="n"/>
      <c r="M220" s="145" t="inlineStr">
        <is>
          <t>Setembro/2023</t>
        </is>
      </c>
      <c r="N220" s="145" t="inlineStr">
        <is>
          <t>01/09/2023 a 01/10/2023</t>
        </is>
      </c>
      <c r="O220" s="331" t="n">
        <v>275041.35</v>
      </c>
      <c r="P220" s="331" t="n"/>
      <c r="Q220" s="331" t="n">
        <v>15056.03</v>
      </c>
      <c r="R220" s="147" t="n"/>
      <c r="S220" s="331" t="n">
        <v>2208.18</v>
      </c>
      <c r="T220" s="331" t="n"/>
      <c r="U220" s="331" t="n">
        <v>138.72</v>
      </c>
      <c r="V220" s="331" t="n"/>
      <c r="W220" s="331" t="n"/>
      <c r="X220" s="331" t="n"/>
      <c r="Y220" s="331" t="n"/>
      <c r="Z220" s="331">
        <f>-33624.9-380+(4.1+11.55)+ 307.77+109.53+ 8898+11554.29+47.44-0.14</f>
        <v/>
      </c>
      <c r="AA220" s="331" t="n"/>
      <c r="AB220" s="332">
        <f>0.837446+0.27788</f>
        <v/>
      </c>
      <c r="AC220" s="332">
        <f>0.144669+0.27788</f>
        <v/>
      </c>
      <c r="AD220" s="143" t="n">
        <v>0</v>
      </c>
      <c r="AE220" s="173" t="n">
        <v>87248.5</v>
      </c>
      <c r="AF220" s="143" t="n">
        <v>0</v>
      </c>
      <c r="AG220" s="143">
        <f>SUM(AD220:AF220)</f>
        <v/>
      </c>
      <c r="AH220" s="143">
        <f>(AD220*AB220)+((AE220+AF220)*AC220)</f>
        <v/>
      </c>
      <c r="AI220" s="143">
        <f>AD220-AS220</f>
        <v/>
      </c>
      <c r="AJ220" s="143">
        <f>AE220-AT220</f>
        <v/>
      </c>
      <c r="AK220" s="143">
        <f>AF220-AU220</f>
        <v/>
      </c>
      <c r="AL220" s="208">
        <f>SUM(AI220:AK220)</f>
        <v/>
      </c>
      <c r="AM220" s="336">
        <f>(AI220*AB220)+((AJ220+AK220)*AC220)</f>
        <v/>
      </c>
      <c r="AN220" s="155" t="n">
        <v>60749.43</v>
      </c>
      <c r="AO220" s="155" t="n">
        <v>480312</v>
      </c>
      <c r="AP220" s="155" t="n"/>
      <c r="AQ220" s="124">
        <f>SUM(AN220:AP220)</f>
        <v/>
      </c>
      <c r="AR220" s="321">
        <f>(AN220*AB220)+((AO220+AP220)*AC220)</f>
        <v/>
      </c>
      <c r="AS220" s="155" t="n"/>
      <c r="AT220" s="155" t="n"/>
      <c r="AU220" s="155" t="n"/>
      <c r="AV220" s="124">
        <f>SUM(AS220:AU220)</f>
        <v/>
      </c>
      <c r="AW220" s="155" t="n"/>
      <c r="AX220" s="155" t="n"/>
      <c r="AY220" s="155" t="n"/>
      <c r="AZ220" s="124">
        <f>SUM(AW220:AY220)</f>
        <v/>
      </c>
      <c r="BA220" s="323">
        <f>(AW220*AB220)+((AX220+AY220)*AC220)</f>
        <v/>
      </c>
      <c r="BB220" s="122">
        <f>AN220-AW220</f>
        <v/>
      </c>
      <c r="BC220" s="122">
        <f>BB220*AB220</f>
        <v/>
      </c>
      <c r="BD220" s="122">
        <f>AO220-AX220</f>
        <v/>
      </c>
      <c r="BE220" s="122">
        <f>BD220*AC220</f>
        <v/>
      </c>
      <c r="BF220" s="122">
        <f>AP220-AY220</f>
        <v/>
      </c>
      <c r="BG220" s="122">
        <f>BF220*AC220</f>
        <v/>
      </c>
      <c r="BH220" s="122">
        <f>BB220+BD220+BF220</f>
        <v/>
      </c>
      <c r="BI220" s="122">
        <f>BC220+BE220+BG220</f>
        <v/>
      </c>
      <c r="BJ220" s="362">
        <f>BL220+BS220+BV220+BY220+CB220+CE220+CH220+CK220</f>
        <v/>
      </c>
      <c r="BK220" s="320">
        <f>((AI220+AW220)*AB220)+((AJ220+AK220+AX220+AY220)*AC220)</f>
        <v/>
      </c>
      <c r="BL220" s="124">
        <f>BM220+BN220+AL220</f>
        <v/>
      </c>
      <c r="BM220" s="124">
        <f>AW220</f>
        <v/>
      </c>
      <c r="BN220" s="124">
        <f>AX220+AY220</f>
        <v/>
      </c>
      <c r="BO220" s="179" t="n"/>
      <c r="BP220" s="179" t="n"/>
      <c r="BQ220" s="179" t="n"/>
      <c r="BR220" s="179" t="n"/>
      <c r="BS220" s="179" t="n"/>
      <c r="BT220" s="179" t="n"/>
      <c r="BU220" s="320" t="n"/>
      <c r="BV220" s="179" t="n"/>
      <c r="BW220" s="179" t="n"/>
      <c r="BX220" s="179" t="n"/>
      <c r="BY220" s="179" t="n"/>
      <c r="BZ220" s="179" t="n"/>
      <c r="CA220" s="124" t="n"/>
      <c r="CB220" s="179" t="n"/>
      <c r="CC220" s="179" t="n"/>
      <c r="CD220" s="179" t="n"/>
      <c r="CE220" s="179" t="n"/>
      <c r="CF220" s="179" t="n"/>
      <c r="CG220" s="179" t="n"/>
      <c r="CH220" s="179" t="n"/>
      <c r="CI220" s="179" t="n"/>
      <c r="CJ220" s="179" t="n"/>
      <c r="CK220" s="179" t="n"/>
      <c r="CL220" s="179" t="n"/>
      <c r="CM220" s="179" t="n"/>
      <c r="CN220" s="179" t="n"/>
      <c r="CO220" s="170" t="n"/>
      <c r="CP220" s="179" t="n"/>
      <c r="CQ220" s="179" t="n"/>
      <c r="CR220" s="170" t="n"/>
      <c r="CS220" s="155" t="n"/>
      <c r="CT220" s="155" t="n"/>
      <c r="CU220" s="177" t="n"/>
      <c r="CV220" s="177" t="n"/>
      <c r="CW220" s="325">
        <f>((AG220*G220)-AH220)</f>
        <v/>
      </c>
    </row>
    <row r="221" ht="19.9" customFormat="1" customHeight="1" s="67">
      <c r="A221" s="233" t="n"/>
      <c r="B221" s="66" t="n">
        <v>10016165320</v>
      </c>
      <c r="C221" s="233" t="inlineStr">
        <is>
          <t>Fricó Alimentos</t>
        </is>
      </c>
      <c r="D221" s="140" t="inlineStr">
        <is>
          <t>Trindade</t>
        </is>
      </c>
      <c r="E221" s="140" t="inlineStr">
        <is>
          <t>Julho/2023</t>
        </is>
      </c>
      <c r="F221" s="122" t="n">
        <v>108566</v>
      </c>
      <c r="G221" s="320" t="n">
        <v>0.4989</v>
      </c>
      <c r="H221" s="124">
        <f>F221*G221</f>
        <v/>
      </c>
      <c r="I221" s="121" t="inlineStr">
        <is>
          <t>Janeiro/2024</t>
        </is>
      </c>
      <c r="J221" s="125" t="inlineStr">
        <is>
          <t>6 Growatt de 100KW (Zero Grid)</t>
        </is>
      </c>
      <c r="K221" s="65" t="inlineStr">
        <is>
          <t>1.500 de 555W</t>
        </is>
      </c>
      <c r="L221" s="121" t="n"/>
      <c r="M221" s="126" t="inlineStr">
        <is>
          <t>Outubro/2023</t>
        </is>
      </c>
      <c r="N221" s="126" t="inlineStr">
        <is>
          <t>01/10/2023 a 01/11/2023</t>
        </is>
      </c>
      <c r="O221" s="321" t="n">
        <v>314907.06</v>
      </c>
      <c r="P221" s="321" t="n"/>
      <c r="Q221" s="321" t="n">
        <v>15479.53</v>
      </c>
      <c r="R221" s="207" t="n"/>
      <c r="S221" s="321" t="n">
        <v>2488.31</v>
      </c>
      <c r="T221" s="321" t="n"/>
      <c r="U221" s="321" t="n">
        <v>138.72</v>
      </c>
      <c r="V221" s="321" t="n"/>
      <c r="W221" s="321" t="n"/>
      <c r="X221" s="321" t="n"/>
      <c r="Y221" s="321" t="n"/>
      <c r="Z221" s="321">
        <f>246.22+7.32+24.15+246.22-380+109.01+11633.12+1900.55+47.44+464.76-0.08</f>
        <v/>
      </c>
      <c r="AA221" s="321" t="n"/>
      <c r="AB221" s="322">
        <f>0.857968+0.270988</f>
        <v/>
      </c>
      <c r="AC221" s="322">
        <f>0.130922+0.270988</f>
        <v/>
      </c>
      <c r="AD221" s="124" t="n">
        <v>0</v>
      </c>
      <c r="AE221" s="124" t="n">
        <v>23180.2</v>
      </c>
      <c r="AF221" s="124" t="n">
        <v>0</v>
      </c>
      <c r="AG221" s="124">
        <f>SUM(AD221:AF221)</f>
        <v/>
      </c>
      <c r="AH221" s="124">
        <f>(AD221*AB221)+((AE221+AF221)*AC221)</f>
        <v/>
      </c>
      <c r="AI221" s="124">
        <f>AD221-AS221</f>
        <v/>
      </c>
      <c r="AJ221" s="124">
        <f>AE221-AT221</f>
        <v/>
      </c>
      <c r="AK221" s="124">
        <f>AF221-AU221</f>
        <v/>
      </c>
      <c r="AL221" s="210">
        <f>SUM(AI221:AK221)</f>
        <v/>
      </c>
      <c r="AM221" s="337">
        <f>(AI221*AB221)+((AJ221+AK221)*AC221)</f>
        <v/>
      </c>
      <c r="AN221" s="176" t="n">
        <v>65294.46</v>
      </c>
      <c r="AO221" s="176" t="n">
        <v>519487.5</v>
      </c>
      <c r="AP221" s="176" t="n"/>
      <c r="AQ221" s="173">
        <f>SUM(AN221:AP221)</f>
        <v/>
      </c>
      <c r="AR221" s="327">
        <f>(AN221*AB221)+((AO221+AP221)*AC221)</f>
        <v/>
      </c>
      <c r="AS221" s="176" t="n"/>
      <c r="AT221" s="176" t="n"/>
      <c r="AU221" s="176" t="n"/>
      <c r="AV221" s="173">
        <f>SUM(AS221:AU221)</f>
        <v/>
      </c>
      <c r="AW221" s="176" t="n"/>
      <c r="AX221" s="176" t="n"/>
      <c r="AY221" s="176" t="n"/>
      <c r="AZ221" s="173">
        <f>SUM(AW221:AY221)</f>
        <v/>
      </c>
      <c r="BA221" s="335">
        <f>(AW221*AB221)+((AX221+AY221)*AC221)</f>
        <v/>
      </c>
      <c r="BB221" s="141">
        <f>AN221-AW221</f>
        <v/>
      </c>
      <c r="BC221" s="141">
        <f>BB221*AB221</f>
        <v/>
      </c>
      <c r="BD221" s="141">
        <f>AO221-AX221</f>
        <v/>
      </c>
      <c r="BE221" s="141">
        <f>BD221*AC221</f>
        <v/>
      </c>
      <c r="BF221" s="141">
        <f>AP221-AY221</f>
        <v/>
      </c>
      <c r="BG221" s="141">
        <f>BF221*AC221</f>
        <v/>
      </c>
      <c r="BH221" s="141">
        <f>BB221+BD221+BF221</f>
        <v/>
      </c>
      <c r="BI221" s="141">
        <f>BC221+BE221+BG221</f>
        <v/>
      </c>
      <c r="BJ221" s="324">
        <f>BL221+BS221+BV221+BY221+CB221+CE221+CH221+CK221</f>
        <v/>
      </c>
      <c r="BK221" s="326">
        <f>((AI221+AW221)*AB221)+((AJ221+AK221+AX221+AY221)*AC221)</f>
        <v/>
      </c>
      <c r="BL221" s="132">
        <f>BM221+BN221+AL221</f>
        <v/>
      </c>
      <c r="BM221" s="133">
        <f>AW221</f>
        <v/>
      </c>
      <c r="BN221" s="133">
        <f>AX221+AY221</f>
        <v/>
      </c>
      <c r="BO221" s="184" t="n"/>
      <c r="BP221" s="184" t="n"/>
      <c r="BQ221" s="184" t="n"/>
      <c r="BR221" s="184" t="n"/>
      <c r="BS221" s="184" t="n"/>
      <c r="BT221" s="184" t="n"/>
      <c r="BU221" s="326" t="n"/>
      <c r="BV221" s="184" t="n"/>
      <c r="BW221" s="184" t="n"/>
      <c r="BX221" s="184" t="n"/>
      <c r="BY221" s="184" t="n"/>
      <c r="BZ221" s="184" t="n"/>
      <c r="CA221" s="173" t="n"/>
      <c r="CB221" s="184" t="n"/>
      <c r="CC221" s="184" t="n"/>
      <c r="CD221" s="184" t="n"/>
      <c r="CE221" s="184" t="n"/>
      <c r="CF221" s="184" t="n"/>
      <c r="CG221" s="184" t="n"/>
      <c r="CH221" s="184" t="n"/>
      <c r="CI221" s="184" t="n"/>
      <c r="CJ221" s="184" t="n"/>
      <c r="CK221" s="184" t="n"/>
      <c r="CL221" s="184" t="n"/>
      <c r="CM221" s="184" t="n"/>
      <c r="CN221" s="184" t="n"/>
      <c r="CO221" s="175" t="n"/>
      <c r="CP221" s="184" t="n"/>
      <c r="CQ221" s="184" t="n"/>
      <c r="CR221" s="175" t="n"/>
      <c r="CS221" s="176" t="n"/>
      <c r="CT221" s="176" t="n"/>
      <c r="CU221" s="177" t="n"/>
      <c r="CV221" s="177" t="n"/>
      <c r="CW221" s="325">
        <f>((AG221*G221)-AH221)</f>
        <v/>
      </c>
    </row>
    <row r="222" ht="19.9" customFormat="1" customHeight="1" s="67">
      <c r="A222" s="120" t="n"/>
      <c r="B222" s="65" t="n">
        <v>10016165320</v>
      </c>
      <c r="C222" s="120" t="inlineStr">
        <is>
          <t>Fricó Alimentos</t>
        </is>
      </c>
      <c r="D222" s="121" t="inlineStr">
        <is>
          <t>Trindade</t>
        </is>
      </c>
      <c r="E222" s="121" t="inlineStr">
        <is>
          <t>Julho/2023</t>
        </is>
      </c>
      <c r="F222" s="141" t="n">
        <v>108566</v>
      </c>
      <c r="G222" s="334" t="n">
        <v>0.4989</v>
      </c>
      <c r="H222" s="143">
        <f>F222*G222</f>
        <v/>
      </c>
      <c r="I222" s="140" t="inlineStr">
        <is>
          <t>Janeiro/2024</t>
        </is>
      </c>
      <c r="J222" s="144" t="inlineStr">
        <is>
          <t>6 Growatt de 100KW (Zero Grid)</t>
        </is>
      </c>
      <c r="K222" s="66" t="inlineStr">
        <is>
          <t>1.500 de 555W</t>
        </is>
      </c>
      <c r="L222" s="140" t="n"/>
      <c r="M222" s="145" t="inlineStr">
        <is>
          <t>Novembro/2023</t>
        </is>
      </c>
      <c r="N222" s="145" t="inlineStr">
        <is>
          <t>01/11/2023 a 01/12/2023</t>
        </is>
      </c>
      <c r="O222" s="331" t="n">
        <v>311534.5</v>
      </c>
      <c r="P222" s="331" t="n"/>
      <c r="Q222" s="331" t="n">
        <v>18389.84</v>
      </c>
      <c r="R222" s="147" t="n"/>
      <c r="S222" s="331" t="n">
        <v>72.55</v>
      </c>
      <c r="T222" s="331" t="n"/>
      <c r="U222" s="331" t="n">
        <v>138.72</v>
      </c>
      <c r="V222" s="331" t="n"/>
      <c r="W222" s="331" t="n"/>
      <c r="X222" s="331" t="n"/>
      <c r="Y222" s="331" t="n"/>
      <c r="Z222" s="331">
        <f>19.01+53.08-380+108.15+11733.64+7289.48+47.44+631.34+7428.04-0.21</f>
        <v/>
      </c>
      <c r="AA222" s="331" t="n"/>
      <c r="AB222" s="332">
        <f>0.269701+0.882642</f>
        <v/>
      </c>
      <c r="AC222" s="332">
        <f>0.269701+0.103438</f>
        <v/>
      </c>
      <c r="AD222" s="143" t="n">
        <v>0</v>
      </c>
      <c r="AE222" s="173" t="n">
        <v>0</v>
      </c>
      <c r="AF222" s="143" t="n">
        <v>0</v>
      </c>
      <c r="AG222" s="143">
        <f>SUM(AD222:AF222)</f>
        <v/>
      </c>
      <c r="AH222" s="143">
        <f>(AD222*AB222)+((AE222+AF222)*AC222)</f>
        <v/>
      </c>
      <c r="AI222" s="143">
        <f>AD222-AS222</f>
        <v/>
      </c>
      <c r="AJ222" s="143">
        <f>AE222-AT222</f>
        <v/>
      </c>
      <c r="AK222" s="143">
        <f>AF222-AU222</f>
        <v/>
      </c>
      <c r="AL222" s="208">
        <f>SUM(AI222:AK222)</f>
        <v/>
      </c>
      <c r="AM222" s="336">
        <f>(AI222*AB222)+((AJ222+AK222)*AC222)</f>
        <v/>
      </c>
      <c r="AN222" s="155" t="n">
        <v>66318.10000000001</v>
      </c>
      <c r="AO222" s="155" t="n">
        <v>508074</v>
      </c>
      <c r="AP222" s="155" t="n"/>
      <c r="AQ222" s="124">
        <f>SUM(AN222:AP222)</f>
        <v/>
      </c>
      <c r="AR222" s="321">
        <f>(AN222*AB222)+((AO222+AP222)*AC222)</f>
        <v/>
      </c>
      <c r="AS222" s="155" t="n"/>
      <c r="AT222" s="155" t="n"/>
      <c r="AU222" s="155" t="n"/>
      <c r="AV222" s="124">
        <f>SUM(AS222:AU222)</f>
        <v/>
      </c>
      <c r="AW222" s="155" t="n"/>
      <c r="AX222" s="155" t="n"/>
      <c r="AY222" s="155" t="n"/>
      <c r="AZ222" s="124">
        <f>SUM(AW222:AY222)</f>
        <v/>
      </c>
      <c r="BA222" s="323">
        <f>(AW222*AB222)+((AX222+AY222)*AC222)</f>
        <v/>
      </c>
      <c r="BB222" s="122">
        <f>AN222-AW222</f>
        <v/>
      </c>
      <c r="BC222" s="122">
        <f>BB222*AB222</f>
        <v/>
      </c>
      <c r="BD222" s="122">
        <f>AO222-AX222</f>
        <v/>
      </c>
      <c r="BE222" s="122">
        <f>BD222*AC222</f>
        <v/>
      </c>
      <c r="BF222" s="122">
        <f>AP222-AY222</f>
        <v/>
      </c>
      <c r="BG222" s="122">
        <f>BF222*AC222</f>
        <v/>
      </c>
      <c r="BH222" s="122">
        <f>BB222+BD222+BF222</f>
        <v/>
      </c>
      <c r="BI222" s="122">
        <f>BC222+BE222+BG222</f>
        <v/>
      </c>
      <c r="BJ222" s="362">
        <f>BL222+BS222+BQ223+BY222+CB222+CE222+CH222+CK222</f>
        <v/>
      </c>
      <c r="BK222" s="320">
        <f>((AI222+AW222)*AB222)+((AJ222+AK222+AX222+AY222)*AC222)</f>
        <v/>
      </c>
      <c r="BL222" s="124">
        <f>BM222+BN222+AL222</f>
        <v/>
      </c>
      <c r="BM222" s="124">
        <f>AW222</f>
        <v/>
      </c>
      <c r="BN222" s="124">
        <f>AX222+AY222</f>
        <v/>
      </c>
      <c r="BO222" s="179" t="n"/>
      <c r="BP222" s="179" t="n"/>
      <c r="BQ222" s="179" t="n"/>
      <c r="BR222" s="179" t="n"/>
      <c r="BS222" s="179" t="n"/>
      <c r="BT222" s="155" t="n"/>
      <c r="BU222" s="155" t="n"/>
      <c r="BV222" s="155" t="n"/>
      <c r="BW222" s="179" t="n"/>
      <c r="BX222" s="179" t="n"/>
      <c r="BY222" s="179" t="n"/>
      <c r="BZ222" s="179" t="n"/>
      <c r="CA222" s="124" t="n"/>
      <c r="CB222" s="179" t="n"/>
      <c r="CC222" s="179" t="n"/>
      <c r="CD222" s="179" t="n"/>
      <c r="CE222" s="179" t="n"/>
      <c r="CF222" s="179" t="n"/>
      <c r="CG222" s="179" t="n"/>
      <c r="CH222" s="179" t="n"/>
      <c r="CI222" s="179" t="n"/>
      <c r="CJ222" s="179" t="n"/>
      <c r="CK222" s="179" t="n"/>
      <c r="CL222" s="179" t="n"/>
      <c r="CM222" s="179" t="n"/>
      <c r="CN222" s="179" t="n"/>
      <c r="CO222" s="170" t="n"/>
      <c r="CP222" s="179" t="n"/>
      <c r="CQ222" s="179" t="n"/>
      <c r="CR222" s="170" t="n"/>
      <c r="CS222" s="155" t="n"/>
      <c r="CT222" s="155" t="n"/>
      <c r="CU222" s="177" t="n"/>
      <c r="CV222" s="177" t="n"/>
      <c r="CW222" s="325">
        <f>((AG222*G222)-AH222)</f>
        <v/>
      </c>
    </row>
    <row r="223" ht="19.9" customFormat="1" customHeight="1" s="67">
      <c r="A223" s="139" t="n"/>
      <c r="B223" s="66" t="n">
        <v>10016165320</v>
      </c>
      <c r="C223" s="139" t="inlineStr">
        <is>
          <t>Fricó Alimentos</t>
        </is>
      </c>
      <c r="D223" s="140" t="inlineStr">
        <is>
          <t>Trindade</t>
        </is>
      </c>
      <c r="E223" s="140" t="inlineStr">
        <is>
          <t>Julho/2023</t>
        </is>
      </c>
      <c r="F223" s="122" t="n">
        <v>108566</v>
      </c>
      <c r="G223" s="320" t="n">
        <v>0.4989</v>
      </c>
      <c r="H223" s="124">
        <f>F223*G223</f>
        <v/>
      </c>
      <c r="I223" s="121" t="inlineStr">
        <is>
          <t>Janeiro/2024</t>
        </is>
      </c>
      <c r="J223" s="125" t="inlineStr">
        <is>
          <t>6 Growatt de 100KW (Zero Grid)</t>
        </is>
      </c>
      <c r="K223" s="65" t="inlineStr">
        <is>
          <t>1.500 de 555W</t>
        </is>
      </c>
      <c r="L223" s="121" t="n"/>
      <c r="M223" s="126" t="inlineStr">
        <is>
          <t>Dezembro/2023</t>
        </is>
      </c>
      <c r="N223" s="126" t="inlineStr">
        <is>
          <t>01/12/2023 a 01/01/2024</t>
        </is>
      </c>
      <c r="O223" s="321" t="n">
        <v>336419.49</v>
      </c>
      <c r="P223" s="321" t="n"/>
      <c r="Q223" s="321" t="n">
        <v>19016</v>
      </c>
      <c r="R223" s="207" t="n"/>
      <c r="S223" s="321" t="n">
        <v>421.97</v>
      </c>
      <c r="T223" s="321" t="n"/>
      <c r="U223" s="321" t="n">
        <v>138.72</v>
      </c>
      <c r="V223" s="321" t="n"/>
      <c r="W223" s="321" t="n"/>
      <c r="X223" s="321" t="n"/>
      <c r="Y223" s="321" t="n"/>
      <c r="Z223" s="321">
        <f>19.78+60.79-380+129.5+11543.07+6752.56+47.44+ 1139.25+10857.87+0.28</f>
        <v/>
      </c>
      <c r="AA223" s="321" t="n"/>
      <c r="AB223" s="322">
        <f>0.870294+0.25724</f>
        <v/>
      </c>
      <c r="AC223" s="322">
        <f>0.101991+0.25724</f>
        <v/>
      </c>
      <c r="AD223" s="124" t="n">
        <v>0</v>
      </c>
      <c r="AE223" s="124" t="n">
        <v>0</v>
      </c>
      <c r="AF223" s="124" t="n">
        <v>0</v>
      </c>
      <c r="AG223" s="124">
        <f>SUM(AD223:AF223)</f>
        <v/>
      </c>
      <c r="AH223" s="124">
        <f>(AD223*AB223)+((AE223+AF223)*AC223)</f>
        <v/>
      </c>
      <c r="AI223" s="124">
        <f>AD223-AS223</f>
        <v/>
      </c>
      <c r="AJ223" s="124">
        <f>AE223-AT223</f>
        <v/>
      </c>
      <c r="AK223" s="124">
        <f>AF223-AU223</f>
        <v/>
      </c>
      <c r="AL223" s="210">
        <f>SUM(AI223:AK223)</f>
        <v/>
      </c>
      <c r="AM223" s="337">
        <f>(AI223*AB223)+((AJ223+AK223)*AC223)</f>
        <v/>
      </c>
      <c r="AN223" s="176" t="n">
        <v>73327.27</v>
      </c>
      <c r="AO223" s="176" t="n">
        <v>567861</v>
      </c>
      <c r="AP223" s="176" t="n"/>
      <c r="AQ223" s="173">
        <f>SUM(AN223:AP223)</f>
        <v/>
      </c>
      <c r="AR223" s="327">
        <f>(AN223*AB223)+((AO223+AP223)*AC223)</f>
        <v/>
      </c>
      <c r="AS223" s="176" t="n"/>
      <c r="AT223" s="176" t="n"/>
      <c r="AU223" s="176" t="n"/>
      <c r="AV223" s="173">
        <f>SUM(AS223:AU223)</f>
        <v/>
      </c>
      <c r="AW223" s="176" t="n"/>
      <c r="AX223" s="176" t="n"/>
      <c r="AY223" s="176" t="n"/>
      <c r="AZ223" s="173">
        <f>SUM(AW223:AY223)</f>
        <v/>
      </c>
      <c r="BA223" s="335">
        <f>(AW223*AB223)+((AX223+AY223)*AC223)</f>
        <v/>
      </c>
      <c r="BB223" s="141">
        <f>AN223-AW223</f>
        <v/>
      </c>
      <c r="BC223" s="141">
        <f>BB223*AB223</f>
        <v/>
      </c>
      <c r="BD223" s="141">
        <f>AO223-AX223</f>
        <v/>
      </c>
      <c r="BE223" s="141">
        <f>BD223*AC223</f>
        <v/>
      </c>
      <c r="BF223" s="141">
        <f>AP223-AY223</f>
        <v/>
      </c>
      <c r="BG223" s="141">
        <f>BF223*AC223</f>
        <v/>
      </c>
      <c r="BH223" s="141">
        <f>BB223+BD223+BF223</f>
        <v/>
      </c>
      <c r="BI223" s="141">
        <f>BC223+BE223+BG223</f>
        <v/>
      </c>
      <c r="BJ223" s="324">
        <f>BL223+BS223+BQ224+BY223+CB223+CE223+CH223+CK223</f>
        <v/>
      </c>
      <c r="BK223" s="326">
        <f>((AI223+AW223)*AB223)+((AJ223+AK223+AX223+AY223)*AC223)</f>
        <v/>
      </c>
      <c r="BL223" s="132">
        <f>BM223+BN223+AL223</f>
        <v/>
      </c>
      <c r="BM223" s="133">
        <f>AW223</f>
        <v/>
      </c>
      <c r="BN223" s="133">
        <f>AX223+AY223</f>
        <v/>
      </c>
      <c r="BO223" s="184" t="n"/>
      <c r="BP223" s="326" t="n"/>
      <c r="BQ223" s="184" t="n"/>
      <c r="BR223" s="184" t="n"/>
      <c r="BS223" s="184" t="n"/>
      <c r="BT223" s="184" t="n"/>
      <c r="BU223" s="184" t="n"/>
      <c r="BV223" s="184" t="n"/>
      <c r="BW223" s="184" t="n"/>
      <c r="BX223" s="184" t="n"/>
      <c r="BY223" s="184" t="n"/>
      <c r="BZ223" s="184" t="n"/>
      <c r="CA223" s="173" t="n"/>
      <c r="CB223" s="184" t="n"/>
      <c r="CC223" s="184" t="n"/>
      <c r="CD223" s="184" t="n"/>
      <c r="CE223" s="184" t="n"/>
      <c r="CF223" s="184" t="n"/>
      <c r="CG223" s="184" t="n"/>
      <c r="CH223" s="184" t="n"/>
      <c r="CI223" s="184" t="n"/>
      <c r="CJ223" s="184" t="n"/>
      <c r="CK223" s="184" t="n"/>
      <c r="CL223" s="184" t="n"/>
      <c r="CM223" s="184" t="n"/>
      <c r="CN223" s="184" t="n"/>
      <c r="CO223" s="175" t="n"/>
      <c r="CP223" s="184" t="n"/>
      <c r="CQ223" s="184" t="n"/>
      <c r="CR223" s="175" t="n"/>
      <c r="CS223" s="176" t="n"/>
      <c r="CT223" s="176" t="n"/>
      <c r="CU223" s="177" t="n"/>
      <c r="CV223" s="177" t="n"/>
      <c r="CW223" s="325">
        <f>((AG223*G223)-AH223)</f>
        <v/>
      </c>
    </row>
    <row r="224" ht="19.9" customFormat="1" customHeight="1" s="67">
      <c r="A224" s="120" t="n"/>
      <c r="B224" s="65" t="n">
        <v>10016165320</v>
      </c>
      <c r="C224" s="120" t="inlineStr">
        <is>
          <t>Fricó Alimentos</t>
        </is>
      </c>
      <c r="D224" s="121" t="inlineStr">
        <is>
          <t>Trindade</t>
        </is>
      </c>
      <c r="E224" s="121" t="inlineStr">
        <is>
          <t>Julho/2023</t>
        </is>
      </c>
      <c r="F224" s="141" t="n">
        <v>108566</v>
      </c>
      <c r="G224" s="334" t="n">
        <v>0.4989</v>
      </c>
      <c r="H224" s="143">
        <f>F224*G224</f>
        <v/>
      </c>
      <c r="I224" s="140" t="inlineStr">
        <is>
          <t>Janeiro/2024</t>
        </is>
      </c>
      <c r="J224" s="144" t="inlineStr">
        <is>
          <t>6 Growatt de 100KW (Zero Grid)</t>
        </is>
      </c>
      <c r="K224" s="66" t="inlineStr">
        <is>
          <t>1.500 de 555W</t>
        </is>
      </c>
      <c r="L224" s="140" t="n"/>
      <c r="M224" s="145" t="inlineStr">
        <is>
          <t>Janeiro/2024</t>
        </is>
      </c>
      <c r="N224" s="145" t="inlineStr">
        <is>
          <t>01/01/2024 a 01/02/2024</t>
        </is>
      </c>
      <c r="O224" s="331" t="n">
        <v>331129.42</v>
      </c>
      <c r="P224" s="331" t="n"/>
      <c r="Q224" s="331" t="n">
        <v>18992.39</v>
      </c>
      <c r="R224" s="147" t="n"/>
      <c r="S224" s="331" t="n">
        <v>41.67</v>
      </c>
      <c r="T224" s="331" t="n"/>
      <c r="U224" s="331" t="n">
        <v>138.72</v>
      </c>
      <c r="V224" s="331" t="n"/>
      <c r="W224" s="331" t="n"/>
      <c r="X224" s="331" t="n"/>
      <c r="Y224" s="331" t="n"/>
      <c r="Z224" s="331">
        <f>10.69+30.11+8578.81+128.51 +11482.66 +1705.4 +47.44+4929.77</f>
        <v/>
      </c>
      <c r="AA224" s="331" t="n"/>
      <c r="AB224" s="332">
        <f>0.867953+0.243018</f>
        <v/>
      </c>
      <c r="AC224" s="332">
        <f>0.101717+0.243018</f>
        <v/>
      </c>
      <c r="AD224" s="143" t="n">
        <v>0</v>
      </c>
      <c r="AE224" s="173" t="n">
        <v>87286.17</v>
      </c>
      <c r="AF224" s="143" t="n">
        <v>0</v>
      </c>
      <c r="AG224" s="143">
        <f>SUM(AD224:AF224)</f>
        <v/>
      </c>
      <c r="AH224" s="143">
        <f>(AD224*AB224)+((AE224+AF224)*AC224)</f>
        <v/>
      </c>
      <c r="AI224" s="143">
        <f>AD224-AS224</f>
        <v/>
      </c>
      <c r="AJ224" s="143">
        <f>AE224-AT224</f>
        <v/>
      </c>
      <c r="AK224" s="143">
        <f>AF224-AU224</f>
        <v/>
      </c>
      <c r="AL224" s="208">
        <f>SUM(AI224:AK224)</f>
        <v/>
      </c>
      <c r="AM224" s="336">
        <f>(AI224*AB224)+((AJ224+AK224)*AC224)</f>
        <v/>
      </c>
      <c r="AN224" s="155" t="n">
        <v>76747.33</v>
      </c>
      <c r="AO224" s="155" t="n">
        <v>579516</v>
      </c>
      <c r="AP224" s="155" t="n"/>
      <c r="AQ224" s="124">
        <f>SUM(AN224:AP224)</f>
        <v/>
      </c>
      <c r="AR224" s="321">
        <f>(AN224*AB224)+((AO224+AP224)*AC224)</f>
        <v/>
      </c>
      <c r="AS224" s="155" t="n"/>
      <c r="AT224" s="155" t="n"/>
      <c r="AU224" s="155" t="n"/>
      <c r="AV224" s="124">
        <f>SUM(AS224:AU224)</f>
        <v/>
      </c>
      <c r="AW224" s="155" t="n"/>
      <c r="AX224" s="155" t="n"/>
      <c r="AY224" s="155" t="n"/>
      <c r="AZ224" s="124">
        <f>SUM(AW224:AY224)</f>
        <v/>
      </c>
      <c r="BA224" s="323">
        <f>(AW224*AB224)+((AX224+AY224)*AC224)</f>
        <v/>
      </c>
      <c r="BB224" s="122">
        <f>AN224-AW224</f>
        <v/>
      </c>
      <c r="BC224" s="122">
        <f>BB224*AB224</f>
        <v/>
      </c>
      <c r="BD224" s="122">
        <f>AO224-AX224</f>
        <v/>
      </c>
      <c r="BE224" s="122">
        <f>BD224*AC224</f>
        <v/>
      </c>
      <c r="BF224" s="122">
        <f>AP224-AY224</f>
        <v/>
      </c>
      <c r="BG224" s="122">
        <f>BF224*AC224</f>
        <v/>
      </c>
      <c r="BH224" s="122">
        <f>BB224+BD224+BF224</f>
        <v/>
      </c>
      <c r="BI224" s="122">
        <f>BC224+BE224+BG224</f>
        <v/>
      </c>
      <c r="BJ224" s="362">
        <f>BL224+BS224+BV224+BY224+CB224+CE224+CH224+CK224</f>
        <v/>
      </c>
      <c r="BK224" s="320">
        <f>((AI224+AW224)*AB224)+((AJ224+AK224+AX224+AY224)*AC224)</f>
        <v/>
      </c>
      <c r="BL224" s="124">
        <f>BM224+BN224+AL224</f>
        <v/>
      </c>
      <c r="BM224" s="124">
        <f>AW224</f>
        <v/>
      </c>
      <c r="BN224" s="124">
        <f>AX224+AY224</f>
        <v/>
      </c>
      <c r="BO224" s="179" t="n"/>
      <c r="BP224" s="320" t="n"/>
      <c r="BQ224" s="179" t="n"/>
      <c r="BR224" s="179" t="n"/>
      <c r="BS224" s="179" t="n"/>
      <c r="BT224" s="179" t="n"/>
      <c r="BU224" s="320" t="n"/>
      <c r="BV224" s="179" t="n"/>
      <c r="BW224" s="179" t="n"/>
      <c r="BX224" s="179" t="n"/>
      <c r="BY224" s="179" t="n"/>
      <c r="BZ224" s="179" t="n"/>
      <c r="CA224" s="124" t="n"/>
      <c r="CB224" s="179" t="n"/>
      <c r="CC224" s="179" t="n"/>
      <c r="CD224" s="179" t="n"/>
      <c r="CE224" s="179" t="n"/>
      <c r="CF224" s="179" t="n"/>
      <c r="CG224" s="179" t="n"/>
      <c r="CH224" s="179" t="n"/>
      <c r="CI224" s="179" t="n"/>
      <c r="CJ224" s="179" t="n"/>
      <c r="CK224" s="179" t="n"/>
      <c r="CL224" s="179" t="n"/>
      <c r="CM224" s="179" t="n"/>
      <c r="CN224" s="179" t="n"/>
      <c r="CO224" s="170" t="n"/>
      <c r="CP224" s="179" t="n"/>
      <c r="CQ224" s="179" t="n"/>
      <c r="CR224" s="170" t="n"/>
      <c r="CS224" s="155" t="n"/>
      <c r="CT224" s="155" t="n"/>
      <c r="CU224" s="177" t="n"/>
      <c r="CV224" s="177" t="n"/>
      <c r="CW224" s="325">
        <f>((AG224*G224)-AH224)</f>
        <v/>
      </c>
    </row>
    <row r="225" ht="19.9" customFormat="1" customHeight="1" s="67">
      <c r="A225" s="233" t="n"/>
      <c r="B225" s="66" t="n">
        <v>10016165320</v>
      </c>
      <c r="C225" s="233" t="inlineStr">
        <is>
          <t>Fricó Alimentos</t>
        </is>
      </c>
      <c r="D225" s="140" t="inlineStr">
        <is>
          <t>Trindade</t>
        </is>
      </c>
      <c r="E225" s="140" t="inlineStr">
        <is>
          <t>Julho/2023</t>
        </is>
      </c>
      <c r="F225" s="122" t="n">
        <v>108566</v>
      </c>
      <c r="G225" s="320" t="n">
        <v>0.4989</v>
      </c>
      <c r="H225" s="124">
        <f>F225*G225</f>
        <v/>
      </c>
      <c r="I225" s="121" t="inlineStr">
        <is>
          <t>Janeiro/2024</t>
        </is>
      </c>
      <c r="J225" s="125" t="inlineStr">
        <is>
          <t>6 Growatt de 100KW (Zero Grid)</t>
        </is>
      </c>
      <c r="K225" s="65" t="inlineStr">
        <is>
          <t>1.500 de 555W</t>
        </is>
      </c>
      <c r="L225" s="140" t="n"/>
      <c r="M225" s="126" t="inlineStr">
        <is>
          <t>Fevereiro/2024</t>
        </is>
      </c>
      <c r="N225" s="145" t="inlineStr">
        <is>
          <t>01/02/2024 a 01/03/2024</t>
        </is>
      </c>
      <c r="O225" s="331" t="n">
        <v>318275.66</v>
      </c>
      <c r="P225" s="331" t="n"/>
      <c r="Q225" s="331" t="n">
        <v>18850.35</v>
      </c>
      <c r="R225" s="147" t="n"/>
      <c r="S225" s="331" t="n">
        <v>8.27</v>
      </c>
      <c r="T225" s="331" t="n"/>
      <c r="U225" s="331" t="n">
        <v>138.72</v>
      </c>
      <c r="V225" s="331" t="n"/>
      <c r="W225" s="331" t="n"/>
      <c r="X225" s="331" t="n"/>
      <c r="Y225" s="331" t="n"/>
      <c r="Z225" s="331">
        <f>74.68+221.29+139.32+12781.57+142.35+47.44+1275.97+4232.67-0.11</f>
        <v/>
      </c>
      <c r="AA225" s="331" t="n"/>
      <c r="AB225" s="332">
        <f>0.240562+0.8855981</f>
        <v/>
      </c>
      <c r="AC225" s="332">
        <f>0.240562+0.103784</f>
        <v/>
      </c>
      <c r="AD225" s="143" t="n">
        <v>109.25</v>
      </c>
      <c r="AE225" s="173" t="n">
        <v>71329.12</v>
      </c>
      <c r="AF225" s="143" t="n">
        <v>0</v>
      </c>
      <c r="AG225" s="143">
        <f>SUM(AD225:AF225)</f>
        <v/>
      </c>
      <c r="AH225" s="143">
        <f>(AD225*AB225)+((AE225+AF225)*AC225)</f>
        <v/>
      </c>
      <c r="AI225" s="143">
        <f>AD225-AS225</f>
        <v/>
      </c>
      <c r="AJ225" s="143">
        <f>AE225-AT225</f>
        <v/>
      </c>
      <c r="AK225" s="143">
        <f>AF225-AU225</f>
        <v/>
      </c>
      <c r="AL225" s="208">
        <f>SUM(AI225:AK225)</f>
        <v/>
      </c>
      <c r="AM225" s="336">
        <f>(AI225*AB225)+((AJ225+AK225)*AC225)</f>
        <v/>
      </c>
      <c r="AN225" s="155" t="n">
        <v>72770.88</v>
      </c>
      <c r="AO225" s="155" t="n">
        <v>576198</v>
      </c>
      <c r="AP225" s="155" t="n"/>
      <c r="AQ225" s="124">
        <f>SUM(AN225:AP225)</f>
        <v/>
      </c>
      <c r="AR225" s="321">
        <f>(AN225*AB225)+((AO225+AP225)*AC225)</f>
        <v/>
      </c>
      <c r="AS225" s="155" t="n"/>
      <c r="AT225" s="155" t="n"/>
      <c r="AU225" s="155" t="n"/>
      <c r="AV225" s="124" t="n"/>
      <c r="AW225" s="155" t="n"/>
      <c r="AX225" s="155" t="n"/>
      <c r="AY225" s="155" t="n"/>
      <c r="AZ225" s="124" t="n"/>
      <c r="BA225" s="323" t="n"/>
      <c r="BB225" s="122">
        <f>AN225-AW225</f>
        <v/>
      </c>
      <c r="BC225" s="122">
        <f>BB225*AB225</f>
        <v/>
      </c>
      <c r="BD225" s="122">
        <f>AO225-AX225</f>
        <v/>
      </c>
      <c r="BE225" s="122">
        <f>BD225*AC225</f>
        <v/>
      </c>
      <c r="BF225" s="122">
        <f>AP225-AY225</f>
        <v/>
      </c>
      <c r="BG225" s="122">
        <f>BF225*AC225</f>
        <v/>
      </c>
      <c r="BH225" s="122">
        <f>BB225+BD225+BF225</f>
        <v/>
      </c>
      <c r="BI225" s="122">
        <f>BC225+BE225+BG225</f>
        <v/>
      </c>
      <c r="BJ225" s="362">
        <f>BL225+BS225+BV225+BY225+CB225+CE225+CH225+CK225</f>
        <v/>
      </c>
      <c r="BK225" s="320">
        <f>((AI225+AW225)*AB225)+((AJ225+AK225+AX225+AY225)*AC225)</f>
        <v/>
      </c>
      <c r="BL225" s="124">
        <f>BM225+BN225+AL225</f>
        <v/>
      </c>
      <c r="BM225" s="124" t="n"/>
      <c r="BN225" s="124" t="n"/>
      <c r="BO225" s="179" t="n"/>
      <c r="BP225" s="320" t="n"/>
      <c r="BQ225" s="179" t="n"/>
      <c r="BR225" s="179" t="n"/>
      <c r="BS225" s="179" t="n"/>
      <c r="BT225" s="179" t="n"/>
      <c r="BU225" s="320" t="n"/>
      <c r="BV225" s="179" t="n"/>
      <c r="BW225" s="179" t="n"/>
      <c r="BX225" s="179" t="n"/>
      <c r="BY225" s="179" t="n"/>
      <c r="BZ225" s="179" t="n"/>
      <c r="CA225" s="124" t="n"/>
      <c r="CB225" s="179" t="n"/>
      <c r="CC225" s="179" t="n"/>
      <c r="CD225" s="179" t="n"/>
      <c r="CE225" s="179" t="n"/>
      <c r="CF225" s="179" t="n"/>
      <c r="CG225" s="179" t="n"/>
      <c r="CH225" s="179" t="n"/>
      <c r="CI225" s="179" t="n"/>
      <c r="CJ225" s="179" t="n"/>
      <c r="CK225" s="179" t="n"/>
      <c r="CL225" s="179" t="n"/>
      <c r="CM225" s="179" t="n"/>
      <c r="CN225" s="179" t="n"/>
      <c r="CO225" s="170" t="n"/>
      <c r="CP225" s="179" t="n"/>
      <c r="CQ225" s="179" t="n"/>
      <c r="CR225" s="170" t="n"/>
      <c r="CS225" s="156" t="inlineStr">
        <is>
      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      </is>
      </c>
      <c r="CT225" s="155" t="n"/>
      <c r="CU225" s="177" t="n"/>
      <c r="CV225" s="177" t="n"/>
      <c r="CW225" s="325">
        <f>((AG225*G225)-AH225)</f>
        <v/>
      </c>
    </row>
    <row r="226" ht="19.9" customFormat="1" customHeight="1" s="67">
      <c r="A226" s="120" t="n"/>
      <c r="B226" s="65" t="n">
        <v>10036951674</v>
      </c>
      <c r="C226" s="120" t="inlineStr">
        <is>
          <t>LAURI POOZ</t>
        </is>
      </c>
      <c r="D226" s="121" t="inlineStr">
        <is>
          <t>ÁGUA FRIA GO</t>
        </is>
      </c>
      <c r="E226" s="121" t="n"/>
      <c r="F226" s="122" t="n"/>
      <c r="G226" s="320" t="n"/>
      <c r="H226" s="124" t="n"/>
      <c r="I226" s="121" t="n"/>
      <c r="J226" s="125" t="n"/>
      <c r="K226" s="65" t="n"/>
      <c r="L226" s="121" t="n"/>
      <c r="M226" s="126" t="inlineStr">
        <is>
          <t>Novembro/2022</t>
        </is>
      </c>
      <c r="N226" s="126" t="inlineStr">
        <is>
          <t>07/11/2022 a 01/12/2022</t>
        </is>
      </c>
      <c r="O226" s="321" t="n"/>
      <c r="P226" s="321" t="n"/>
      <c r="Q226" s="321" t="n"/>
      <c r="R226" s="207" t="n"/>
      <c r="S226" s="321" t="n"/>
      <c r="T226" s="321" t="n"/>
      <c r="U226" s="321" t="n"/>
      <c r="V226" s="321" t="n"/>
      <c r="W226" s="321" t="n"/>
      <c r="X226" s="321" t="n"/>
      <c r="Y226" s="321" t="n"/>
      <c r="Z226" s="321" t="n"/>
      <c r="AA226" s="321" t="n"/>
      <c r="AB226" s="322" t="n"/>
      <c r="AC226" s="322" t="n"/>
      <c r="AD226" s="124" t="n"/>
      <c r="AE226" s="124" t="n"/>
      <c r="AF226" s="124" t="n"/>
      <c r="AG226" s="124">
        <f>SUM(AD226:AF226)</f>
        <v/>
      </c>
      <c r="AH226" s="124">
        <f>(AD226*AB226)+((AE226+AF226)*AC226)</f>
        <v/>
      </c>
      <c r="AI226" s="124">
        <f>AD226-AS226</f>
        <v/>
      </c>
      <c r="AJ226" s="124">
        <f>AE226-AT226</f>
        <v/>
      </c>
      <c r="AK226" s="124">
        <f>AF226-AU226</f>
        <v/>
      </c>
      <c r="AL226" s="210">
        <f>SUM(AI226:AK226)</f>
        <v/>
      </c>
      <c r="AM226" s="337">
        <f>(AI226*AB226)+((AJ226+AK226)*AC226)</f>
        <v/>
      </c>
      <c r="AN226" s="155" t="n">
        <v>505.39</v>
      </c>
      <c r="AO226" s="155" t="n">
        <v>3824.07</v>
      </c>
      <c r="AP226" s="155" t="n">
        <v>1009.83</v>
      </c>
      <c r="AQ226" s="143">
        <f>SUM(AN226:AP226)</f>
        <v/>
      </c>
      <c r="AR226" s="331">
        <f>(AN226*AB226)+((AO226+AP226)*AC226)</f>
        <v/>
      </c>
      <c r="AS226" s="155" t="n">
        <v>0</v>
      </c>
      <c r="AT226" s="155" t="n">
        <v>0</v>
      </c>
      <c r="AU226" s="155" t="n">
        <v>0</v>
      </c>
      <c r="AV226" s="124">
        <f>SUM(AS226:AU226)</f>
        <v/>
      </c>
      <c r="AW226" s="155" t="n"/>
      <c r="AX226" s="155" t="n"/>
      <c r="AY226" s="155" t="n"/>
      <c r="AZ226" s="124" t="n"/>
      <c r="BA226" s="335" t="n"/>
      <c r="BB226" s="122">
        <f>AN226-AW226</f>
        <v/>
      </c>
      <c r="BC226" s="141">
        <f>BB226*AB226</f>
        <v/>
      </c>
      <c r="BD226" s="122">
        <f>AO226-AX226</f>
        <v/>
      </c>
      <c r="BE226" s="122">
        <f>BD226*AC226</f>
        <v/>
      </c>
      <c r="BF226" s="122">
        <f>AP226-AY226</f>
        <v/>
      </c>
      <c r="BG226" s="122">
        <f>BF226*AC226</f>
        <v/>
      </c>
      <c r="BH226" s="122">
        <f>BB226+BD226+BF226</f>
        <v/>
      </c>
      <c r="BI226" s="122">
        <f>BC226+BE226+BG226</f>
        <v/>
      </c>
      <c r="BJ226" s="324">
        <f>BL226+BS226+BV226+BY226+CB226+CE226+CH226+CK226</f>
        <v/>
      </c>
      <c r="BK226" s="320">
        <f>((AI226+AW226)*AB226)+((AJ226+AK226+AX226+AY226)*AC226)</f>
        <v/>
      </c>
      <c r="BL226" s="132">
        <f>BM226+BN226+AL226</f>
        <v/>
      </c>
      <c r="BM226" s="133">
        <f>AW226</f>
        <v/>
      </c>
      <c r="BN226" s="133">
        <f>AX226+AY226</f>
        <v/>
      </c>
      <c r="BO226" s="179" t="n"/>
      <c r="BP226" s="179" t="n"/>
      <c r="BQ226" s="179" t="n"/>
      <c r="BR226" s="179" t="n"/>
      <c r="BS226" s="179" t="n"/>
      <c r="BT226" s="179" t="n"/>
      <c r="BU226" s="320" t="n"/>
      <c r="BV226" s="179" t="n"/>
      <c r="BW226" s="179" t="n"/>
      <c r="BX226" s="179" t="n"/>
      <c r="BY226" s="179" t="n"/>
      <c r="BZ226" s="179" t="n"/>
      <c r="CA226" s="124" t="n"/>
      <c r="CB226" s="179" t="n"/>
      <c r="CC226" s="179" t="n"/>
      <c r="CD226" s="179" t="n"/>
      <c r="CE226" s="179" t="n"/>
      <c r="CF226" s="179" t="n"/>
      <c r="CG226" s="179" t="n"/>
      <c r="CH226" s="179" t="n"/>
      <c r="CI226" s="179" t="n"/>
      <c r="CJ226" s="179" t="n"/>
      <c r="CK226" s="179" t="n"/>
      <c r="CL226" s="179" t="n"/>
      <c r="CM226" s="179" t="n"/>
      <c r="CN226" s="179" t="n"/>
      <c r="CO226" s="170" t="n"/>
      <c r="CP226" s="179" t="n"/>
      <c r="CQ226" s="179" t="n"/>
      <c r="CR226" s="170" t="n"/>
      <c r="CS226" s="155" t="n"/>
      <c r="CT226" s="155" t="n"/>
      <c r="CU226" s="177">
        <f>(BB226* AB226)+(BD226* AC226)+(BF226* AC226)+(S226+T226+U226+V226+W226+X226+Y226+Z226)</f>
        <v/>
      </c>
      <c r="CV226" s="177">
        <f>CU226-O226</f>
        <v/>
      </c>
      <c r="CW226" s="325" t="n"/>
    </row>
    <row r="227" ht="19.9" customFormat="1" customHeight="1" s="67">
      <c r="A227" s="139" t="n"/>
      <c r="B227" s="66" t="n">
        <v>10036951674</v>
      </c>
      <c r="C227" s="139" t="inlineStr">
        <is>
          <t>LAURI POOZ</t>
        </is>
      </c>
      <c r="D227" s="140" t="inlineStr">
        <is>
          <t>ÁGUA FRIA GO</t>
        </is>
      </c>
      <c r="E227" s="140" t="n"/>
      <c r="F227" s="141" t="n"/>
      <c r="G227" s="334" t="n"/>
      <c r="H227" s="143" t="n"/>
      <c r="I227" s="140" t="n"/>
      <c r="J227" s="144" t="n"/>
      <c r="K227" s="66" t="n"/>
      <c r="L227" s="140" t="n"/>
      <c r="M227" s="145" t="inlineStr">
        <is>
          <t>Dezembro/2022</t>
        </is>
      </c>
      <c r="N227" s="145" t="inlineStr">
        <is>
          <t>01/12/2022 a 01/01/2023</t>
        </is>
      </c>
      <c r="O227" s="331" t="n"/>
      <c r="P227" s="331" t="n"/>
      <c r="Q227" s="331" t="n"/>
      <c r="R227" s="147" t="n"/>
      <c r="S227" s="331" t="n"/>
      <c r="T227" s="331" t="n"/>
      <c r="U227" s="331" t="n"/>
      <c r="V227" s="331" t="n"/>
      <c r="W227" s="331" t="n"/>
      <c r="X227" s="331" t="n"/>
      <c r="Y227" s="331" t="n"/>
      <c r="Z227" s="331" t="n"/>
      <c r="AA227" s="331" t="n"/>
      <c r="AB227" s="332" t="n"/>
      <c r="AC227" s="332" t="n"/>
      <c r="AD227" s="143" t="n"/>
      <c r="AE227" s="173" t="n"/>
      <c r="AF227" s="143" t="n"/>
      <c r="AG227" s="143">
        <f>SUM(AD227:AF227)</f>
        <v/>
      </c>
      <c r="AH227" s="143">
        <f>(AD227*AB227)+((AE227+AF227)*AC227)</f>
        <v/>
      </c>
      <c r="AI227" s="143">
        <f>AD227-AS227</f>
        <v/>
      </c>
      <c r="AJ227" s="143">
        <f>AE227-AT227</f>
        <v/>
      </c>
      <c r="AK227" s="143">
        <f>AF227-AU227</f>
        <v/>
      </c>
      <c r="AL227" s="208">
        <f>SUM(AI227:AK227)</f>
        <v/>
      </c>
      <c r="AM227" s="336">
        <f>(AI227*AB227)+((AJ227+AK227)*AC227)</f>
        <v/>
      </c>
      <c r="AN227" s="155" t="n">
        <v>741.88</v>
      </c>
      <c r="AO227" s="155" t="n">
        <v>6479.64</v>
      </c>
      <c r="AP227" s="155" t="n">
        <v>1416</v>
      </c>
      <c r="AQ227" s="143">
        <f>SUM(AN227:AP227)</f>
        <v/>
      </c>
      <c r="AR227" s="331">
        <f>(AN227*AB227)+((AO227+AP227)*AC227)</f>
        <v/>
      </c>
      <c r="AS227" s="155" t="n">
        <v>0</v>
      </c>
      <c r="AT227" s="155" t="n">
        <v>0</v>
      </c>
      <c r="AU227" s="155" t="n">
        <v>0</v>
      </c>
      <c r="AV227" s="124">
        <f>SUM(AS227:AU227)</f>
        <v/>
      </c>
      <c r="AW227" s="155" t="n"/>
      <c r="AX227" s="155" t="n"/>
      <c r="AY227" s="155" t="n"/>
      <c r="AZ227" s="124" t="n"/>
      <c r="BA227" s="335" t="n"/>
      <c r="BB227" s="122">
        <f>AN227-AW227</f>
        <v/>
      </c>
      <c r="BC227" s="141">
        <f>BB227*AB227</f>
        <v/>
      </c>
      <c r="BD227" s="122">
        <f>AO227-AX227</f>
        <v/>
      </c>
      <c r="BE227" s="122">
        <f>BD227*AC227</f>
        <v/>
      </c>
      <c r="BF227" s="122">
        <f>AP227-AY227</f>
        <v/>
      </c>
      <c r="BG227" s="122">
        <f>BF227*AC227</f>
        <v/>
      </c>
      <c r="BH227" s="122">
        <f>BB227+BD227+BF227</f>
        <v/>
      </c>
      <c r="BI227" s="122">
        <f>BC227+BE227+BG227</f>
        <v/>
      </c>
      <c r="BJ227" s="324">
        <f>BL227+BS227+BV227+BY227+CB227+CE227+CH227+CK227</f>
        <v/>
      </c>
      <c r="BK227" s="320">
        <f>((AI227+AW227)*AB227)+((AJ227+AK227+AX227+AY227)*AC227)</f>
        <v/>
      </c>
      <c r="BL227" s="132">
        <f>BM227+BN227+AL227</f>
        <v/>
      </c>
      <c r="BM227" s="133">
        <f>AW227</f>
        <v/>
      </c>
      <c r="BN227" s="133">
        <f>AX227+AY227</f>
        <v/>
      </c>
      <c r="BO227" s="179" t="n"/>
      <c r="BP227" s="179" t="n"/>
      <c r="BQ227" s="179" t="n"/>
      <c r="BR227" s="179" t="n"/>
      <c r="BS227" s="179" t="n"/>
      <c r="BT227" s="179" t="n"/>
      <c r="BU227" s="320" t="n"/>
      <c r="BV227" s="179" t="n"/>
      <c r="BW227" s="179" t="n"/>
      <c r="BX227" s="179" t="n"/>
      <c r="BY227" s="179" t="n"/>
      <c r="BZ227" s="179" t="n"/>
      <c r="CA227" s="124" t="n"/>
      <c r="CB227" s="179" t="n"/>
      <c r="CC227" s="179" t="n"/>
      <c r="CD227" s="179" t="n"/>
      <c r="CE227" s="179" t="n"/>
      <c r="CF227" s="179" t="n"/>
      <c r="CG227" s="179" t="n"/>
      <c r="CH227" s="179" t="n"/>
      <c r="CI227" s="179" t="n"/>
      <c r="CJ227" s="179" t="n"/>
      <c r="CK227" s="179" t="n"/>
      <c r="CL227" s="179" t="n"/>
      <c r="CM227" s="179" t="n"/>
      <c r="CN227" s="179" t="n"/>
      <c r="CO227" s="170" t="n"/>
      <c r="CP227" s="179" t="n"/>
      <c r="CQ227" s="179" t="n"/>
      <c r="CR227" s="170" t="n"/>
      <c r="CS227" s="155" t="n"/>
      <c r="CT227" s="155" t="n"/>
      <c r="CU227" s="177">
        <f>(BB227* AB227)+(BD227* AC227)+(BF227* AC227)+(S227+T227+U227+V227+W227+X227+Y227+Z227)</f>
        <v/>
      </c>
      <c r="CV227" s="177">
        <f>CU227-O227</f>
        <v/>
      </c>
      <c r="CW227" s="325" t="n"/>
    </row>
    <row r="228" ht="19.9" customFormat="1" customHeight="1" s="67">
      <c r="A228" s="120" t="n"/>
      <c r="B228" s="65" t="n">
        <v>10036951674</v>
      </c>
      <c r="C228" s="120" t="inlineStr">
        <is>
          <t>LAURI POOZ</t>
        </is>
      </c>
      <c r="D228" s="121" t="inlineStr">
        <is>
          <t>ÁGUA FRIA GO</t>
        </is>
      </c>
      <c r="E228" s="121" t="n"/>
      <c r="F228" s="122" t="n"/>
      <c r="G228" s="320" t="n"/>
      <c r="H228" s="124" t="n"/>
      <c r="I228" s="121" t="n"/>
      <c r="J228" s="125" t="n"/>
      <c r="K228" s="65" t="n"/>
      <c r="L228" s="121" t="n"/>
      <c r="M228" s="126" t="inlineStr">
        <is>
          <t>Janeiro/2023</t>
        </is>
      </c>
      <c r="N228" s="126" t="inlineStr">
        <is>
          <t>01/01/2023 a 01/02/2023</t>
        </is>
      </c>
      <c r="O228" s="321" t="n"/>
      <c r="P228" s="321" t="n"/>
      <c r="Q228" s="321" t="n"/>
      <c r="R228" s="207" t="n"/>
      <c r="S228" s="321" t="n"/>
      <c r="T228" s="321" t="n"/>
      <c r="U228" s="321" t="n"/>
      <c r="V228" s="321" t="n"/>
      <c r="W228" s="321" t="n"/>
      <c r="X228" s="321" t="n"/>
      <c r="Y228" s="321" t="n"/>
      <c r="Z228" s="321" t="n"/>
      <c r="AA228" s="321" t="n"/>
      <c r="AB228" s="322" t="n"/>
      <c r="AC228" s="322" t="n"/>
      <c r="AD228" s="124" t="n"/>
      <c r="AE228" s="124" t="n"/>
      <c r="AF228" s="124" t="n"/>
      <c r="AG228" s="124">
        <f>SUM(AD228:AF228)</f>
        <v/>
      </c>
      <c r="AH228" s="124">
        <f>(AD228*AB228)+((AE228+AF228)*AC228)</f>
        <v/>
      </c>
      <c r="AI228" s="124">
        <f>AD228-AS228</f>
        <v/>
      </c>
      <c r="AJ228" s="124">
        <f>AE228-AT228</f>
        <v/>
      </c>
      <c r="AK228" s="124">
        <f>AF228-AU228</f>
        <v/>
      </c>
      <c r="AL228" s="210">
        <f>SUM(AI228:AK228)</f>
        <v/>
      </c>
      <c r="AM228" s="337">
        <f>(AI228*AB228)+((AJ228+AK228)*AC228)</f>
        <v/>
      </c>
      <c r="AN228" s="155" t="n">
        <v>636.5</v>
      </c>
      <c r="AO228" s="155" t="n">
        <v>4548.54</v>
      </c>
      <c r="AP228" s="155" t="n">
        <v>1156.2</v>
      </c>
      <c r="AQ228" s="143">
        <f>SUM(AN228:AP228)</f>
        <v/>
      </c>
      <c r="AR228" s="331">
        <f>(AN228*AB228)+((AO228+AP228)*AC228)</f>
        <v/>
      </c>
      <c r="AS228" s="155" t="n">
        <v>0</v>
      </c>
      <c r="AT228" s="155" t="n">
        <v>0</v>
      </c>
      <c r="AU228" s="155" t="n">
        <v>0</v>
      </c>
      <c r="AV228" s="124">
        <f>SUM(AS228:AU228)</f>
        <v/>
      </c>
      <c r="AW228" s="155" t="n"/>
      <c r="AX228" s="155" t="n"/>
      <c r="AY228" s="155" t="n"/>
      <c r="AZ228" s="124">
        <f>SUM(AW228:AY228)</f>
        <v/>
      </c>
      <c r="BA228" s="335">
        <f>(AW228*AB228)+((AX228+AY228)*AC228)</f>
        <v/>
      </c>
      <c r="BB228" s="122">
        <f>AN228-AW228</f>
        <v/>
      </c>
      <c r="BC228" s="141">
        <f>BB228*AB228</f>
        <v/>
      </c>
      <c r="BD228" s="122">
        <f>AO228-AX228</f>
        <v/>
      </c>
      <c r="BE228" s="122">
        <f>BD228*AC228</f>
        <v/>
      </c>
      <c r="BF228" s="122">
        <f>AP228-AY228</f>
        <v/>
      </c>
      <c r="BG228" s="122">
        <f>BF228*AC228</f>
        <v/>
      </c>
      <c r="BH228" s="122">
        <f>BB228+BD228+BF228</f>
        <v/>
      </c>
      <c r="BI228" s="122">
        <f>BC228+BE228+BG228</f>
        <v/>
      </c>
      <c r="BJ228" s="324">
        <f>BL228+BS228+BV228+BY228+CB228+CE228+CH228+CK228</f>
        <v/>
      </c>
      <c r="BK228" s="320">
        <f>((AI228+AW228)*AB228)+((AJ228+AK228+AX228+AY228)*AC228)</f>
        <v/>
      </c>
      <c r="BL228" s="132">
        <f>BM228+BN228+AL228</f>
        <v/>
      </c>
      <c r="BM228" s="133">
        <f>AW228</f>
        <v/>
      </c>
      <c r="BN228" s="133">
        <f>AX228+AY228</f>
        <v/>
      </c>
      <c r="BO228" s="179" t="n"/>
      <c r="BP228" s="179" t="n"/>
      <c r="BQ228" s="179" t="n"/>
      <c r="BR228" s="179" t="n"/>
      <c r="BS228" s="179" t="n"/>
      <c r="BT228" s="179" t="n"/>
      <c r="BU228" s="320" t="n"/>
      <c r="BV228" s="179" t="n"/>
      <c r="BW228" s="179" t="n"/>
      <c r="BX228" s="179" t="n"/>
      <c r="BY228" s="179" t="n"/>
      <c r="BZ228" s="179" t="n"/>
      <c r="CA228" s="124" t="n"/>
      <c r="CB228" s="179" t="n"/>
      <c r="CC228" s="179" t="n"/>
      <c r="CD228" s="179" t="n"/>
      <c r="CE228" s="179" t="n"/>
      <c r="CF228" s="179" t="n"/>
      <c r="CG228" s="179" t="n"/>
      <c r="CH228" s="179" t="n"/>
      <c r="CI228" s="179" t="n"/>
      <c r="CJ228" s="179" t="n"/>
      <c r="CK228" s="179" t="n"/>
      <c r="CL228" s="179" t="n"/>
      <c r="CM228" s="179" t="n"/>
      <c r="CN228" s="179" t="n"/>
      <c r="CO228" s="170" t="n"/>
      <c r="CP228" s="179" t="n"/>
      <c r="CQ228" s="179" t="n"/>
      <c r="CR228" s="170" t="n"/>
      <c r="CS228" s="155" t="n"/>
      <c r="CT228" s="155" t="n"/>
      <c r="CU228" s="177">
        <f>(BB228* AB228)+(BD228* AC228)+(BF228* AC228)+(S228+T228+U228+V228+W228+X228+Y228+Z228)</f>
        <v/>
      </c>
      <c r="CV228" s="177">
        <f>CU228-O228</f>
        <v/>
      </c>
      <c r="CW228" s="325" t="n"/>
    </row>
    <row r="229" ht="19.9" customFormat="1" customHeight="1" s="67">
      <c r="A229" s="233" t="n"/>
      <c r="B229" s="66" t="n">
        <v>10036951674</v>
      </c>
      <c r="C229" s="233" t="inlineStr">
        <is>
          <t>LAURI POOZ</t>
        </is>
      </c>
      <c r="D229" s="140" t="inlineStr">
        <is>
          <t>ÁGUA FRIA GO</t>
        </is>
      </c>
      <c r="E229" s="140" t="n"/>
      <c r="F229" s="141" t="n"/>
      <c r="G229" s="334" t="n"/>
      <c r="H229" s="143" t="n"/>
      <c r="I229" s="140" t="n"/>
      <c r="J229" s="144" t="n"/>
      <c r="K229" s="66" t="n"/>
      <c r="L229" s="140" t="n"/>
      <c r="M229" s="145" t="inlineStr">
        <is>
          <t>Fevereiro/2023</t>
        </is>
      </c>
      <c r="N229" s="145" t="inlineStr">
        <is>
          <t>01/02/2023 a 01/03/2023</t>
        </is>
      </c>
      <c r="O229" s="331" t="n"/>
      <c r="P229" s="331" t="n"/>
      <c r="Q229" s="331" t="n"/>
      <c r="R229" s="147" t="n"/>
      <c r="S229" s="331" t="n"/>
      <c r="T229" s="331" t="n"/>
      <c r="U229" s="331" t="n"/>
      <c r="V229" s="331" t="n"/>
      <c r="W229" s="331" t="n"/>
      <c r="X229" s="331" t="n"/>
      <c r="Y229" s="331" t="n"/>
      <c r="Z229" s="331" t="n"/>
      <c r="AA229" s="331" t="n"/>
      <c r="AB229" s="332" t="n"/>
      <c r="AC229" s="332" t="n"/>
      <c r="AD229" s="143" t="n"/>
      <c r="AE229" s="173" t="n"/>
      <c r="AF229" s="143" t="n"/>
      <c r="AG229" s="143">
        <f>SUM(AD229:AF229)</f>
        <v/>
      </c>
      <c r="AH229" s="143">
        <f>(AD229*AB229)+((AE229+AF229)*AC229)</f>
        <v/>
      </c>
      <c r="AI229" s="143">
        <f>AD229-AS229</f>
        <v/>
      </c>
      <c r="AJ229" s="143">
        <f>AE229-AT229</f>
        <v/>
      </c>
      <c r="AK229" s="143">
        <f>AF229-AU229</f>
        <v/>
      </c>
      <c r="AL229" s="208">
        <f>SUM(AI229:AK229)</f>
        <v/>
      </c>
      <c r="AM229" s="336">
        <f>(AI229*AB229)+((AJ229+AK229)*AC229)</f>
        <v/>
      </c>
      <c r="AN229" s="155" t="n">
        <v>938.52</v>
      </c>
      <c r="AO229" s="155" t="n">
        <v>10666.56</v>
      </c>
      <c r="AP229" s="155" t="n">
        <v>1341.93</v>
      </c>
      <c r="AQ229" s="143">
        <f>SUM(AN229:AP229)</f>
        <v/>
      </c>
      <c r="AR229" s="331">
        <f>(AN229*AB229)+((AO229+AP229)*AC229)</f>
        <v/>
      </c>
      <c r="AS229" s="155" t="n">
        <v>0</v>
      </c>
      <c r="AT229" s="155" t="n">
        <v>0</v>
      </c>
      <c r="AU229" s="155" t="n">
        <v>0</v>
      </c>
      <c r="AV229" s="124">
        <f>SUM(AS229:AU229)</f>
        <v/>
      </c>
      <c r="AW229" s="155" t="n"/>
      <c r="AX229" s="155" t="n"/>
      <c r="AY229" s="155" t="n"/>
      <c r="AZ229" s="124">
        <f>SUM(AW229:AY229)</f>
        <v/>
      </c>
      <c r="BA229" s="335">
        <f>(AW229*AB229)+((AX229+AY229)*AC229)</f>
        <v/>
      </c>
      <c r="BB229" s="122">
        <f>AN229-AW229</f>
        <v/>
      </c>
      <c r="BC229" s="141">
        <f>BB229*AB229</f>
        <v/>
      </c>
      <c r="BD229" s="122">
        <f>AO229-AX229</f>
        <v/>
      </c>
      <c r="BE229" s="122">
        <f>BD229*AC229</f>
        <v/>
      </c>
      <c r="BF229" s="122">
        <f>AP229-AY229</f>
        <v/>
      </c>
      <c r="BG229" s="122">
        <f>BF229*AC229</f>
        <v/>
      </c>
      <c r="BH229" s="122">
        <f>BB229+BD229+BF229</f>
        <v/>
      </c>
      <c r="BI229" s="122">
        <f>BC229+BE229+BG229</f>
        <v/>
      </c>
      <c r="BJ229" s="324">
        <f>BL229+BS229+BV229+BY229+CB229+CE229+CH229+CK229</f>
        <v/>
      </c>
      <c r="BK229" s="320">
        <f>((AI229+AW229)*AB229)+((AJ229+AK229+AX229+AY229)*AC229)</f>
        <v/>
      </c>
      <c r="BL229" s="132">
        <f>BM229+BN229+AL229</f>
        <v/>
      </c>
      <c r="BM229" s="133">
        <f>AW229</f>
        <v/>
      </c>
      <c r="BN229" s="133">
        <f>AX229+AY229</f>
        <v/>
      </c>
      <c r="BO229" s="179" t="n"/>
      <c r="BP229" s="179" t="n"/>
      <c r="BQ229" s="179" t="n"/>
      <c r="BR229" s="179" t="n"/>
      <c r="BS229" s="179" t="n"/>
      <c r="BT229" s="179" t="n"/>
      <c r="BU229" s="320" t="n"/>
      <c r="BV229" s="179" t="n"/>
      <c r="BW229" s="179" t="n"/>
      <c r="BX229" s="179" t="n"/>
      <c r="BY229" s="179" t="n"/>
      <c r="BZ229" s="179" t="n"/>
      <c r="CA229" s="124" t="n"/>
      <c r="CB229" s="179" t="n"/>
      <c r="CC229" s="179" t="n"/>
      <c r="CD229" s="179" t="n"/>
      <c r="CE229" s="179" t="n"/>
      <c r="CF229" s="179" t="n"/>
      <c r="CG229" s="179" t="n"/>
      <c r="CH229" s="179" t="n"/>
      <c r="CI229" s="179" t="n"/>
      <c r="CJ229" s="179" t="n"/>
      <c r="CK229" s="179" t="n"/>
      <c r="CL229" s="179" t="n"/>
      <c r="CM229" s="179" t="n"/>
      <c r="CN229" s="179" t="n"/>
      <c r="CO229" s="170" t="n"/>
      <c r="CP229" s="179" t="n"/>
      <c r="CQ229" s="179" t="n"/>
      <c r="CR229" s="170" t="n"/>
      <c r="CS229" s="155" t="n"/>
      <c r="CT229" s="155" t="n"/>
      <c r="CU229" s="177">
        <f>(BB229* AB229)+(BD229* AC229)+(BF229* AC229)+(S229+T229+U229+V229+W229+X229+Y229+Z229)</f>
        <v/>
      </c>
      <c r="CV229" s="177">
        <f>CU229-O229</f>
        <v/>
      </c>
      <c r="CW229" s="325" t="n"/>
    </row>
    <row r="230" ht="19.9" customFormat="1" customHeight="1" s="67">
      <c r="A230" s="120" t="n"/>
      <c r="B230" s="65" t="n">
        <v>10036951674</v>
      </c>
      <c r="C230" s="120" t="inlineStr">
        <is>
          <t>LAURI POOZ</t>
        </is>
      </c>
      <c r="D230" s="121" t="inlineStr">
        <is>
          <t>ÁGUA FRIA GO</t>
        </is>
      </c>
      <c r="E230" s="121" t="n"/>
      <c r="F230" s="122" t="n"/>
      <c r="G230" s="320" t="n"/>
      <c r="H230" s="124" t="n"/>
      <c r="I230" s="121" t="n"/>
      <c r="J230" s="125" t="n"/>
      <c r="K230" s="65" t="n"/>
      <c r="L230" s="121" t="n"/>
      <c r="M230" s="126" t="inlineStr">
        <is>
          <t>Março/2023</t>
        </is>
      </c>
      <c r="N230" s="126" t="inlineStr">
        <is>
          <t>01/03/2023 a 01/04/2023</t>
        </is>
      </c>
      <c r="O230" s="321" t="n"/>
      <c r="P230" s="321" t="n"/>
      <c r="Q230" s="321" t="n"/>
      <c r="R230" s="207" t="n"/>
      <c r="S230" s="321" t="n"/>
      <c r="T230" s="321" t="n"/>
      <c r="U230" s="321" t="n"/>
      <c r="V230" s="321" t="n"/>
      <c r="W230" s="321" t="n"/>
      <c r="X230" s="321" t="n"/>
      <c r="Y230" s="321" t="n"/>
      <c r="Z230" s="321" t="n"/>
      <c r="AA230" s="321" t="n"/>
      <c r="AB230" s="322" t="n"/>
      <c r="AC230" s="322" t="n"/>
      <c r="AD230" s="124" t="n"/>
      <c r="AE230" s="124" t="n"/>
      <c r="AF230" s="124" t="n"/>
      <c r="AG230" s="124">
        <f>SUM(AD230:AF230)</f>
        <v/>
      </c>
      <c r="AH230" s="124">
        <f>(AD230*AB230)+((AE230+AF230)*AC230)</f>
        <v/>
      </c>
      <c r="AI230" s="124">
        <f>AD230-AS230</f>
        <v/>
      </c>
      <c r="AJ230" s="124">
        <f>AE230-AT230</f>
        <v/>
      </c>
      <c r="AK230" s="124">
        <f>AF230-AU230</f>
        <v/>
      </c>
      <c r="AL230" s="210">
        <f>SUM(AI230:AK230)</f>
        <v/>
      </c>
      <c r="AM230" s="337">
        <f>(AI230*AB230)+((AJ230+AK230)*AC230)</f>
        <v/>
      </c>
      <c r="AN230" s="155" t="n">
        <v>1362</v>
      </c>
      <c r="AO230" s="155" t="n">
        <v>17367.6</v>
      </c>
      <c r="AP230" s="155" t="n">
        <v>1809.33</v>
      </c>
      <c r="AQ230" s="143">
        <f>SUM(AN230:AP230)</f>
        <v/>
      </c>
      <c r="AR230" s="331">
        <f>(AN230*AB230)+((AO230+AP230)*AC230)</f>
        <v/>
      </c>
      <c r="AS230" s="155" t="n">
        <v>0</v>
      </c>
      <c r="AT230" s="155" t="n">
        <v>0</v>
      </c>
      <c r="AU230" s="155" t="n">
        <v>0</v>
      </c>
      <c r="AV230" s="124">
        <f>SUM(AS230:AU230)</f>
        <v/>
      </c>
      <c r="AW230" s="155" t="n"/>
      <c r="AX230" s="155" t="n"/>
      <c r="AY230" s="155" t="n"/>
      <c r="AZ230" s="124">
        <f>SUM(AW230:AY230)</f>
        <v/>
      </c>
      <c r="BA230" s="335">
        <f>(AW230*AB230)+((AX230+AY230)*AC230)</f>
        <v/>
      </c>
      <c r="BB230" s="122">
        <f>AN230-AW230</f>
        <v/>
      </c>
      <c r="BC230" s="141">
        <f>BB230*AB230</f>
        <v/>
      </c>
      <c r="BD230" s="122">
        <f>AO230-AX230</f>
        <v/>
      </c>
      <c r="BE230" s="122">
        <f>BD230*AC230</f>
        <v/>
      </c>
      <c r="BF230" s="122">
        <f>AP230-AY230</f>
        <v/>
      </c>
      <c r="BG230" s="122">
        <f>BF230*AC230</f>
        <v/>
      </c>
      <c r="BH230" s="122">
        <f>BB230+BD230+BF230</f>
        <v/>
      </c>
      <c r="BI230" s="122">
        <f>BC230+BE230+BG230</f>
        <v/>
      </c>
      <c r="BJ230" s="324">
        <f>BL230+BS230+BV230+BY230+CB230+CE230+CH230+CK230</f>
        <v/>
      </c>
      <c r="BK230" s="320">
        <f>((AI230+AW230)*AB230)+((AJ230+AK230+AX230+AY230)*AC230)</f>
        <v/>
      </c>
      <c r="BL230" s="132">
        <f>BM230+BN230+AL230</f>
        <v/>
      </c>
      <c r="BM230" s="133">
        <f>AW230</f>
        <v/>
      </c>
      <c r="BN230" s="133">
        <f>AX230+AY230</f>
        <v/>
      </c>
      <c r="BO230" s="179" t="n"/>
      <c r="BP230" s="179" t="n"/>
      <c r="BQ230" s="179" t="n"/>
      <c r="BR230" s="179" t="n"/>
      <c r="BS230" s="179" t="n"/>
      <c r="BT230" s="179" t="n"/>
      <c r="BU230" s="320" t="n"/>
      <c r="BV230" s="179" t="n"/>
      <c r="BW230" s="179" t="n"/>
      <c r="BX230" s="179" t="n"/>
      <c r="BY230" s="179" t="n"/>
      <c r="BZ230" s="179" t="n"/>
      <c r="CA230" s="124" t="n"/>
      <c r="CB230" s="179" t="n"/>
      <c r="CC230" s="179" t="n"/>
      <c r="CD230" s="179" t="n"/>
      <c r="CE230" s="179" t="n"/>
      <c r="CF230" s="179" t="n"/>
      <c r="CG230" s="179" t="n"/>
      <c r="CH230" s="179" t="n"/>
      <c r="CI230" s="179" t="n"/>
      <c r="CJ230" s="179" t="n"/>
      <c r="CK230" s="179" t="n"/>
      <c r="CL230" s="179" t="n"/>
      <c r="CM230" s="179" t="n"/>
      <c r="CN230" s="179" t="n"/>
      <c r="CO230" s="170" t="n"/>
      <c r="CP230" s="179" t="n"/>
      <c r="CQ230" s="179" t="n"/>
      <c r="CR230" s="170" t="n"/>
      <c r="CS230" s="155" t="n"/>
      <c r="CT230" s="155" t="n"/>
      <c r="CU230" s="177">
        <f>(BB230* AB230)+(BD230* AC230)+(BF230* AC230)+(S230+T230+U230+V230+W230+X230+Y230+Z230)</f>
        <v/>
      </c>
      <c r="CV230" s="177">
        <f>CU230-O230</f>
        <v/>
      </c>
      <c r="CW230" s="325" t="n"/>
    </row>
    <row r="231" ht="19.9" customFormat="1" customHeight="1" s="67">
      <c r="A231" s="139" t="n"/>
      <c r="B231" s="66" t="n">
        <v>10036951674</v>
      </c>
      <c r="C231" s="139" t="inlineStr">
        <is>
          <t>LAURI POOZ</t>
        </is>
      </c>
      <c r="D231" s="140" t="inlineStr">
        <is>
          <t>ÁGUA FRIA GO</t>
        </is>
      </c>
      <c r="E231" s="140" t="n"/>
      <c r="F231" s="141" t="n"/>
      <c r="G231" s="334" t="n"/>
      <c r="H231" s="143" t="n"/>
      <c r="I231" s="140" t="n"/>
      <c r="J231" s="144" t="n"/>
      <c r="K231" s="66" t="n"/>
      <c r="L231" s="140" t="n"/>
      <c r="M231" s="145" t="inlineStr">
        <is>
          <t>Abril/2023</t>
        </is>
      </c>
      <c r="N231" s="145" t="inlineStr">
        <is>
          <t>01/04/2023 a 01/05/2023</t>
        </is>
      </c>
      <c r="O231" s="331" t="n"/>
      <c r="P231" s="331" t="n"/>
      <c r="Q231" s="331" t="n"/>
      <c r="R231" s="147" t="n"/>
      <c r="S231" s="331" t="n"/>
      <c r="T231" s="331" t="n"/>
      <c r="U231" s="331" t="n"/>
      <c r="V231" s="331" t="n"/>
      <c r="W231" s="331" t="n"/>
      <c r="X231" s="331" t="n"/>
      <c r="Y231" s="331" t="n"/>
      <c r="Z231" s="331" t="n"/>
      <c r="AA231" s="331" t="n"/>
      <c r="AB231" s="332" t="n"/>
      <c r="AC231" s="332" t="n"/>
      <c r="AD231" s="143" t="n"/>
      <c r="AE231" s="173" t="n"/>
      <c r="AF231" s="143" t="n"/>
      <c r="AG231" s="143">
        <f>SUM(AD231:AF231)</f>
        <v/>
      </c>
      <c r="AH231" s="143">
        <f>(AD231*AB231)+((AE231+AF231)*AC231)</f>
        <v/>
      </c>
      <c r="AI231" s="143">
        <f>AD231-AS231</f>
        <v/>
      </c>
      <c r="AJ231" s="143">
        <f>AE231-AT231</f>
        <v/>
      </c>
      <c r="AK231" s="143">
        <f>AF231-AU231</f>
        <v/>
      </c>
      <c r="AL231" s="208">
        <f>SUM(AI231:AK231)</f>
        <v/>
      </c>
      <c r="AM231" s="336">
        <f>(AI231*AB231)+((AJ231+AK231)*AC231)</f>
        <v/>
      </c>
      <c r="AN231" s="155" t="n">
        <v>566.35</v>
      </c>
      <c r="AO231" s="155" t="n">
        <v>10178.25</v>
      </c>
      <c r="AP231" s="155" t="n">
        <v>1623.6</v>
      </c>
      <c r="AQ231" s="143">
        <f>SUM(AN231:AP231)</f>
        <v/>
      </c>
      <c r="AR231" s="331">
        <f>(AN231*AB231)+((AO231+AP231)*AC231)</f>
        <v/>
      </c>
      <c r="AS231" s="155" t="n">
        <v>0</v>
      </c>
      <c r="AT231" s="155" t="n">
        <v>0</v>
      </c>
      <c r="AU231" s="155" t="n">
        <v>0</v>
      </c>
      <c r="AV231" s="124">
        <f>SUM(AS231:AU231)</f>
        <v/>
      </c>
      <c r="AW231" s="155" t="n"/>
      <c r="AX231" s="155" t="n"/>
      <c r="AY231" s="155" t="n"/>
      <c r="AZ231" s="124">
        <f>SUM(AW231:AY231)</f>
        <v/>
      </c>
      <c r="BA231" s="335">
        <f>(AW231*AB231)+((AX231+AY231)*AC231)</f>
        <v/>
      </c>
      <c r="BB231" s="122">
        <f>AN231-AW231</f>
        <v/>
      </c>
      <c r="BC231" s="141">
        <f>BB231*AB231</f>
        <v/>
      </c>
      <c r="BD231" s="122">
        <f>AO231-AX231</f>
        <v/>
      </c>
      <c r="BE231" s="122">
        <f>BD231*AC231</f>
        <v/>
      </c>
      <c r="BF231" s="122">
        <f>AP231-AY231</f>
        <v/>
      </c>
      <c r="BG231" s="122">
        <f>BF231*AC231</f>
        <v/>
      </c>
      <c r="BH231" s="122">
        <f>BB231+BD231+BF231</f>
        <v/>
      </c>
      <c r="BI231" s="122">
        <f>BC231+BE231+BG231</f>
        <v/>
      </c>
      <c r="BJ231" s="324">
        <f>BL231+BS231+BV231+BY231+CB231+CE231+CH231+CK231</f>
        <v/>
      </c>
      <c r="BK231" s="320">
        <f>((AI231+AW231)*AB231)+((AJ231+AK231+AX231+AY231)*AC231)</f>
        <v/>
      </c>
      <c r="BL231" s="132">
        <f>BM231+BN231+AL231</f>
        <v/>
      </c>
      <c r="BM231" s="133">
        <f>AW231</f>
        <v/>
      </c>
      <c r="BN231" s="133">
        <f>AX231+AY231</f>
        <v/>
      </c>
      <c r="BO231" s="179" t="n"/>
      <c r="BP231" s="179" t="n"/>
      <c r="BQ231" s="179" t="n"/>
      <c r="BR231" s="179" t="n"/>
      <c r="BS231" s="179" t="n"/>
      <c r="BT231" s="179" t="n"/>
      <c r="BU231" s="320" t="n"/>
      <c r="BV231" s="179" t="n"/>
      <c r="BW231" s="179" t="n"/>
      <c r="BX231" s="179" t="n"/>
      <c r="BY231" s="179" t="n"/>
      <c r="BZ231" s="179" t="n"/>
      <c r="CA231" s="124" t="n"/>
      <c r="CB231" s="179" t="n"/>
      <c r="CC231" s="179" t="n"/>
      <c r="CD231" s="179" t="n"/>
      <c r="CE231" s="179" t="n"/>
      <c r="CF231" s="179" t="n"/>
      <c r="CG231" s="179" t="n"/>
      <c r="CH231" s="179" t="n"/>
      <c r="CI231" s="179" t="n"/>
      <c r="CJ231" s="179" t="n"/>
      <c r="CK231" s="179" t="n"/>
      <c r="CL231" s="179" t="n"/>
      <c r="CM231" s="179" t="n"/>
      <c r="CN231" s="179" t="n"/>
      <c r="CO231" s="170" t="n"/>
      <c r="CP231" s="179" t="n"/>
      <c r="CQ231" s="179" t="n"/>
      <c r="CR231" s="170" t="n"/>
      <c r="CS231" s="155" t="n"/>
      <c r="CT231" s="155" t="n"/>
      <c r="CU231" s="177">
        <f>(BB231* AB231)+(BD231* AC231)+(BF231* AC231)+(S231+T231+U231+V231+W231+X231+Y231+Z231)</f>
        <v/>
      </c>
      <c r="CV231" s="177">
        <f>CU231-O231</f>
        <v/>
      </c>
      <c r="CW231" s="325" t="n"/>
    </row>
    <row r="232" ht="19.9" customFormat="1" customHeight="1" s="67">
      <c r="A232" s="120" t="n"/>
      <c r="B232" s="65" t="n">
        <v>10036951674</v>
      </c>
      <c r="C232" s="120" t="inlineStr">
        <is>
          <t>LAURI POOZ</t>
        </is>
      </c>
      <c r="D232" s="121" t="inlineStr">
        <is>
          <t>ÁGUA FRIA GO</t>
        </is>
      </c>
      <c r="E232" s="121" t="n"/>
      <c r="F232" s="122" t="n"/>
      <c r="G232" s="320" t="n"/>
      <c r="H232" s="124" t="n"/>
      <c r="I232" s="121" t="n"/>
      <c r="J232" s="125" t="n"/>
      <c r="K232" s="65" t="n"/>
      <c r="L232" s="121" t="n"/>
      <c r="M232" s="126" t="inlineStr">
        <is>
          <t>Maio/2023</t>
        </is>
      </c>
      <c r="N232" s="126" t="inlineStr">
        <is>
          <t>01/05/2023 a 01/06/2023</t>
        </is>
      </c>
      <c r="O232" s="321" t="n"/>
      <c r="P232" s="321" t="n"/>
      <c r="Q232" s="321" t="n"/>
      <c r="R232" s="207" t="n"/>
      <c r="S232" s="321" t="n"/>
      <c r="T232" s="321" t="n"/>
      <c r="U232" s="321" t="n"/>
      <c r="V232" s="321" t="n"/>
      <c r="W232" s="321" t="n"/>
      <c r="X232" s="321" t="n"/>
      <c r="Y232" s="321" t="n"/>
      <c r="Z232" s="321" t="n"/>
      <c r="AA232" s="321" t="n"/>
      <c r="AB232" s="322" t="n"/>
      <c r="AC232" s="322" t="n"/>
      <c r="AD232" s="124" t="n"/>
      <c r="AE232" s="124" t="n"/>
      <c r="AF232" s="124" t="n"/>
      <c r="AG232" s="124">
        <f>SUM(AD232:AF232)</f>
        <v/>
      </c>
      <c r="AH232" s="124">
        <f>(AD232*AB232)+((AE232+AF232)*AC232)</f>
        <v/>
      </c>
      <c r="AI232" s="124">
        <f>AD232-AS232</f>
        <v/>
      </c>
      <c r="AJ232" s="124">
        <f>AE232-AT232</f>
        <v/>
      </c>
      <c r="AK232" s="124">
        <f>AF232-AU232</f>
        <v/>
      </c>
      <c r="AL232" s="210">
        <f>SUM(AI232:AK232)</f>
        <v/>
      </c>
      <c r="AM232" s="337">
        <f>(AI232*AB232)+((AJ232+AK232)*AC232)</f>
        <v/>
      </c>
      <c r="AN232" s="155" t="n">
        <v>185.06</v>
      </c>
      <c r="AO232" s="155" t="n">
        <v>464.94</v>
      </c>
      <c r="AP232" s="155" t="n">
        <v>8900.280000000001</v>
      </c>
      <c r="AQ232" s="143">
        <f>SUM(AN232:AP232)</f>
        <v/>
      </c>
      <c r="AR232" s="331">
        <f>(AN232*AB232)+((AO232+AP232)*AC232)</f>
        <v/>
      </c>
      <c r="AS232" s="155" t="n">
        <v>725.24</v>
      </c>
      <c r="AT232" s="155" t="n">
        <v>1850.94</v>
      </c>
      <c r="AU232" s="155" t="n">
        <v>1441.44</v>
      </c>
      <c r="AV232" s="124">
        <f>SUM(AS232:AU232)</f>
        <v/>
      </c>
      <c r="AW232" s="155" t="n"/>
      <c r="AX232" s="155" t="n"/>
      <c r="AY232" s="155" t="n"/>
      <c r="AZ232" s="124">
        <f>SUM(AW232:AY232)</f>
        <v/>
      </c>
      <c r="BA232" s="335">
        <f>(AW232*AB232)+((AX232+AY232)*AC232)</f>
        <v/>
      </c>
      <c r="BB232" s="122">
        <f>AN232-AW232</f>
        <v/>
      </c>
      <c r="BC232" s="141">
        <f>BB232*AB232</f>
        <v/>
      </c>
      <c r="BD232" s="122">
        <f>AO232-AX232</f>
        <v/>
      </c>
      <c r="BE232" s="122">
        <f>BD232*AC232</f>
        <v/>
      </c>
      <c r="BF232" s="122">
        <f>AP232-AY232</f>
        <v/>
      </c>
      <c r="BG232" s="122">
        <f>BF232*AC232</f>
        <v/>
      </c>
      <c r="BH232" s="122">
        <f>BB232+BD232+BF232</f>
        <v/>
      </c>
      <c r="BI232" s="122">
        <f>BC232+BE232+BG232</f>
        <v/>
      </c>
      <c r="BJ232" s="324">
        <f>BL232+BS232+BV232+BY232+CB232+CE232+CH232+CK232</f>
        <v/>
      </c>
      <c r="BK232" s="320">
        <f>((AI232+AW232)*AB232)+((AJ232+AK232+AX232+AY232)*AC232)</f>
        <v/>
      </c>
      <c r="BL232" s="132">
        <f>BM232+BN232+AL232</f>
        <v/>
      </c>
      <c r="BM232" s="133">
        <f>AW232</f>
        <v/>
      </c>
      <c r="BN232" s="133">
        <f>AX232+AY232</f>
        <v/>
      </c>
      <c r="BO232" s="179" t="n"/>
      <c r="BP232" s="179" t="n"/>
      <c r="BQ232" s="179" t="n"/>
      <c r="BR232" s="179" t="n"/>
      <c r="BS232" s="179" t="n"/>
      <c r="BT232" s="179" t="n"/>
      <c r="BU232" s="320" t="n"/>
      <c r="BV232" s="179" t="n"/>
      <c r="BW232" s="179" t="n"/>
      <c r="BX232" s="179" t="n"/>
      <c r="BY232" s="179" t="n"/>
      <c r="BZ232" s="179" t="n"/>
      <c r="CA232" s="124" t="n"/>
      <c r="CB232" s="179" t="n"/>
      <c r="CC232" s="179" t="n"/>
      <c r="CD232" s="179" t="n"/>
      <c r="CE232" s="179" t="n"/>
      <c r="CF232" s="179" t="n"/>
      <c r="CG232" s="179" t="n"/>
      <c r="CH232" s="179" t="n"/>
      <c r="CI232" s="179" t="n"/>
      <c r="CJ232" s="179" t="n"/>
      <c r="CK232" s="179" t="n"/>
      <c r="CL232" s="179" t="n"/>
      <c r="CM232" s="179" t="n"/>
      <c r="CN232" s="179" t="n"/>
      <c r="CO232" s="170" t="n"/>
      <c r="CP232" s="179" t="n"/>
      <c r="CQ232" s="179" t="n"/>
      <c r="CR232" s="170" t="n"/>
      <c r="CS232" s="155" t="n"/>
      <c r="CT232" s="155" t="n"/>
      <c r="CU232" s="177">
        <f>(BB232* AB232)+(BD232* AC232)+(BF232* AC232)+(S232+T232+U232+V232+W232+X232+Y232+Z232)</f>
        <v/>
      </c>
      <c r="CV232" s="177">
        <f>CU232-O232</f>
        <v/>
      </c>
      <c r="CW232" s="325" t="n"/>
    </row>
    <row r="233" ht="19.9" customFormat="1" customHeight="1" s="67">
      <c r="A233" s="233" t="n"/>
      <c r="B233" s="66" t="n">
        <v>10036951674</v>
      </c>
      <c r="C233" s="233" t="inlineStr">
        <is>
          <t>LAURI POOZ</t>
        </is>
      </c>
      <c r="D233" s="140" t="inlineStr">
        <is>
          <t>ÁGUA FRIA GO</t>
        </is>
      </c>
      <c r="E233" s="140" t="n"/>
      <c r="F233" s="141" t="n"/>
      <c r="G233" s="334" t="n"/>
      <c r="H233" s="143" t="n"/>
      <c r="I233" s="140" t="n"/>
      <c r="J233" s="144" t="n"/>
      <c r="K233" s="66" t="n"/>
      <c r="L233" s="140" t="n"/>
      <c r="M233" s="145" t="inlineStr">
        <is>
          <t>Junho/2023</t>
        </is>
      </c>
      <c r="N233" s="145" t="inlineStr">
        <is>
          <t>01/06/2023 a 01/07/2023</t>
        </is>
      </c>
      <c r="O233" s="331" t="n"/>
      <c r="P233" s="331" t="n"/>
      <c r="Q233" s="331" t="n"/>
      <c r="R233" s="147" t="n"/>
      <c r="S233" s="331" t="n"/>
      <c r="T233" s="331" t="n"/>
      <c r="U233" s="331" t="n"/>
      <c r="V233" s="331" t="n"/>
      <c r="W233" s="331" t="n"/>
      <c r="X233" s="331" t="n"/>
      <c r="Y233" s="331" t="n"/>
      <c r="Z233" s="331" t="n"/>
      <c r="AA233" s="331" t="n"/>
      <c r="AB233" s="332" t="n"/>
      <c r="AC233" s="332" t="n"/>
      <c r="AD233" s="143" t="n"/>
      <c r="AE233" s="173" t="n"/>
      <c r="AF233" s="143" t="n"/>
      <c r="AG233" s="143">
        <f>SUM(AD233:AF233)</f>
        <v/>
      </c>
      <c r="AH233" s="143">
        <f>(AD233*AB233)+((AE233+AF233)*AC233)</f>
        <v/>
      </c>
      <c r="AI233" s="143">
        <f>AD233-AS233</f>
        <v/>
      </c>
      <c r="AJ233" s="143">
        <f>AE233-AT233</f>
        <v/>
      </c>
      <c r="AK233" s="143">
        <f>AF233-AU233</f>
        <v/>
      </c>
      <c r="AL233" s="208">
        <f>SUM(AI233:AK233)</f>
        <v/>
      </c>
      <c r="AM233" s="336">
        <f>(AI233*AB233)+((AJ233+AK233)*AC233)</f>
        <v/>
      </c>
      <c r="AN233" s="155" t="n">
        <v>77.73999999999999</v>
      </c>
      <c r="AO233" s="155" t="n">
        <v>8777.280000000001</v>
      </c>
      <c r="AP233" s="155" t="n">
        <v>34.44</v>
      </c>
      <c r="AQ233" s="143">
        <f>SUM(AN233:AP233)</f>
        <v/>
      </c>
      <c r="AR233" s="331">
        <f>(AN233*AB233)+((AO233+AP233)*AC233)</f>
        <v/>
      </c>
      <c r="AS233" s="155" t="n">
        <v>566.08</v>
      </c>
      <c r="AT233" s="155" t="n">
        <v>2566.98</v>
      </c>
      <c r="AU233" s="155" t="n">
        <v>1189.89</v>
      </c>
      <c r="AV233" s="124">
        <f>SUM(AS233:AU233)</f>
        <v/>
      </c>
      <c r="AW233" s="155" t="n"/>
      <c r="AX233" s="155" t="n"/>
      <c r="AY233" s="155" t="n"/>
      <c r="AZ233" s="124">
        <f>SUM(AW233:AY233)</f>
        <v/>
      </c>
      <c r="BA233" s="335">
        <f>(AW233*AB233)+((AX233+AY233)*AC233)</f>
        <v/>
      </c>
      <c r="BB233" s="122">
        <f>AN233-AW233</f>
        <v/>
      </c>
      <c r="BC233" s="141">
        <f>BB233*AB233</f>
        <v/>
      </c>
      <c r="BD233" s="122">
        <f>AO233-AX233</f>
        <v/>
      </c>
      <c r="BE233" s="122">
        <f>BD233*AC233</f>
        <v/>
      </c>
      <c r="BF233" s="122">
        <f>AP233-AY233</f>
        <v/>
      </c>
      <c r="BG233" s="122">
        <f>BF233*AC233</f>
        <v/>
      </c>
      <c r="BH233" s="122">
        <f>BB233+BD233+BF233</f>
        <v/>
      </c>
      <c r="BI233" s="122">
        <f>BC233+BE233+BG233</f>
        <v/>
      </c>
      <c r="BJ233" s="324">
        <f>BL233+BS233+BV233+BY233+CB233+CE233+CH233+CK233</f>
        <v/>
      </c>
      <c r="BK233" s="320">
        <f>((AI233+AW233)*AB233)+((AJ233+AK233+AX233+AY233)*AC233)</f>
        <v/>
      </c>
      <c r="BL233" s="132">
        <f>BM233+BN233+AL233</f>
        <v/>
      </c>
      <c r="BM233" s="133">
        <f>AW233</f>
        <v/>
      </c>
      <c r="BN233" s="133">
        <f>AX233+AY233</f>
        <v/>
      </c>
      <c r="BO233" s="179" t="n"/>
      <c r="BP233" s="179" t="n"/>
      <c r="BQ233" s="179" t="n"/>
      <c r="BR233" s="179" t="n"/>
      <c r="BS233" s="179" t="n"/>
      <c r="BT233" s="179" t="n"/>
      <c r="BU233" s="320" t="n"/>
      <c r="BV233" s="179" t="n"/>
      <c r="BW233" s="179" t="n"/>
      <c r="BX233" s="179" t="n"/>
      <c r="BY233" s="179" t="n"/>
      <c r="BZ233" s="179" t="n"/>
      <c r="CA233" s="124" t="n"/>
      <c r="CB233" s="179" t="n"/>
      <c r="CC233" s="179" t="n"/>
      <c r="CD233" s="179" t="n"/>
      <c r="CE233" s="179" t="n"/>
      <c r="CF233" s="179" t="n"/>
      <c r="CG233" s="179" t="n"/>
      <c r="CH233" s="179" t="n"/>
      <c r="CI233" s="179" t="n"/>
      <c r="CJ233" s="179" t="n"/>
      <c r="CK233" s="179" t="n"/>
      <c r="CL233" s="179" t="n"/>
      <c r="CM233" s="179" t="n"/>
      <c r="CN233" s="179" t="n"/>
      <c r="CO233" s="170" t="n"/>
      <c r="CP233" s="179" t="n"/>
      <c r="CQ233" s="179" t="n"/>
      <c r="CR233" s="170" t="n"/>
      <c r="CS233" s="155" t="n"/>
      <c r="CT233" s="155" t="n"/>
      <c r="CU233" s="177">
        <f>(BB233* AB233)+(BD233* AC233)+(BF233* AC233)+(S233+T233+U233+V233+W233+X233+Y233+Z233)</f>
        <v/>
      </c>
      <c r="CV233" s="177">
        <f>CU233-O233</f>
        <v/>
      </c>
      <c r="CW233" s="325" t="n"/>
    </row>
    <row r="234" ht="19.9" customFormat="1" customHeight="1" s="67">
      <c r="A234" s="120" t="n"/>
      <c r="B234" s="65" t="n">
        <v>10036951674</v>
      </c>
      <c r="C234" s="120" t="inlineStr">
        <is>
          <t>LAURI POOZ</t>
        </is>
      </c>
      <c r="D234" s="121" t="inlineStr">
        <is>
          <t>ÁGUA FRIA GO</t>
        </is>
      </c>
      <c r="E234" s="121" t="n"/>
      <c r="F234" s="122" t="n"/>
      <c r="G234" s="320" t="n"/>
      <c r="H234" s="124" t="n"/>
      <c r="I234" s="121" t="n"/>
      <c r="J234" s="125" t="n"/>
      <c r="K234" s="65" t="n"/>
      <c r="L234" s="121" t="n"/>
      <c r="M234" s="126" t="inlineStr">
        <is>
          <t>Julho/2023</t>
        </is>
      </c>
      <c r="N234" s="126" t="inlineStr">
        <is>
          <t>01/07/2023 a 01/08/2023</t>
        </is>
      </c>
      <c r="O234" s="321" t="n"/>
      <c r="P234" s="321" t="n"/>
      <c r="Q234" s="321" t="n"/>
      <c r="R234" s="207" t="n"/>
      <c r="S234" s="321" t="n"/>
      <c r="T234" s="321" t="n"/>
      <c r="U234" s="321" t="n"/>
      <c r="V234" s="321" t="n"/>
      <c r="W234" s="321" t="n"/>
      <c r="X234" s="321" t="n"/>
      <c r="Y234" s="321" t="n"/>
      <c r="Z234" s="321" t="n"/>
      <c r="AA234" s="321" t="n"/>
      <c r="AB234" s="322" t="n"/>
      <c r="AC234" s="322" t="n"/>
      <c r="AD234" s="124" t="n"/>
      <c r="AE234" s="124" t="n"/>
      <c r="AF234" s="124" t="n"/>
      <c r="AG234" s="124">
        <f>SUM(AD234:AF234)</f>
        <v/>
      </c>
      <c r="AH234" s="124">
        <f>(AD234*AB234)+((AE234+AF234)*AC234)</f>
        <v/>
      </c>
      <c r="AI234" s="124">
        <f>AD234-AS234</f>
        <v/>
      </c>
      <c r="AJ234" s="124">
        <f>AE234-AT234</f>
        <v/>
      </c>
      <c r="AK234" s="124">
        <f>AF234-AU234</f>
        <v/>
      </c>
      <c r="AL234" s="210">
        <f>SUM(AI234:AK234)</f>
        <v/>
      </c>
      <c r="AM234" s="337">
        <f>(AI234*AB234)+((AJ234+AK234)*AC234)</f>
        <v/>
      </c>
      <c r="AN234" s="155" t="n">
        <v>1937.32</v>
      </c>
      <c r="AO234" s="155" t="n">
        <v>4998.72</v>
      </c>
      <c r="AP234" s="155" t="n">
        <v>1509.21</v>
      </c>
      <c r="AQ234" s="143">
        <f>SUM(AN234:AP234)</f>
        <v/>
      </c>
      <c r="AR234" s="331">
        <f>(AN234*AB234)+((AO234+AP234)*AC234)</f>
        <v/>
      </c>
      <c r="AS234" s="155" t="n">
        <v>0</v>
      </c>
      <c r="AT234" s="155" t="n">
        <v>8541.41</v>
      </c>
      <c r="AU234" s="155" t="n">
        <v>0</v>
      </c>
      <c r="AV234" s="124">
        <f>SUM(AS234:AU234)</f>
        <v/>
      </c>
      <c r="AW234" s="155" t="n"/>
      <c r="AX234" s="155" t="n"/>
      <c r="AY234" s="155" t="n"/>
      <c r="AZ234" s="124">
        <f>SUM(AW234:AY234)</f>
        <v/>
      </c>
      <c r="BA234" s="335">
        <f>(AW234*AB234)+((AX234+AY234)*AC234)</f>
        <v/>
      </c>
      <c r="BB234" s="122">
        <f>AN234-AW234</f>
        <v/>
      </c>
      <c r="BC234" s="141">
        <f>BB234*AB234</f>
        <v/>
      </c>
      <c r="BD234" s="122">
        <f>AO234-AX234</f>
        <v/>
      </c>
      <c r="BE234" s="122">
        <f>BD234*AC234</f>
        <v/>
      </c>
      <c r="BF234" s="122">
        <f>AP234-AY234</f>
        <v/>
      </c>
      <c r="BG234" s="122">
        <f>BF234*AC234</f>
        <v/>
      </c>
      <c r="BH234" s="122">
        <f>BB234+BD234+BF234</f>
        <v/>
      </c>
      <c r="BI234" s="122">
        <f>BC234+BE234+BG234</f>
        <v/>
      </c>
      <c r="BJ234" s="324">
        <f>BL234+BS234+BV234+BY234+CB234+CE234+CH234+CK234</f>
        <v/>
      </c>
      <c r="BK234" s="320">
        <f>((AI234+AW234)*AB234)+((AJ234+AK234+AX234+AY234)*AC234)</f>
        <v/>
      </c>
      <c r="BL234" s="132">
        <f>BM234+BN234+AL234</f>
        <v/>
      </c>
      <c r="BM234" s="133">
        <f>AW234</f>
        <v/>
      </c>
      <c r="BN234" s="133">
        <f>AX234+AY234</f>
        <v/>
      </c>
      <c r="BO234" s="179" t="n"/>
      <c r="BP234" s="179" t="n"/>
      <c r="BQ234" s="179" t="n"/>
      <c r="BR234" s="179" t="n"/>
      <c r="BS234" s="179" t="n"/>
      <c r="BT234" s="179" t="n"/>
      <c r="BU234" s="320" t="n"/>
      <c r="BV234" s="179" t="n"/>
      <c r="BW234" s="179" t="n"/>
      <c r="BX234" s="179" t="n"/>
      <c r="BY234" s="179" t="n"/>
      <c r="BZ234" s="179" t="n"/>
      <c r="CA234" s="124" t="n"/>
      <c r="CB234" s="179" t="n"/>
      <c r="CC234" s="179" t="n"/>
      <c r="CD234" s="179" t="n"/>
      <c r="CE234" s="179" t="n"/>
      <c r="CF234" s="179" t="n"/>
      <c r="CG234" s="179" t="n"/>
      <c r="CH234" s="179" t="n"/>
      <c r="CI234" s="179" t="n"/>
      <c r="CJ234" s="179" t="n"/>
      <c r="CK234" s="179" t="n"/>
      <c r="CL234" s="179" t="n"/>
      <c r="CM234" s="179" t="n"/>
      <c r="CN234" s="179" t="n"/>
      <c r="CO234" s="170" t="n"/>
      <c r="CP234" s="179" t="n"/>
      <c r="CQ234" s="179" t="n"/>
      <c r="CR234" s="170" t="n"/>
      <c r="CS234" s="155" t="n"/>
      <c r="CT234" s="155" t="n"/>
      <c r="CU234" s="177">
        <f>(BB234* AB234)+(BD234* AC234)+(BF234* AC234)+(S234+T234+U234+V234+W234+X234+Y234+Z234)</f>
        <v/>
      </c>
      <c r="CV234" s="177">
        <f>CU234-O234</f>
        <v/>
      </c>
      <c r="CW234" s="325" t="n"/>
    </row>
    <row r="235" ht="19.9" customFormat="1" customHeight="1" s="67">
      <c r="A235" s="139" t="n"/>
      <c r="B235" s="66" t="n">
        <v>10036951674</v>
      </c>
      <c r="C235" s="139" t="inlineStr">
        <is>
          <t>LAURI POOZ</t>
        </is>
      </c>
      <c r="D235" s="140" t="inlineStr">
        <is>
          <t>ÁGUA FRIA GO</t>
        </is>
      </c>
      <c r="E235" s="140" t="n"/>
      <c r="F235" s="141" t="n"/>
      <c r="G235" s="334" t="n"/>
      <c r="H235" s="143" t="n"/>
      <c r="I235" s="140" t="n"/>
      <c r="J235" s="144" t="n"/>
      <c r="K235" s="66" t="n"/>
      <c r="L235" s="140" t="n"/>
      <c r="M235" s="145" t="inlineStr">
        <is>
          <t>Agosto/2023</t>
        </is>
      </c>
      <c r="N235" s="145" t="inlineStr">
        <is>
          <t>01/08/2023 a 01/09/2023</t>
        </is>
      </c>
      <c r="O235" s="331" t="n"/>
      <c r="P235" s="331" t="n"/>
      <c r="Q235" s="331" t="n"/>
      <c r="R235" s="147" t="n"/>
      <c r="S235" s="331" t="n"/>
      <c r="T235" s="331" t="n"/>
      <c r="U235" s="331" t="n"/>
      <c r="V235" s="331" t="n"/>
      <c r="W235" s="331" t="n"/>
      <c r="X235" s="331" t="n"/>
      <c r="Y235" s="331" t="n"/>
      <c r="Z235" s="331" t="n"/>
      <c r="AA235" s="331" t="n"/>
      <c r="AB235" s="332" t="n"/>
      <c r="AC235" s="332" t="n"/>
      <c r="AD235" s="143" t="n"/>
      <c r="AE235" s="173" t="n"/>
      <c r="AF235" s="143" t="n"/>
      <c r="AG235" s="143">
        <f>SUM(AD235:AF235)</f>
        <v/>
      </c>
      <c r="AH235" s="143">
        <f>(AD235*AB235)+((AE235+AF235)*AC235)</f>
        <v/>
      </c>
      <c r="AI235" s="143">
        <f>AD235-AS235</f>
        <v/>
      </c>
      <c r="AJ235" s="143">
        <f>AE235-AT235</f>
        <v/>
      </c>
      <c r="AK235" s="143">
        <f>AF235-AU235</f>
        <v/>
      </c>
      <c r="AL235" s="208">
        <f>SUM(AI235:AK235)</f>
        <v/>
      </c>
      <c r="AM235" s="336">
        <f>(AI235*AB235)+((AJ235+AK235)*AC235)</f>
        <v/>
      </c>
      <c r="AN235" s="155" t="n">
        <v>1184.64</v>
      </c>
      <c r="AO235" s="155" t="n">
        <v>2853.6</v>
      </c>
      <c r="AP235" s="155" t="n">
        <v>1407.12</v>
      </c>
      <c r="AQ235" s="143">
        <f>SUM(AN235:AP235)</f>
        <v/>
      </c>
      <c r="AR235" s="331">
        <f>(AN235*AB235)+((AO235+AP235)*AC235)</f>
        <v/>
      </c>
      <c r="AS235" s="155" t="n">
        <v>0</v>
      </c>
      <c r="AT235" s="155" t="n">
        <v>11312.73</v>
      </c>
      <c r="AU235" s="155" t="n">
        <v>0</v>
      </c>
      <c r="AV235" s="124">
        <f>SUM(AS235:AU235)</f>
        <v/>
      </c>
      <c r="AW235" s="155" t="n"/>
      <c r="AX235" s="155" t="n"/>
      <c r="AY235" s="155" t="n"/>
      <c r="AZ235" s="124">
        <f>SUM(AW235:AY235)</f>
        <v/>
      </c>
      <c r="BA235" s="335">
        <f>(AW235*AB235)+((AX235+AY235)*AC235)</f>
        <v/>
      </c>
      <c r="BB235" s="122">
        <f>AN235-AW235</f>
        <v/>
      </c>
      <c r="BC235" s="141">
        <f>BB235*AB235</f>
        <v/>
      </c>
      <c r="BD235" s="122">
        <f>AO235-AX235</f>
        <v/>
      </c>
      <c r="BE235" s="122">
        <f>BD235*AC235</f>
        <v/>
      </c>
      <c r="BF235" s="122">
        <f>AP235-AY235</f>
        <v/>
      </c>
      <c r="BG235" s="122">
        <f>BF235*AC235</f>
        <v/>
      </c>
      <c r="BH235" s="122">
        <f>BB235+BD235+BF235</f>
        <v/>
      </c>
      <c r="BI235" s="122">
        <f>BC235+BE235+BG235</f>
        <v/>
      </c>
      <c r="BJ235" s="324">
        <f>BL235+BS235+BV235+BY235+CB235+CE235+CH235+CK235</f>
        <v/>
      </c>
      <c r="BK235" s="320">
        <f>((AI235+AW235)*AB235)+((AJ235+AK235+AX235+AY235)*AC235)</f>
        <v/>
      </c>
      <c r="BL235" s="132">
        <f>BM235+BN235+AL235</f>
        <v/>
      </c>
      <c r="BM235" s="133">
        <f>AW235</f>
        <v/>
      </c>
      <c r="BN235" s="133">
        <f>AX235+AY235</f>
        <v/>
      </c>
      <c r="BO235" s="179" t="n"/>
      <c r="BP235" s="179" t="n"/>
      <c r="BQ235" s="179" t="n"/>
      <c r="BR235" s="179" t="n"/>
      <c r="BS235" s="179" t="n"/>
      <c r="BT235" s="179" t="n"/>
      <c r="BU235" s="320" t="n"/>
      <c r="BV235" s="179" t="n"/>
      <c r="BW235" s="179" t="n"/>
      <c r="BX235" s="179" t="n"/>
      <c r="BY235" s="179" t="n"/>
      <c r="BZ235" s="179" t="n"/>
      <c r="CA235" s="124" t="n"/>
      <c r="CB235" s="179" t="n"/>
      <c r="CC235" s="179" t="n"/>
      <c r="CD235" s="179" t="n"/>
      <c r="CE235" s="179" t="n"/>
      <c r="CF235" s="179" t="n"/>
      <c r="CG235" s="179" t="n"/>
      <c r="CH235" s="179" t="n"/>
      <c r="CI235" s="179" t="n"/>
      <c r="CJ235" s="179" t="n"/>
      <c r="CK235" s="179" t="n"/>
      <c r="CL235" s="179" t="n"/>
      <c r="CM235" s="179" t="n"/>
      <c r="CN235" s="179" t="n"/>
      <c r="CO235" s="170" t="n"/>
      <c r="CP235" s="179" t="n"/>
      <c r="CQ235" s="179" t="n"/>
      <c r="CR235" s="170" t="n"/>
      <c r="CS235" s="155" t="n"/>
      <c r="CT235" s="155" t="n"/>
      <c r="CU235" s="177">
        <f>(BB235* AB235)+(BD235* AC235)+(BF235* AC235)+(S235+T235+U235+V235+W235+X235+Y235+Z235)</f>
        <v/>
      </c>
      <c r="CV235" s="177">
        <f>CU235-O235</f>
        <v/>
      </c>
      <c r="CW235" s="325" t="n"/>
    </row>
    <row r="236" ht="19.9" customFormat="1" customHeight="1" s="67">
      <c r="A236" s="120" t="n"/>
      <c r="B236" s="65" t="n">
        <v>10036951674</v>
      </c>
      <c r="C236" s="120" t="inlineStr">
        <is>
          <t>LAURI POOZ</t>
        </is>
      </c>
      <c r="D236" s="121" t="inlineStr">
        <is>
          <t>ÁGUA FRIA GO</t>
        </is>
      </c>
      <c r="E236" s="121" t="n"/>
      <c r="F236" s="122" t="n"/>
      <c r="G236" s="320" t="n"/>
      <c r="H236" s="124" t="n"/>
      <c r="I236" s="121" t="n"/>
      <c r="J236" s="125" t="n"/>
      <c r="K236" s="65" t="n"/>
      <c r="L236" s="121" t="n"/>
      <c r="M236" s="126" t="inlineStr">
        <is>
          <t>Setembro/2023</t>
        </is>
      </c>
      <c r="N236" s="126" t="inlineStr">
        <is>
          <t>01/09/2023 a 01/10/2023</t>
        </is>
      </c>
      <c r="O236" s="321" t="n"/>
      <c r="P236" s="321" t="n"/>
      <c r="Q236" s="321" t="n"/>
      <c r="R236" s="207" t="n"/>
      <c r="S236" s="321" t="n"/>
      <c r="T236" s="321" t="n"/>
      <c r="U236" s="321" t="n"/>
      <c r="V236" s="321" t="n"/>
      <c r="W236" s="321" t="n"/>
      <c r="X236" s="321" t="n"/>
      <c r="Y236" s="321" t="n"/>
      <c r="Z236" s="321" t="n"/>
      <c r="AA236" s="321" t="n"/>
      <c r="AB236" s="322" t="n"/>
      <c r="AC236" s="322" t="n"/>
      <c r="AD236" s="124" t="n"/>
      <c r="AE236" s="124" t="n"/>
      <c r="AF236" s="124" t="n"/>
      <c r="AG236" s="124">
        <f>SUM(AD236:AF236)</f>
        <v/>
      </c>
      <c r="AH236" s="124">
        <f>(AD236*AB236)+((AE236+AF236)*AC236)</f>
        <v/>
      </c>
      <c r="AI236" s="124">
        <f>AD236-AS236</f>
        <v/>
      </c>
      <c r="AJ236" s="124">
        <f>AE236-AT236</f>
        <v/>
      </c>
      <c r="AK236" s="124">
        <f>AF236-AU236</f>
        <v/>
      </c>
      <c r="AL236" s="210">
        <f>SUM(AI236:AK236)</f>
        <v/>
      </c>
      <c r="AM236" s="337">
        <f>(AI236*AB236)+((AJ236+AK236)*AC236)</f>
        <v/>
      </c>
      <c r="AN236" s="155" t="n">
        <v>621.5</v>
      </c>
      <c r="AO236" s="155" t="n">
        <v>1756.44</v>
      </c>
      <c r="AP236" s="155" t="n">
        <v>1603.92</v>
      </c>
      <c r="AQ236" s="143">
        <f>SUM(AN236:AP236)</f>
        <v/>
      </c>
      <c r="AR236" s="331">
        <f>(AN236*AB236)+((AO236+AP236)*AC236)</f>
        <v/>
      </c>
      <c r="AS236" s="155" t="n">
        <v>0</v>
      </c>
      <c r="AT236" s="155" t="n">
        <v>15489.63</v>
      </c>
      <c r="AU236" s="155" t="n"/>
      <c r="AV236" s="124">
        <f>SUM(AS236:AU236)</f>
        <v/>
      </c>
      <c r="AW236" s="155" t="n"/>
      <c r="AX236" s="155" t="n"/>
      <c r="AY236" s="155" t="n"/>
      <c r="AZ236" s="124">
        <f>SUM(AW236:AY236)</f>
        <v/>
      </c>
      <c r="BA236" s="335">
        <f>(AW236*AB236)+((AX236+AY236)*AC236)</f>
        <v/>
      </c>
      <c r="BB236" s="122">
        <f>AN236-AW236</f>
        <v/>
      </c>
      <c r="BC236" s="141">
        <f>BB236*AB236</f>
        <v/>
      </c>
      <c r="BD236" s="122">
        <f>AO236-AX236</f>
        <v/>
      </c>
      <c r="BE236" s="122">
        <f>BD236*AC236</f>
        <v/>
      </c>
      <c r="BF236" s="122">
        <f>AP236-AY236</f>
        <v/>
      </c>
      <c r="BG236" s="122">
        <f>BF236*AC236</f>
        <v/>
      </c>
      <c r="BH236" s="122">
        <f>BB236+BD236+BF236</f>
        <v/>
      </c>
      <c r="BI236" s="122">
        <f>BC236+BE236+BG236</f>
        <v/>
      </c>
      <c r="BJ236" s="324">
        <f>BL236+BS236+BV236+BY236+CB236+CE236+CH236+CK236</f>
        <v/>
      </c>
      <c r="BK236" s="320">
        <f>((AI236+AW236)*AB236)+((AJ236+AK236+AX236+AY236)*AC236)</f>
        <v/>
      </c>
      <c r="BL236" s="132">
        <f>BM236+BN236+AL236</f>
        <v/>
      </c>
      <c r="BM236" s="133">
        <f>AW236</f>
        <v/>
      </c>
      <c r="BN236" s="133">
        <f>AX236+AY236</f>
        <v/>
      </c>
      <c r="BO236" s="179" t="n"/>
      <c r="BP236" s="179" t="n"/>
      <c r="BQ236" s="179" t="n"/>
      <c r="BR236" s="179" t="n"/>
      <c r="BS236" s="179" t="n"/>
      <c r="BT236" s="179" t="n"/>
      <c r="BU236" s="320" t="n"/>
      <c r="BV236" s="179" t="n"/>
      <c r="BW236" s="179" t="n"/>
      <c r="BX236" s="179" t="n"/>
      <c r="BY236" s="179" t="n"/>
      <c r="BZ236" s="179" t="n"/>
      <c r="CA236" s="124" t="n"/>
      <c r="CB236" s="179" t="n"/>
      <c r="CC236" s="179" t="n"/>
      <c r="CD236" s="179" t="n"/>
      <c r="CE236" s="179" t="n"/>
      <c r="CF236" s="179" t="n"/>
      <c r="CG236" s="179" t="n"/>
      <c r="CH236" s="179" t="n"/>
      <c r="CI236" s="179" t="n"/>
      <c r="CJ236" s="179" t="n"/>
      <c r="CK236" s="179" t="n"/>
      <c r="CL236" s="179" t="n"/>
      <c r="CM236" s="179" t="n"/>
      <c r="CN236" s="179" t="n"/>
      <c r="CO236" s="170" t="n"/>
      <c r="CP236" s="179" t="n"/>
      <c r="CQ236" s="179" t="n"/>
      <c r="CR236" s="170" t="n"/>
      <c r="CS236" s="155" t="n"/>
      <c r="CT236" s="155" t="n"/>
      <c r="CU236" s="177">
        <f>(BB236* AB236)+(BD236* AC236)+(BF236* AC236)+(S236+T236+U236+V236+W236+X236+Y236+Z236)</f>
        <v/>
      </c>
      <c r="CV236" s="177">
        <f>CU236-O236</f>
        <v/>
      </c>
      <c r="CW236" s="325" t="n"/>
    </row>
    <row r="237" ht="19.9" customFormat="1" customHeight="1" s="67">
      <c r="A237" s="233" t="n"/>
      <c r="B237" s="66" t="n">
        <v>10036951674</v>
      </c>
      <c r="C237" s="233" t="inlineStr">
        <is>
          <t>LAURI POOZ</t>
        </is>
      </c>
      <c r="D237" s="140" t="inlineStr">
        <is>
          <t>ÁGUA FRIA GO</t>
        </is>
      </c>
      <c r="E237" s="140" t="n"/>
      <c r="F237" s="141" t="n"/>
      <c r="G237" s="334" t="n"/>
      <c r="H237" s="143" t="n"/>
      <c r="I237" s="140" t="n"/>
      <c r="J237" s="144" t="n"/>
      <c r="K237" s="66" t="n"/>
      <c r="L237" s="140" t="n"/>
      <c r="M237" s="145" t="inlineStr">
        <is>
          <t>Outubro/2023</t>
        </is>
      </c>
      <c r="N237" s="145" t="inlineStr">
        <is>
          <t>01/10/2023 a 01/11/2023</t>
        </is>
      </c>
      <c r="O237" s="331" t="n"/>
      <c r="P237" s="331" t="n"/>
      <c r="Q237" s="331" t="n"/>
      <c r="R237" s="147" t="n"/>
      <c r="S237" s="331" t="n"/>
      <c r="T237" s="331" t="n"/>
      <c r="U237" s="331" t="n"/>
      <c r="V237" s="331" t="n"/>
      <c r="W237" s="331" t="n"/>
      <c r="X237" s="331" t="n"/>
      <c r="Y237" s="331" t="n"/>
      <c r="Z237" s="331" t="n"/>
      <c r="AA237" s="331" t="n"/>
      <c r="AB237" s="332" t="n"/>
      <c r="AC237" s="332" t="n"/>
      <c r="AD237" s="143" t="n"/>
      <c r="AE237" s="173" t="n"/>
      <c r="AF237" s="143" t="n"/>
      <c r="AG237" s="143">
        <f>SUM(AD237:AF237)</f>
        <v/>
      </c>
      <c r="AH237" s="143">
        <f>(AD237*AB237)+((AE237+AF237)*AC237)</f>
        <v/>
      </c>
      <c r="AI237" s="143">
        <f>AD237-AS237</f>
        <v/>
      </c>
      <c r="AJ237" s="143">
        <f>AE237-AT237</f>
        <v/>
      </c>
      <c r="AK237" s="143">
        <f>AF237-AU237</f>
        <v/>
      </c>
      <c r="AL237" s="208">
        <f>SUM(AI237:AK237)</f>
        <v/>
      </c>
      <c r="AM237" s="336">
        <f>(AI237*AB237)+((AJ237+AK237)*AC237)</f>
        <v/>
      </c>
      <c r="AN237" s="155" t="n">
        <v>1247.82</v>
      </c>
      <c r="AO237" s="155" t="n">
        <v>3202.92</v>
      </c>
      <c r="AP237" s="155" t="n">
        <v>1506.75</v>
      </c>
      <c r="AQ237" s="143">
        <f>SUM(AN237:AP237)</f>
        <v/>
      </c>
      <c r="AR237" s="331">
        <f>(AN237*AB237)+((AO237+AP237)*AC237)</f>
        <v/>
      </c>
      <c r="AS237" s="155" t="n">
        <v>0</v>
      </c>
      <c r="AT237" s="155" t="n">
        <v>13401.18</v>
      </c>
      <c r="AU237" s="155" t="n">
        <v>0</v>
      </c>
      <c r="AV237" s="124">
        <f>SUM(AS237:AU237)</f>
        <v/>
      </c>
      <c r="AW237" s="155" t="n"/>
      <c r="AX237" s="155" t="n"/>
      <c r="AY237" s="155" t="n"/>
      <c r="AZ237" s="124">
        <f>SUM(AW237:AY237)</f>
        <v/>
      </c>
      <c r="BA237" s="335">
        <f>(AW237*AB237)+((AX237+AY237)*AC237)</f>
        <v/>
      </c>
      <c r="BB237" s="122">
        <f>AN237-AW237</f>
        <v/>
      </c>
      <c r="BC237" s="141">
        <f>BB237*AB237</f>
        <v/>
      </c>
      <c r="BD237" s="122">
        <f>AO237-AX237</f>
        <v/>
      </c>
      <c r="BE237" s="122">
        <f>BD237*AC237</f>
        <v/>
      </c>
      <c r="BF237" s="122">
        <f>AP237-AY237</f>
        <v/>
      </c>
      <c r="BG237" s="122">
        <f>BF237*AC237</f>
        <v/>
      </c>
      <c r="BH237" s="122">
        <f>BB237+BD237+BF237</f>
        <v/>
      </c>
      <c r="BI237" s="122">
        <f>BC237+BE237+BG237</f>
        <v/>
      </c>
      <c r="BJ237" s="324">
        <f>BL237+BS237+BV237+BY237+CB237+CE237+CH237+CK237</f>
        <v/>
      </c>
      <c r="BK237" s="320">
        <f>((AI237+AW237)*AB237)+((AJ237+AK237+AX237+AY237)*AC237)</f>
        <v/>
      </c>
      <c r="BL237" s="132">
        <f>BM237+BN237+AL237</f>
        <v/>
      </c>
      <c r="BM237" s="133">
        <f>AW237</f>
        <v/>
      </c>
      <c r="BN237" s="133">
        <f>AX237+AY237</f>
        <v/>
      </c>
      <c r="BO237" s="179" t="n"/>
      <c r="BP237" s="179" t="n"/>
      <c r="BQ237" s="179" t="n"/>
      <c r="BR237" s="179" t="n"/>
      <c r="BS237" s="179" t="n"/>
      <c r="BT237" s="179" t="n"/>
      <c r="BU237" s="320" t="n"/>
      <c r="BV237" s="179" t="n"/>
      <c r="BW237" s="179" t="n"/>
      <c r="BX237" s="179" t="n"/>
      <c r="BY237" s="179" t="n"/>
      <c r="BZ237" s="179" t="n"/>
      <c r="CA237" s="124" t="n"/>
      <c r="CB237" s="179" t="n"/>
      <c r="CC237" s="179" t="n"/>
      <c r="CD237" s="179" t="n"/>
      <c r="CE237" s="179" t="n"/>
      <c r="CF237" s="179" t="n"/>
      <c r="CG237" s="179" t="n"/>
      <c r="CH237" s="179" t="n"/>
      <c r="CI237" s="179" t="n"/>
      <c r="CJ237" s="179" t="n"/>
      <c r="CK237" s="179" t="n"/>
      <c r="CL237" s="179" t="n"/>
      <c r="CM237" s="179" t="n"/>
      <c r="CN237" s="179" t="n"/>
      <c r="CO237" s="170" t="n"/>
      <c r="CP237" s="179" t="n"/>
      <c r="CQ237" s="179" t="n"/>
      <c r="CR237" s="170" t="n"/>
      <c r="CS237" s="155" t="n"/>
      <c r="CT237" s="155" t="n"/>
      <c r="CU237" s="177">
        <f>(BB237* AB237)+(BD237* AC237)+(BF237* AC237)+(S237+T237+U237+V237+W237+X237+Y237+Z237)</f>
        <v/>
      </c>
      <c r="CV237" s="177">
        <f>CU237-O237</f>
        <v/>
      </c>
      <c r="CW237" s="325" t="n"/>
    </row>
    <row r="238" ht="19.9" customFormat="1" customHeight="1" s="67">
      <c r="A238" s="120" t="n"/>
      <c r="B238" s="65" t="n">
        <v>10036951674</v>
      </c>
      <c r="C238" s="120" t="inlineStr">
        <is>
          <t>LAURI POOZ</t>
        </is>
      </c>
      <c r="D238" s="121" t="inlineStr">
        <is>
          <t>ÁGUA FRIA GO</t>
        </is>
      </c>
      <c r="E238" s="121" t="n"/>
      <c r="F238" s="122" t="n"/>
      <c r="G238" s="320" t="n"/>
      <c r="H238" s="124" t="n"/>
      <c r="I238" s="121" t="n"/>
      <c r="J238" s="125" t="n"/>
      <c r="K238" s="65" t="n"/>
      <c r="L238" s="121" t="n"/>
      <c r="M238" s="126" t="inlineStr">
        <is>
          <t>Novembro/2023</t>
        </is>
      </c>
      <c r="N238" s="126" t="inlineStr">
        <is>
          <t>01/11/2023 a 01/12/2023</t>
        </is>
      </c>
      <c r="O238" s="321" t="n"/>
      <c r="P238" s="321" t="n"/>
      <c r="Q238" s="321" t="n"/>
      <c r="R238" s="207" t="n"/>
      <c r="S238" s="321" t="n"/>
      <c r="T238" s="321" t="n"/>
      <c r="U238" s="321" t="n"/>
      <c r="V238" s="321" t="n"/>
      <c r="W238" s="321" t="n"/>
      <c r="X238" s="321" t="n"/>
      <c r="Y238" s="321" t="n"/>
      <c r="Z238" s="321" t="n"/>
      <c r="AA238" s="321" t="n"/>
      <c r="AB238" s="322" t="n"/>
      <c r="AC238" s="322" t="n"/>
      <c r="AD238" s="124" t="n"/>
      <c r="AE238" s="124" t="n"/>
      <c r="AF238" s="124" t="n"/>
      <c r="AG238" s="124">
        <f>SUM(AD238:AF238)</f>
        <v/>
      </c>
      <c r="AH238" s="124">
        <f>(AD238*AB238)+((AE238+AF238)*AC238)</f>
        <v/>
      </c>
      <c r="AI238" s="124">
        <f>AD238-AS238</f>
        <v/>
      </c>
      <c r="AJ238" s="124">
        <f>AE238-AT238</f>
        <v/>
      </c>
      <c r="AK238" s="124">
        <f>AF238-AU238</f>
        <v/>
      </c>
      <c r="AL238" s="210">
        <f>SUM(AI238:AK238)</f>
        <v/>
      </c>
      <c r="AM238" s="337">
        <f>(AI238*AB238)+((AJ238+AK238)*AC238)</f>
        <v/>
      </c>
      <c r="AN238" s="155" t="n">
        <v>0</v>
      </c>
      <c r="AO238" s="155" t="n">
        <v>934.8</v>
      </c>
      <c r="AP238" s="155" t="n">
        <v>0</v>
      </c>
      <c r="AQ238" s="143">
        <f>SUM(AN238:AP238)</f>
        <v/>
      </c>
      <c r="AR238" s="331">
        <f>(AN238*AB238)+((AO238+AP238)*AC238)</f>
        <v/>
      </c>
      <c r="AS238" s="155" t="n">
        <v>17.85</v>
      </c>
      <c r="AT238" s="155" t="n">
        <v>0</v>
      </c>
      <c r="AU238" s="155" t="n">
        <v>12018.24</v>
      </c>
      <c r="AV238" s="124">
        <f>SUM(AS238:AU238)</f>
        <v/>
      </c>
      <c r="AW238" s="155" t="n"/>
      <c r="AX238" s="155" t="n"/>
      <c r="AY238" s="155" t="n"/>
      <c r="AZ238" s="124">
        <f>SUM(AW238:AY238)</f>
        <v/>
      </c>
      <c r="BA238" s="335">
        <f>(AW238*AB238)+((AX238+AY238)*AC238)</f>
        <v/>
      </c>
      <c r="BB238" s="122">
        <f>AN238-AW238</f>
        <v/>
      </c>
      <c r="BC238" s="141">
        <f>BB238*AB238</f>
        <v/>
      </c>
      <c r="BD238" s="122">
        <f>AO238-AX238</f>
        <v/>
      </c>
      <c r="BE238" s="122">
        <f>BD238*AC238</f>
        <v/>
      </c>
      <c r="BF238" s="122">
        <f>AP238-AY238</f>
        <v/>
      </c>
      <c r="BG238" s="122">
        <f>BF238*AC238</f>
        <v/>
      </c>
      <c r="BH238" s="122">
        <f>BB238+BD238+BF238</f>
        <v/>
      </c>
      <c r="BI238" s="122">
        <f>BC238+BE238+BG238</f>
        <v/>
      </c>
      <c r="BJ238" s="324">
        <f>BL238+BS238+BV238+BY238+CB238+CE238+CH238+CK238</f>
        <v/>
      </c>
      <c r="BK238" s="320">
        <f>((AI238+AW238)*AB238)+((AJ238+AK238+AX238+AY238)*AC238)</f>
        <v/>
      </c>
      <c r="BL238" s="132">
        <f>BM238+BN238+AL238</f>
        <v/>
      </c>
      <c r="BM238" s="133">
        <f>AW238</f>
        <v/>
      </c>
      <c r="BN238" s="133">
        <f>AX238+AY238</f>
        <v/>
      </c>
      <c r="BO238" s="179" t="n"/>
      <c r="BP238" s="179" t="n"/>
      <c r="BQ238" s="179" t="n"/>
      <c r="BR238" s="179" t="n"/>
      <c r="BS238" s="179" t="n"/>
      <c r="BT238" s="179" t="n"/>
      <c r="BU238" s="320" t="n"/>
      <c r="BV238" s="179" t="n"/>
      <c r="BW238" s="179" t="n"/>
      <c r="BX238" s="179" t="n"/>
      <c r="BY238" s="179" t="n"/>
      <c r="BZ238" s="179" t="n"/>
      <c r="CA238" s="124" t="n"/>
      <c r="CB238" s="179" t="n"/>
      <c r="CC238" s="179" t="n"/>
      <c r="CD238" s="179" t="n"/>
      <c r="CE238" s="179" t="n"/>
      <c r="CF238" s="179" t="n"/>
      <c r="CG238" s="179" t="n"/>
      <c r="CH238" s="179" t="n"/>
      <c r="CI238" s="179" t="n"/>
      <c r="CJ238" s="179" t="n"/>
      <c r="CK238" s="179" t="n"/>
      <c r="CL238" s="179" t="n"/>
      <c r="CM238" s="179" t="n"/>
      <c r="CN238" s="179" t="n"/>
      <c r="CO238" s="170" t="n"/>
      <c r="CP238" s="179" t="n"/>
      <c r="CQ238" s="179" t="n"/>
      <c r="CR238" s="170" t="n"/>
      <c r="CS238" s="155" t="n"/>
      <c r="CT238" s="155" t="n"/>
      <c r="CU238" s="177">
        <f>(BB238* AB238)+(BD238* AC238)+(BF238* AC238)+(S238+T238+U238+V238+W238+X238+Y238+Z238)</f>
        <v/>
      </c>
      <c r="CV238" s="177">
        <f>CU238-O238</f>
        <v/>
      </c>
      <c r="CW238" s="325" t="n"/>
    </row>
    <row r="239" ht="19.9" customFormat="1" customHeight="1" s="67">
      <c r="A239" s="139" t="n"/>
      <c r="B239" s="66" t="n">
        <v>10036951674</v>
      </c>
      <c r="C239" s="139" t="inlineStr">
        <is>
          <t>LAURI POOZ</t>
        </is>
      </c>
      <c r="D239" s="140" t="inlineStr">
        <is>
          <t>ÁGUA FRIA GO</t>
        </is>
      </c>
      <c r="E239" s="140" t="n"/>
      <c r="F239" s="141" t="n"/>
      <c r="G239" s="334" t="n"/>
      <c r="H239" s="143" t="n"/>
      <c r="I239" s="140" t="n"/>
      <c r="J239" s="144" t="n"/>
      <c r="K239" s="66" t="n"/>
      <c r="L239" s="140" t="n"/>
      <c r="M239" s="145" t="inlineStr">
        <is>
          <t>Dezembro/2023</t>
        </is>
      </c>
      <c r="N239" s="145" t="inlineStr">
        <is>
          <t>01/12/2023 a 01/01/2024</t>
        </is>
      </c>
      <c r="O239" s="331" t="n"/>
      <c r="P239" s="331" t="n"/>
      <c r="Q239" s="331" t="n"/>
      <c r="R239" s="147" t="n"/>
      <c r="S239" s="331" t="n"/>
      <c r="T239" s="331" t="n"/>
      <c r="U239" s="331" t="n"/>
      <c r="V239" s="331" t="n"/>
      <c r="W239" s="331" t="n"/>
      <c r="X239" s="331" t="n"/>
      <c r="Y239" s="331" t="n"/>
      <c r="Z239" s="331" t="n"/>
      <c r="AA239" s="331" t="n"/>
      <c r="AB239" s="332" t="n"/>
      <c r="AC239" s="332" t="n"/>
      <c r="AD239" s="143" t="n"/>
      <c r="AE239" s="173" t="n"/>
      <c r="AF239" s="143" t="n"/>
      <c r="AG239" s="143">
        <f>SUM(AD239:AF239)</f>
        <v/>
      </c>
      <c r="AH239" s="143">
        <f>(AD239*AB239)+((AE239+AF239)*AC239)</f>
        <v/>
      </c>
      <c r="AI239" s="143">
        <f>AD239-AS239</f>
        <v/>
      </c>
      <c r="AJ239" s="143">
        <f>AE239-AT239</f>
        <v/>
      </c>
      <c r="AK239" s="143">
        <f>AF239-AU239</f>
        <v/>
      </c>
      <c r="AL239" s="208">
        <f>SUM(AI239:AK239)</f>
        <v/>
      </c>
      <c r="AM239" s="336">
        <f>(AI239*AB239)+((AJ239+AK239)*AC239)</f>
        <v/>
      </c>
      <c r="AN239" s="155" t="n">
        <v>393.27</v>
      </c>
      <c r="AO239" s="155" t="n">
        <v>1890.51</v>
      </c>
      <c r="AP239" s="155" t="n">
        <v>18.45</v>
      </c>
      <c r="AQ239" s="143">
        <f>SUM(AN239:AP239)</f>
        <v/>
      </c>
      <c r="AR239" s="331">
        <f>(AN239*AB239)+((AO239+AP239)*AC239)</f>
        <v/>
      </c>
      <c r="AS239" s="155" t="n">
        <v>16.61</v>
      </c>
      <c r="AT239" s="155" t="n">
        <v>3182.4</v>
      </c>
      <c r="AU239" s="155" t="n">
        <v>8999.639999999999</v>
      </c>
      <c r="AV239" s="124">
        <f>SUM(AS239:AU239)</f>
        <v/>
      </c>
      <c r="AW239" s="155" t="n"/>
      <c r="AX239" s="155" t="n"/>
      <c r="AY239" s="155" t="n"/>
      <c r="AZ239" s="124">
        <f>SUM(AW239:AY239)</f>
        <v/>
      </c>
      <c r="BA239" s="335">
        <f>(AW239*AB239)+((AX239+AY239)*AC239)</f>
        <v/>
      </c>
      <c r="BB239" s="122">
        <f>AN239-AW239</f>
        <v/>
      </c>
      <c r="BC239" s="141">
        <f>BB239*AB239</f>
        <v/>
      </c>
      <c r="BD239" s="122">
        <f>AO239-AX239</f>
        <v/>
      </c>
      <c r="BE239" s="122">
        <f>BD239*AC239</f>
        <v/>
      </c>
      <c r="BF239" s="122">
        <f>AP239-AY239</f>
        <v/>
      </c>
      <c r="BG239" s="122">
        <f>BF239*AC239</f>
        <v/>
      </c>
      <c r="BH239" s="122">
        <f>BB239+BD239+BF239</f>
        <v/>
      </c>
      <c r="BI239" s="122">
        <f>BC239+BE239+BG239</f>
        <v/>
      </c>
      <c r="BJ239" s="324">
        <f>BL239+BS239+BV239+BY239+CB239+CE239+CH239+CK239</f>
        <v/>
      </c>
      <c r="BK239" s="320">
        <f>((AI239+AW239)*AB239)+((AJ239+AK239+AX239+AY239)*AC239)</f>
        <v/>
      </c>
      <c r="BL239" s="132">
        <f>BM239+BN239+AL239</f>
        <v/>
      </c>
      <c r="BM239" s="133">
        <f>AW239</f>
        <v/>
      </c>
      <c r="BN239" s="133">
        <f>AX239+AY239</f>
        <v/>
      </c>
      <c r="BO239" s="179" t="n"/>
      <c r="BP239" s="179" t="n"/>
      <c r="BQ239" s="179" t="n"/>
      <c r="BR239" s="179" t="n"/>
      <c r="BS239" s="179" t="n"/>
      <c r="BT239" s="179" t="n"/>
      <c r="BU239" s="179" t="n"/>
      <c r="BV239" s="179" t="n"/>
      <c r="BW239" s="179" t="n"/>
      <c r="BX239" s="179" t="n"/>
      <c r="BY239" s="179" t="n"/>
      <c r="BZ239" s="179" t="n"/>
      <c r="CA239" s="179" t="n"/>
      <c r="CB239" s="179" t="n"/>
      <c r="CC239" s="179" t="n"/>
      <c r="CD239" s="179" t="n"/>
      <c r="CE239" s="179" t="n"/>
      <c r="CF239" s="179" t="n"/>
      <c r="CG239" s="179" t="n"/>
      <c r="CH239" s="179" t="n"/>
      <c r="CI239" s="179" t="n"/>
      <c r="CJ239" s="179" t="n"/>
      <c r="CK239" s="179" t="n"/>
      <c r="CL239" s="179" t="n"/>
      <c r="CM239" s="179" t="n"/>
      <c r="CN239" s="179" t="n"/>
      <c r="CO239" s="170" t="n"/>
      <c r="CP239" s="179" t="n"/>
      <c r="CQ239" s="179" t="n"/>
      <c r="CR239" s="170" t="n"/>
      <c r="CS239" s="155" t="n"/>
      <c r="CT239" s="155" t="n"/>
      <c r="CU239" s="177">
        <f>(BB239* AB239)+(BD239* AC239)+(BF239* AC239)+(S239+T239+U239+V239+W239+X239+Y239+Z239)</f>
        <v/>
      </c>
      <c r="CV239" s="177">
        <f>CU239-O239</f>
        <v/>
      </c>
      <c r="CW239" s="325" t="n"/>
    </row>
    <row r="240" ht="19.9" customFormat="1" customHeight="1" s="67">
      <c r="A240" s="120" t="n"/>
      <c r="B240" s="65" t="n">
        <v>10036951674</v>
      </c>
      <c r="C240" s="120" t="inlineStr">
        <is>
          <t>LAURI POOZ</t>
        </is>
      </c>
      <c r="D240" s="121" t="n"/>
      <c r="E240" s="121" t="n"/>
      <c r="F240" s="122" t="n"/>
      <c r="G240" s="320" t="n"/>
      <c r="H240" s="124" t="n"/>
      <c r="I240" s="121" t="n"/>
      <c r="J240" s="125" t="n"/>
      <c r="K240" s="65" t="n"/>
      <c r="L240" s="121" t="n"/>
      <c r="M240" s="126" t="inlineStr">
        <is>
          <t>Janeiro/2024</t>
        </is>
      </c>
      <c r="N240" s="126" t="inlineStr">
        <is>
          <t>01/01/2024 a 01/02/2024</t>
        </is>
      </c>
      <c r="O240" s="321" t="n"/>
      <c r="P240" s="321" t="n"/>
      <c r="Q240" s="321" t="n"/>
      <c r="R240" s="207" t="n"/>
      <c r="S240" s="321" t="n"/>
      <c r="T240" s="321" t="n"/>
      <c r="U240" s="321" t="n"/>
      <c r="V240" s="321" t="n"/>
      <c r="W240" s="321" t="n"/>
      <c r="X240" s="321" t="n"/>
      <c r="Y240" s="321" t="n"/>
      <c r="Z240" s="321" t="n"/>
      <c r="AA240" s="321" t="n"/>
      <c r="AB240" s="322" t="n"/>
      <c r="AC240" s="322" t="n"/>
      <c r="AD240" s="124" t="n"/>
      <c r="AE240" s="124" t="n"/>
      <c r="AF240" s="124" t="n"/>
      <c r="AG240" s="124">
        <f>SUM(AD240:AF240)</f>
        <v/>
      </c>
      <c r="AH240" s="124">
        <f>(AD240*AB240)+((AE240+AF240)*AC240)</f>
        <v/>
      </c>
      <c r="AI240" s="124">
        <f>AD240-AS240</f>
        <v/>
      </c>
      <c r="AJ240" s="124">
        <f>AE240-AT240</f>
        <v/>
      </c>
      <c r="AK240" s="124">
        <f>AF240-AU240</f>
        <v/>
      </c>
      <c r="AL240" s="210">
        <f>SUM(AI240:AK240)</f>
        <v/>
      </c>
      <c r="AM240" s="337">
        <f>(AI240*AB240)+((AJ240+AK240)*AC240)</f>
        <v/>
      </c>
      <c r="AN240" s="155" t="n">
        <v>518.5599999999999</v>
      </c>
      <c r="AO240" s="155" t="n">
        <v>2183.25</v>
      </c>
      <c r="AP240" s="155" t="n">
        <v>52.89</v>
      </c>
      <c r="AQ240" s="143">
        <f>SUM(AN240:AP240)</f>
        <v/>
      </c>
      <c r="AR240" s="331">
        <f>(AN240*AB240)+((AO240+AP240)*AC240)</f>
        <v/>
      </c>
      <c r="AS240" s="155" t="n"/>
      <c r="AT240" s="155" t="n"/>
      <c r="AU240" s="155" t="n"/>
      <c r="AV240" s="124">
        <f>SUM(AS240:AU240)</f>
        <v/>
      </c>
      <c r="AW240" s="155" t="n"/>
      <c r="AX240" s="155" t="n"/>
      <c r="AY240" s="155" t="n"/>
      <c r="AZ240" s="155" t="n"/>
      <c r="BA240" s="363" t="n"/>
      <c r="BB240" s="155">
        <f>AN240-AW240</f>
        <v/>
      </c>
      <c r="BC240" s="155">
        <f>BB240*AB240</f>
        <v/>
      </c>
      <c r="BD240" s="155">
        <f>AO240-AX240</f>
        <v/>
      </c>
      <c r="BE240" s="155">
        <f>BD240*AC240</f>
        <v/>
      </c>
      <c r="BF240" s="155">
        <f>AP240-AY240</f>
        <v/>
      </c>
      <c r="BG240" s="155">
        <f>BF240*AC240</f>
        <v/>
      </c>
      <c r="BH240" s="155">
        <f>BB240+BD240+BF240</f>
        <v/>
      </c>
      <c r="BI240" s="155">
        <f>BC240+BE240+BG240</f>
        <v/>
      </c>
      <c r="BJ240" s="179" t="n"/>
      <c r="BK240" s="179" t="n"/>
      <c r="BL240" s="179" t="n"/>
      <c r="BM240" s="179" t="n"/>
      <c r="BN240" s="179" t="n"/>
      <c r="BO240" s="179" t="n"/>
      <c r="BP240" s="179" t="n"/>
      <c r="BQ240" s="179" t="n"/>
      <c r="BR240" s="179" t="n"/>
      <c r="BS240" s="179" t="n"/>
      <c r="BT240" s="179" t="n"/>
      <c r="BU240" s="179" t="n"/>
      <c r="BV240" s="179" t="n"/>
      <c r="BW240" s="179" t="n"/>
      <c r="BX240" s="179" t="n"/>
      <c r="BY240" s="179" t="n"/>
      <c r="BZ240" s="179" t="n"/>
      <c r="CA240" s="179" t="n"/>
      <c r="CB240" s="179" t="n"/>
      <c r="CC240" s="179" t="n"/>
      <c r="CD240" s="179" t="n"/>
      <c r="CE240" s="179" t="n"/>
      <c r="CF240" s="179" t="n"/>
      <c r="CG240" s="179" t="n"/>
      <c r="CH240" s="179" t="n"/>
      <c r="CI240" s="179" t="n"/>
      <c r="CJ240" s="179" t="n"/>
      <c r="CK240" s="179" t="n"/>
      <c r="CL240" s="179" t="n"/>
      <c r="CM240" s="179" t="n"/>
      <c r="CN240" s="179" t="n"/>
      <c r="CO240" s="170" t="n"/>
      <c r="CP240" s="179" t="n"/>
      <c r="CQ240" s="179" t="n"/>
      <c r="CR240" s="170" t="n"/>
      <c r="CS240" s="155" t="n"/>
      <c r="CT240" s="155" t="n"/>
      <c r="CU240" s="177">
        <f>(BB240* AB240)+(BD240* AC240)+(BF240* AC240)+(S240+T240+U240+V240+W240+X240+Y240+Z240)</f>
        <v/>
      </c>
      <c r="CV240" s="177">
        <f>CU240-O240</f>
        <v/>
      </c>
      <c r="CW240" s="325" t="n"/>
    </row>
    <row r="241" ht="19.9" customFormat="1" customHeight="1" s="67">
      <c r="A241" s="120" t="inlineStr">
        <is>
          <t>São Salvador</t>
        </is>
      </c>
      <c r="B241" s="65" t="n">
        <v>10024125537</v>
      </c>
      <c r="C241" s="120" t="inlineStr">
        <is>
          <t>FAZENDA CONCEICAO</t>
        </is>
      </c>
      <c r="D241" s="121" t="inlineStr">
        <is>
          <t>ITABERAI</t>
        </is>
      </c>
      <c r="E241" s="121" t="n">
        <v>44838</v>
      </c>
      <c r="F241" s="122" t="n">
        <v>37705.88</v>
      </c>
      <c r="G241" s="320" t="n">
        <v>0.53</v>
      </c>
      <c r="H241" s="124">
        <f>F241*G241</f>
        <v/>
      </c>
      <c r="I241" s="121" t="inlineStr">
        <is>
          <t>Agosto/2023</t>
        </is>
      </c>
      <c r="J241" s="125" t="inlineStr">
        <is>
          <t>2</t>
        </is>
      </c>
      <c r="K241" s="65" t="inlineStr">
        <is>
          <t>C36W-545 W</t>
        </is>
      </c>
      <c r="L241" s="121" t="n"/>
      <c r="M241" s="218" t="inlineStr">
        <is>
          <t>Janeiro/2024</t>
        </is>
      </c>
      <c r="N241" s="218" t="inlineStr">
        <is>
          <t>01/01/2024 a 01/02/2024</t>
        </is>
      </c>
      <c r="O241" s="321" t="n">
        <v>11145.59</v>
      </c>
      <c r="P241" s="321" t="n">
        <v>0</v>
      </c>
      <c r="Q241" s="338" t="n">
        <v>4392.08</v>
      </c>
      <c r="R241" s="207" t="n">
        <v>147.4</v>
      </c>
      <c r="S241" s="321" t="n">
        <v>34.63</v>
      </c>
      <c r="T241" s="321" t="n">
        <v>0</v>
      </c>
      <c r="U241" s="321" t="n">
        <v>0</v>
      </c>
      <c r="V241" s="321" t="n">
        <v>0</v>
      </c>
      <c r="W241" s="321" t="n">
        <v>0</v>
      </c>
      <c r="X241" s="321" t="n">
        <v>0</v>
      </c>
      <c r="Y241" s="321" t="n">
        <v>0</v>
      </c>
      <c r="Z241" s="321" t="n">
        <v>40.7</v>
      </c>
      <c r="AA241" s="321" t="n">
        <v>0</v>
      </c>
      <c r="AB241" s="322">
        <f>1.857034+0.497465</f>
        <v/>
      </c>
      <c r="AC241" s="322">
        <f>0.115588+0.317236</f>
        <v/>
      </c>
      <c r="AD241" s="124" t="n">
        <v>59.22</v>
      </c>
      <c r="AE241" s="124" t="n">
        <v>21195.05</v>
      </c>
      <c r="AF241" s="124" t="n">
        <v>0.02</v>
      </c>
      <c r="AG241" s="124">
        <f>SUM(AD241:AF241)</f>
        <v/>
      </c>
      <c r="AH241" s="124">
        <f>(AD241*AB241)+((AE241+AF241)*AC241)</f>
        <v/>
      </c>
      <c r="AI241" s="124">
        <f>AD241-AS241</f>
        <v/>
      </c>
      <c r="AJ241" s="124">
        <f>AE241-AT241</f>
        <v/>
      </c>
      <c r="AK241" s="124">
        <f>AF241-AU241</f>
        <v/>
      </c>
      <c r="AL241" s="210">
        <f>SUM(AI241:AK241)</f>
        <v/>
      </c>
      <c r="AM241" s="337">
        <f>(AI241*AB241)+((AJ241+AK241)*AC241)</f>
        <v/>
      </c>
      <c r="AN241" s="67" t="n">
        <v>2129.97</v>
      </c>
      <c r="AO241" s="67" t="n">
        <v>9264.15</v>
      </c>
      <c r="AP241" s="67" t="n">
        <v>7629.3</v>
      </c>
      <c r="AQ241" s="67">
        <f>SUM(AN241:AP241)</f>
        <v/>
      </c>
      <c r="AR241" s="339">
        <f>(AN241*AB241)+((AO241+AP241)*AC241)</f>
        <v/>
      </c>
      <c r="AS241" s="67" t="n">
        <v>4.41</v>
      </c>
      <c r="AT241" s="67" t="n">
        <v>9264.15</v>
      </c>
      <c r="AU241" s="67" t="n">
        <v>3762.75</v>
      </c>
      <c r="AV241" s="67">
        <f>SUM(AS241:AU241)</f>
        <v/>
      </c>
      <c r="AW241" s="67" t="n">
        <v>4.41</v>
      </c>
      <c r="AX241" s="67" t="n">
        <v>9264.15</v>
      </c>
      <c r="AY241" s="67" t="n">
        <v>3762.75</v>
      </c>
      <c r="AZ241" s="210">
        <f>SUM(AW241:AY241)</f>
        <v/>
      </c>
      <c r="BA241" s="364">
        <f>(AW241*AB241)+((AX241+AY241)*AC241)</f>
        <v/>
      </c>
      <c r="BB241" s="220">
        <f>AN241-AW241</f>
        <v/>
      </c>
      <c r="BC241" s="221">
        <f>BB241*AB241</f>
        <v/>
      </c>
      <c r="BD241" s="220">
        <f>AO241-AX241</f>
        <v/>
      </c>
      <c r="BE241" s="220">
        <f>BD241*AC241</f>
        <v/>
      </c>
      <c r="BF241" s="220">
        <f>AP241-AY241</f>
        <v/>
      </c>
      <c r="BG241" s="220">
        <f>BF241*AC241</f>
        <v/>
      </c>
      <c r="BH241" s="220">
        <f>BB241+BD241+BF241</f>
        <v/>
      </c>
      <c r="BI241" s="220">
        <f>BC241+BE241+BG241</f>
        <v/>
      </c>
      <c r="BJ241" s="365">
        <f>BL241+BS241+BV241+BY241+CB241+CE241+CH241+CK241</f>
        <v/>
      </c>
      <c r="BK241" s="366">
        <f>((AI241+AW241)*AB241)+((AJ241+AK241+AX241+AY241)*AC241)</f>
        <v/>
      </c>
      <c r="BL241" s="224">
        <f>BM241+BN241+AL241</f>
        <v/>
      </c>
      <c r="BM241" s="225">
        <f>AW241</f>
        <v/>
      </c>
      <c r="BN241" s="225">
        <f>AX241+AY241</f>
        <v/>
      </c>
      <c r="BO241" s="186" t="n"/>
      <c r="BP241" s="186" t="n"/>
      <c r="BQ241" s="186" t="n"/>
      <c r="BR241" s="186" t="n"/>
      <c r="BS241" s="186" t="n"/>
      <c r="BT241" s="186" t="n"/>
      <c r="BU241" s="186" t="n"/>
      <c r="BV241" s="186" t="n"/>
      <c r="BW241" s="186" t="n"/>
      <c r="BX241" s="186" t="n"/>
      <c r="BY241" s="186" t="n"/>
      <c r="BZ241" s="186" t="n"/>
      <c r="CA241" s="186" t="n"/>
      <c r="CB241" s="186" t="n"/>
      <c r="CC241" s="186" t="n"/>
      <c r="CD241" s="186" t="n"/>
      <c r="CE241" s="186" t="n"/>
      <c r="CF241" s="186" t="n"/>
      <c r="CG241" s="186" t="n"/>
      <c r="CH241" s="186" t="n"/>
      <c r="CI241" s="186" t="n"/>
      <c r="CJ241" s="186" t="n"/>
      <c r="CK241" s="186" t="n"/>
      <c r="CL241" s="186" t="n"/>
      <c r="CM241" s="186" t="n"/>
      <c r="CN241" s="186" t="n"/>
      <c r="CO241" s="76" t="n">
        <v>0</v>
      </c>
      <c r="CP241" s="186" t="n"/>
      <c r="CQ241" s="186" t="n"/>
      <c r="CR241" s="76" t="n">
        <v>0</v>
      </c>
      <c r="CS241" s="227" t="inlineStr">
        <is>
      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      </is>
      </c>
      <c r="CU241" s="177" t="n"/>
      <c r="CV241" s="177" t="n"/>
    </row>
    <row r="242" ht="19.9" customFormat="1" customHeight="1" s="67">
      <c r="A242" s="139" t="n"/>
      <c r="B242" s="66" t="n"/>
      <c r="C242" s="139" t="n"/>
      <c r="D242" s="140" t="n"/>
      <c r="E242" s="140" t="n"/>
      <c r="F242" s="141" t="n"/>
      <c r="G242" s="334" t="n"/>
      <c r="H242" s="143" t="n"/>
      <c r="I242" s="140" t="n"/>
      <c r="J242" s="144" t="n"/>
      <c r="K242" s="66" t="n"/>
      <c r="L242" s="140" t="n"/>
      <c r="M242" s="145" t="inlineStr">
        <is>
          <t>Março/2024</t>
        </is>
      </c>
      <c r="N242" s="145" t="inlineStr">
        <is>
          <t>01/02/2024 a 01/03/2024</t>
        </is>
      </c>
      <c r="O242" s="379" t="inlineStr">
        <is>
          <t>420,41</t>
        </is>
      </c>
      <c r="P242" s="331" t="n"/>
      <c r="Q242" s="331" t="n"/>
      <c r="R242" s="147" t="n"/>
      <c r="S242" s="331" t="n"/>
      <c r="T242" s="331" t="n"/>
      <c r="U242" s="331" t="n"/>
      <c r="V242" s="331" t="n"/>
      <c r="W242" s="331" t="n"/>
      <c r="X242" s="331" t="n"/>
      <c r="Y242" s="331" t="n"/>
      <c r="Z242" s="331" t="n"/>
      <c r="AA242" s="331" t="n"/>
      <c r="AB242" s="332" t="n"/>
      <c r="AC242" s="332" t="n"/>
      <c r="AD242" s="143" t="n"/>
      <c r="AE242" s="173" t="n"/>
      <c r="AF242" s="143" t="n"/>
      <c r="AG242" s="143" t="n"/>
      <c r="AH242" s="143" t="n"/>
      <c r="AI242" s="143" t="n"/>
      <c r="AJ242" s="143" t="n"/>
      <c r="AK242" s="143" t="n"/>
      <c r="AM242" s="368" t="n"/>
      <c r="AR242" s="368" t="n"/>
      <c r="BA242" s="368" t="n"/>
      <c r="BJ242" s="186" t="n"/>
      <c r="BK242" s="186" t="n"/>
      <c r="BL242" s="186" t="n"/>
      <c r="BM242" s="186" t="n"/>
      <c r="BN242" s="186" t="n"/>
      <c r="BO242" s="186" t="n"/>
      <c r="BP242" s="186" t="n"/>
      <c r="BQ242" s="186" t="n"/>
      <c r="BR242" s="186" t="n"/>
      <c r="BS242" s="186" t="n"/>
      <c r="BT242" s="186" t="n"/>
      <c r="BU242" s="186" t="n"/>
      <c r="BV242" s="186" t="n"/>
      <c r="BW242" s="186" t="n"/>
      <c r="BX242" s="186" t="n"/>
      <c r="BY242" s="186" t="n"/>
      <c r="BZ242" s="186" t="n"/>
      <c r="CA242" s="186" t="n"/>
      <c r="CB242" s="186" t="n"/>
      <c r="CC242" s="186" t="n"/>
      <c r="CD242" s="186" t="n"/>
      <c r="CE242" s="186" t="n"/>
      <c r="CF242" s="186" t="n"/>
      <c r="CG242" s="186" t="n"/>
      <c r="CH242" s="186" t="n"/>
      <c r="CI242" s="186" t="n"/>
      <c r="CJ242" s="186" t="n"/>
      <c r="CK242" s="186" t="n"/>
      <c r="CL242" s="186" t="n"/>
      <c r="CM242" s="186" t="n"/>
      <c r="CN242" s="186" t="n"/>
      <c r="CO242" s="76" t="n"/>
      <c r="CP242" s="186" t="n"/>
      <c r="CQ242" s="186" t="n"/>
      <c r="CR242" s="76" t="n"/>
      <c r="CU242" s="177" t="n"/>
      <c r="CV242" s="177" t="n"/>
    </row>
    <row r="243" ht="19.9" customFormat="1" customHeight="1" s="67">
      <c r="A243" s="120" t="n"/>
      <c r="B243" s="65" t="n"/>
      <c r="C243" s="120" t="n"/>
      <c r="D243" s="121" t="n"/>
      <c r="E243" s="121" t="n"/>
      <c r="F243" s="122" t="n"/>
      <c r="G243" s="320" t="n"/>
      <c r="H243" s="124" t="n"/>
      <c r="I243" s="121" t="n"/>
      <c r="J243" s="125" t="n"/>
      <c r="K243" s="283" t="n"/>
      <c r="L243" s="121" t="n"/>
      <c r="M243" s="126" t="inlineStr">
        <is>
          <t>Março/2024</t>
        </is>
      </c>
      <c r="N243" s="126" t="inlineStr">
        <is>
          <t>01/02/2024 a 01/03/2024</t>
        </is>
      </c>
      <c r="O243" s="380" t="inlineStr">
        <is>
          <t>420,41</t>
        </is>
      </c>
      <c r="P243" s="321" t="n"/>
      <c r="Q243" s="321" t="n"/>
      <c r="R243" s="207" t="n"/>
      <c r="S243" s="321" t="n"/>
      <c r="T243" s="321" t="n"/>
      <c r="U243" s="321" t="n"/>
      <c r="V243" s="321" t="n"/>
      <c r="W243" s="321" t="n"/>
      <c r="X243" s="321" t="n"/>
      <c r="Y243" s="321" t="n"/>
      <c r="Z243" s="321" t="n"/>
      <c r="AA243" s="321" t="n"/>
      <c r="AB243" s="322" t="n"/>
      <c r="AC243" s="322" t="n"/>
      <c r="AD243" s="124" t="n"/>
      <c r="AE243" s="124" t="n"/>
      <c r="AF243" s="124" t="n"/>
      <c r="AG243" s="124" t="n"/>
      <c r="AH243" s="124" t="n"/>
      <c r="AI243" s="124" t="n"/>
      <c r="AJ243" s="124" t="n"/>
      <c r="AK243" s="124" t="n"/>
      <c r="AM243" s="368" t="n"/>
      <c r="AR243" s="368" t="n"/>
      <c r="BA243" s="368" t="n"/>
      <c r="BJ243" s="186" t="n"/>
      <c r="BK243" s="186" t="n"/>
      <c r="BL243" s="186" t="n"/>
      <c r="BM243" s="186" t="n"/>
      <c r="BN243" s="186" t="n"/>
      <c r="BO243" s="186" t="n"/>
      <c r="BP243" s="186" t="n"/>
      <c r="BQ243" s="186" t="n"/>
      <c r="BR243" s="186" t="n"/>
      <c r="BS243" s="186" t="n"/>
      <c r="BT243" s="186" t="n"/>
      <c r="BU243" s="186" t="n"/>
      <c r="BV243" s="186" t="n"/>
      <c r="BW243" s="186" t="n"/>
      <c r="BX243" s="186" t="n"/>
      <c r="BY243" s="186" t="n"/>
      <c r="BZ243" s="186" t="n"/>
      <c r="CA243" s="186" t="n"/>
      <c r="CB243" s="186" t="n"/>
      <c r="CC243" s="186" t="n"/>
      <c r="CD243" s="186" t="n"/>
      <c r="CE243" s="186" t="n"/>
      <c r="CF243" s="186" t="n"/>
      <c r="CG243" s="186" t="n"/>
      <c r="CH243" s="186" t="n"/>
      <c r="CI243" s="186" t="n"/>
      <c r="CJ243" s="186" t="n"/>
      <c r="CK243" s="186" t="n"/>
      <c r="CL243" s="186" t="n"/>
      <c r="CM243" s="186" t="n"/>
      <c r="CN243" s="186" t="n"/>
      <c r="CO243" s="76" t="n"/>
      <c r="CP243" s="186" t="n"/>
      <c r="CQ243" s="186" t="n"/>
      <c r="CR243" s="76" t="n"/>
      <c r="CU243" s="177" t="n"/>
      <c r="CV243" s="177" t="n"/>
    </row>
    <row r="244" ht="19.9" customFormat="1" customHeight="1" s="67">
      <c r="A244" s="139" t="n"/>
      <c r="B244" s="66" t="n"/>
      <c r="C244" s="139" t="n"/>
      <c r="D244" s="140" t="n"/>
      <c r="E244" s="140" t="n"/>
      <c r="F244" s="141" t="n"/>
      <c r="G244" s="334" t="n"/>
      <c r="H244" s="143" t="n"/>
      <c r="I244" s="140" t="n"/>
      <c r="J244" s="144" t="n"/>
      <c r="K244" s="66" t="n"/>
      <c r="L244" s="140" t="n"/>
      <c r="M244" s="145" t="n"/>
      <c r="N244" s="145" t="n"/>
      <c r="O244" s="331" t="n"/>
      <c r="P244" s="331" t="n"/>
      <c r="Q244" s="331" t="n"/>
      <c r="R244" s="147" t="n"/>
      <c r="S244" s="331" t="n"/>
      <c r="T244" s="331" t="n"/>
      <c r="U244" s="331" t="n"/>
      <c r="V244" s="331" t="n"/>
      <c r="W244" s="331" t="n"/>
      <c r="X244" s="331" t="n"/>
      <c r="Y244" s="331" t="n"/>
      <c r="Z244" s="331" t="n"/>
      <c r="AA244" s="331" t="n"/>
      <c r="AB244" s="332" t="n"/>
      <c r="AC244" s="332" t="n"/>
      <c r="AD244" s="186" t="n"/>
      <c r="AE244" s="186" t="n"/>
      <c r="AF244" s="186" t="n"/>
      <c r="AG244" s="186" t="n"/>
      <c r="AH244" s="186" t="n"/>
      <c r="AM244" s="368" t="n"/>
      <c r="AR244" s="368" t="n"/>
      <c r="BA244" s="368" t="n"/>
      <c r="BJ244" s="186" t="n"/>
      <c r="BK244" s="188" t="n"/>
      <c r="BL244" s="186" t="n"/>
      <c r="BM244" s="186" t="n"/>
      <c r="BN244" s="186" t="n"/>
      <c r="BO244" s="186" t="n"/>
      <c r="BP244" s="186" t="n"/>
      <c r="BQ244" s="186" t="n"/>
      <c r="BR244" s="186" t="n"/>
      <c r="BS244" s="186" t="n"/>
      <c r="BT244" s="186" t="n"/>
      <c r="BU244" s="186" t="n"/>
      <c r="BV244" s="186" t="n"/>
      <c r="BW244" s="186" t="n"/>
      <c r="BX244" s="186" t="n"/>
      <c r="BY244" s="186" t="n"/>
      <c r="BZ244" s="186" t="n"/>
      <c r="CA244" s="186" t="n"/>
      <c r="CB244" s="186" t="n"/>
      <c r="CC244" s="186" t="n"/>
      <c r="CD244" s="186" t="n"/>
      <c r="CE244" s="186" t="n"/>
      <c r="CF244" s="186" t="n"/>
      <c r="CG244" s="186" t="n"/>
      <c r="CH244" s="186" t="n"/>
      <c r="CI244" s="186" t="n"/>
      <c r="CJ244" s="186" t="n"/>
      <c r="CK244" s="186" t="n"/>
      <c r="CL244" s="186" t="n"/>
      <c r="CM244" s="186" t="n"/>
      <c r="CN244" s="186" t="n"/>
      <c r="CO244" s="76" t="n"/>
      <c r="CP244" s="186" t="n"/>
      <c r="CQ244" s="186" t="n"/>
      <c r="CR244" s="76" t="n"/>
      <c r="CU244" s="177" t="n"/>
      <c r="CV244" s="177" t="n"/>
    </row>
    <row r="245" ht="19.9" customFormat="1" customHeight="1" s="67">
      <c r="A245" s="120" t="n"/>
      <c r="B245" s="65" t="n"/>
      <c r="C245" s="120" t="n"/>
      <c r="D245" s="121" t="n"/>
      <c r="E245" s="121" t="n"/>
      <c r="F245" s="122" t="n"/>
      <c r="G245" s="320" t="n"/>
      <c r="H245" s="124" t="n"/>
      <c r="I245" s="121" t="n"/>
      <c r="J245" s="125" t="n"/>
      <c r="K245" s="65" t="n"/>
      <c r="L245" s="121" t="n"/>
      <c r="M245" s="126" t="n"/>
      <c r="N245" s="126" t="n"/>
      <c r="O245" s="321" t="n"/>
      <c r="P245" s="321" t="n"/>
      <c r="Q245" s="321" t="n"/>
      <c r="R245" s="207" t="n"/>
      <c r="S245" s="321" t="n"/>
      <c r="T245" s="321" t="n"/>
      <c r="U245" s="321" t="n"/>
      <c r="V245" s="321" t="n"/>
      <c r="W245" s="321" t="n"/>
      <c r="X245" s="321" t="n"/>
      <c r="Y245" s="321" t="n"/>
      <c r="Z245" s="321" t="n"/>
      <c r="AA245" s="321" t="n"/>
      <c r="AB245" s="322" t="n"/>
      <c r="AC245" s="322" t="n"/>
      <c r="AD245" s="186" t="n"/>
      <c r="AE245" s="189" t="n"/>
      <c r="AF245" s="186" t="n"/>
      <c r="AG245" s="186" t="n"/>
      <c r="AH245" s="186" t="n"/>
      <c r="AM245" s="368" t="n"/>
      <c r="AR245" s="368" t="n"/>
      <c r="BA245" s="368" t="n"/>
      <c r="BJ245" s="186" t="n"/>
      <c r="BK245" s="186" t="n"/>
      <c r="BL245" s="186" t="n"/>
      <c r="BM245" s="186" t="n"/>
      <c r="BN245" s="186" t="n"/>
      <c r="BO245" s="186" t="n"/>
      <c r="BP245" s="186" t="n"/>
      <c r="BQ245" s="186" t="n"/>
      <c r="BR245" s="186" t="n"/>
      <c r="BS245" s="186" t="n"/>
      <c r="BT245" s="186" t="n"/>
      <c r="BU245" s="186" t="n"/>
      <c r="BV245" s="186" t="n"/>
      <c r="BW245" s="186" t="n"/>
      <c r="BX245" s="186" t="n"/>
      <c r="BY245" s="186" t="n"/>
      <c r="BZ245" s="186" t="n"/>
      <c r="CA245" s="186" t="n"/>
      <c r="CB245" s="186" t="n"/>
      <c r="CC245" s="186" t="n"/>
      <c r="CD245" s="186" t="n"/>
      <c r="CE245" s="186" t="n"/>
      <c r="CF245" s="186" t="n"/>
      <c r="CG245" s="186" t="n"/>
      <c r="CH245" s="186" t="n"/>
      <c r="CI245" s="186" t="n"/>
      <c r="CJ245" s="186" t="n"/>
      <c r="CK245" s="186" t="n"/>
      <c r="CL245" s="186" t="n"/>
      <c r="CM245" s="186" t="n"/>
      <c r="CN245" s="186" t="n"/>
      <c r="CO245" s="76" t="n"/>
      <c r="CP245" s="186" t="n"/>
      <c r="CQ245" s="186" t="n"/>
      <c r="CR245" s="76" t="n"/>
      <c r="CU245" s="177" t="n"/>
      <c r="CV245" s="177" t="n"/>
    </row>
    <row r="246" ht="19.9" customFormat="1" customHeight="1" s="67">
      <c r="A246" s="139" t="n"/>
      <c r="B246" s="66" t="n"/>
      <c r="C246" s="139" t="n"/>
      <c r="D246" s="140" t="n"/>
      <c r="E246" s="140" t="n"/>
      <c r="F246" s="141" t="n"/>
      <c r="G246" s="334" t="n"/>
      <c r="H246" s="143" t="n"/>
      <c r="I246" s="140" t="n"/>
      <c r="J246" s="144" t="n"/>
      <c r="K246" s="66" t="n"/>
      <c r="L246" s="140" t="n"/>
      <c r="M246" s="145" t="n"/>
      <c r="N246" s="145" t="n"/>
      <c r="O246" s="331" t="n"/>
      <c r="P246" s="331" t="n"/>
      <c r="Q246" s="331" t="n"/>
      <c r="R246" s="147" t="n"/>
      <c r="S246" s="331" t="n"/>
      <c r="T246" s="331" t="n"/>
      <c r="U246" s="331" t="n"/>
      <c r="V246" s="331" t="n"/>
      <c r="W246" s="331" t="n"/>
      <c r="X246" s="331" t="n"/>
      <c r="Y246" s="331" t="n"/>
      <c r="Z246" s="331" t="n"/>
      <c r="AA246" s="331" t="n"/>
      <c r="AB246" s="332" t="n"/>
      <c r="AC246" s="332" t="n"/>
      <c r="AD246" s="186" t="n"/>
      <c r="AE246" s="186" t="n"/>
      <c r="AF246" s="186" t="n"/>
      <c r="AG246" s="186" t="n"/>
      <c r="AH246" s="186" t="n"/>
      <c r="AM246" s="368" t="n"/>
      <c r="AR246" s="368" t="n"/>
      <c r="BA246" s="368" t="n"/>
      <c r="BJ246" s="186" t="n"/>
      <c r="BK246" s="186" t="n"/>
      <c r="BL246" s="186" t="n"/>
      <c r="BM246" s="186" t="n"/>
      <c r="BN246" s="186" t="n"/>
      <c r="BO246" s="186" t="n"/>
      <c r="BP246" s="186" t="n"/>
      <c r="BQ246" s="186" t="n"/>
      <c r="BR246" s="186" t="n"/>
      <c r="BS246" s="186" t="n"/>
      <c r="BT246" s="186" t="n"/>
      <c r="BU246" s="186" t="n"/>
      <c r="BV246" s="186" t="n"/>
      <c r="BW246" s="186" t="n"/>
      <c r="BX246" s="186" t="n"/>
      <c r="BY246" s="186" t="n"/>
      <c r="BZ246" s="186" t="n"/>
      <c r="CA246" s="186" t="n"/>
      <c r="CB246" s="186" t="n"/>
      <c r="CC246" s="186" t="n"/>
      <c r="CD246" s="186" t="n"/>
      <c r="CE246" s="186" t="n"/>
      <c r="CF246" s="186" t="n"/>
      <c r="CG246" s="186" t="n"/>
      <c r="CH246" s="186" t="n"/>
      <c r="CI246" s="186" t="n"/>
      <c r="CJ246" s="186" t="n"/>
      <c r="CK246" s="186" t="n"/>
      <c r="CL246" s="186" t="n"/>
      <c r="CM246" s="186" t="n"/>
      <c r="CN246" s="186" t="n"/>
      <c r="CO246" s="76" t="n"/>
      <c r="CP246" s="186" t="n"/>
      <c r="CQ246" s="186" t="n"/>
      <c r="CR246" s="76" t="n"/>
      <c r="CU246" s="177" t="n"/>
      <c r="CV246" s="177" t="n"/>
    </row>
    <row r="247" ht="19.9" customHeight="1">
      <c r="A247" s="120" t="n"/>
      <c r="B247" s="65" t="n"/>
      <c r="C247" s="120" t="n"/>
      <c r="D247" s="121" t="n"/>
      <c r="E247" s="121" t="n"/>
      <c r="F247" s="122" t="n"/>
      <c r="G247" s="320" t="n"/>
      <c r="H247" s="124" t="n"/>
      <c r="I247" s="121" t="n"/>
      <c r="L247" s="121" t="n"/>
      <c r="M247" s="126" t="n"/>
      <c r="N247" s="126" t="n"/>
      <c r="R247" s="207" t="n"/>
      <c r="S247" s="321" t="n"/>
      <c r="T247" s="321" t="n"/>
      <c r="U247" s="321" t="n"/>
      <c r="V247" s="321" t="n"/>
      <c r="W247" s="321" t="n"/>
      <c r="X247" s="321" t="n"/>
      <c r="Y247" s="321" t="n"/>
      <c r="Z247" s="321" t="n"/>
      <c r="AA247" s="321" t="n"/>
      <c r="AB247" s="322" t="n"/>
      <c r="AC247" s="322" t="n"/>
      <c r="CU247" s="136" t="n"/>
      <c r="CV247" s="136" t="n"/>
    </row>
    <row r="248" ht="19.9" customHeight="1">
      <c r="H248" s="282" t="n"/>
      <c r="AB248" s="322" t="n"/>
      <c r="AC248" s="322" t="n"/>
    </row>
    <row r="249" ht="19.9" customHeight="1">
      <c r="AC249" s="217" t="n"/>
    </row>
    <row r="250" ht="19.9" customHeight="1">
      <c r="AC250" s="217" t="n"/>
    </row>
    <row r="251" ht="19.9" customHeight="1">
      <c r="AC251" s="217" t="n"/>
      <c r="AI251" s="30" t="n"/>
      <c r="AJ251" s="30" t="n"/>
      <c r="AK251" s="30" t="n"/>
    </row>
    <row r="252" ht="19.9" customHeight="1">
      <c r="AA252" s="369" t="n"/>
      <c r="AC252" s="217" t="n"/>
      <c r="AI252" s="217" t="n"/>
      <c r="AJ252" s="217" t="n"/>
      <c r="AK252" s="217" t="n"/>
    </row>
    <row r="253" ht="19.9" customHeight="1">
      <c r="G253" s="42" t="inlineStr">
        <is>
          <t>  </t>
        </is>
      </c>
      <c r="AA253" s="369" t="n"/>
      <c r="AC253" s="217" t="n"/>
      <c r="AG253" s="226" t="n"/>
      <c r="AK253" s="217" t="n"/>
    </row>
    <row r="254" ht="19.9" customHeight="1">
      <c r="AC254" s="217" t="n"/>
    </row>
    <row r="255" ht="19.9" customHeight="1">
      <c r="AA255" s="30" t="n"/>
      <c r="AC255" s="217" t="n"/>
    </row>
    <row r="256" ht="19.9" customHeight="1">
      <c r="AA256" s="369" t="n"/>
      <c r="AC256" s="217" t="n"/>
    </row>
    <row r="257" ht="19.9" customHeight="1">
      <c r="AC257" s="217" t="n"/>
    </row>
    <row r="258" ht="19.9" customHeight="1">
      <c r="AC258" s="217" t="n"/>
    </row>
    <row r="259" ht="19.9" customHeight="1">
      <c r="AC259" s="226" t="n"/>
    </row>
    <row r="260" ht="19.9" customHeight="1">
      <c r="AC260" s="217" t="n"/>
    </row>
    <row r="261" ht="19.9" customHeight="1">
      <c r="AC261" s="217" t="n"/>
    </row>
    <row r="262" ht="19.9" customHeight="1">
      <c r="AC262" s="217" t="n"/>
    </row>
    <row r="263" ht="19.9" customHeight="1">
      <c r="AC263" s="217" t="n"/>
    </row>
  </sheetData>
  <autoFilter ref="A1:CW247"/>
  <pageMargins left="0.511811024" right="0.511811024" top="0.787401575" bottom="0.787401575" header="0.31496062" footer="0.31496062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14" sqref="D14"/>
    </sheetView>
  </sheetViews>
  <sheetFormatPr baseColWidth="8" defaultRowHeight="15"/>
  <cols>
    <col width="12" bestFit="1" customWidth="1" min="2" max="2"/>
    <col width="47.28515625" bestFit="1" customWidth="1" min="3" max="3"/>
    <col width="43.7109375" bestFit="1" customWidth="1" min="4" max="4"/>
    <col width="25.140625" bestFit="1" customWidth="1" min="9" max="9"/>
    <col width="25.7109375" bestFit="1" customWidth="1" min="10" max="10"/>
    <col width="18.42578125" bestFit="1" customWidth="1" min="11" max="11"/>
    <col width="23.140625" bestFit="1" customWidth="1" min="12" max="12"/>
    <col width="22" customWidth="1" min="13" max="13"/>
    <col width="21.5703125" customWidth="1" min="14" max="14"/>
  </cols>
  <sheetData>
    <row r="1" ht="16.5" customFormat="1" customHeight="1" s="2">
      <c r="A1" s="100" t="inlineStr">
        <is>
          <t>GRUPO</t>
        </is>
      </c>
      <c r="B1" s="102" t="inlineStr">
        <is>
          <t>UC</t>
        </is>
      </c>
      <c r="C1" s="103" t="inlineStr">
        <is>
          <t>CLIENTE</t>
        </is>
      </c>
      <c r="D1" s="102" t="inlineStr">
        <is>
          <t>ENDERECO</t>
        </is>
      </c>
      <c r="E1" s="102" t="inlineStr">
        <is>
          <t>CEP</t>
        </is>
      </c>
      <c r="F1" s="102" t="inlineStr">
        <is>
          <t>CIDADE</t>
        </is>
      </c>
      <c r="G1" s="102" t="inlineStr">
        <is>
          <t>ESTADO</t>
        </is>
      </c>
      <c r="H1" s="102" t="inlineStr">
        <is>
          <t>PAIS</t>
        </is>
      </c>
      <c r="I1" s="99" t="inlineStr">
        <is>
          <t>DATA ATIVACAO DA USINA</t>
        </is>
      </c>
      <c r="J1" s="99" t="inlineStr">
        <is>
          <t>PROPOSTA GERACAO   kWh</t>
        </is>
      </c>
      <c r="K1" s="99" t="inlineStr">
        <is>
          <t xml:space="preserve">PROPOSTA  TARIFA </t>
        </is>
      </c>
      <c r="L1" s="99" t="inlineStr">
        <is>
          <t>PROPOSTA GERACAO  RS</t>
        </is>
      </c>
      <c r="M1" s="101" t="inlineStr">
        <is>
          <t>INVERSORES</t>
        </is>
      </c>
      <c r="N1" s="101" t="inlineStr">
        <is>
          <t>MODULOS</t>
        </is>
      </c>
    </row>
    <row r="2">
      <c r="A2" s="97" t="n"/>
      <c r="B2" s="94" t="n">
        <v>10016165320</v>
      </c>
      <c r="C2" s="96" t="inlineStr">
        <is>
          <t>FRICO INDUSTRIA E COMERCIO DE ALIMENTOS LTDA</t>
        </is>
      </c>
      <c r="D2" s="97" t="inlineStr">
        <is>
          <t>AVENIDA VESPASIANO ODORICO VIEIRA, N. 146</t>
        </is>
      </c>
      <c r="E2" s="98" t="n">
        <v>75386640</v>
      </c>
      <c r="F2" s="98" t="inlineStr">
        <is>
          <t>TRINDADE</t>
        </is>
      </c>
      <c r="G2" s="98" t="inlineStr">
        <is>
          <t>GO</t>
        </is>
      </c>
      <c r="H2" s="96" t="inlineStr">
        <is>
          <t>BRASIL</t>
        </is>
      </c>
      <c r="I2" s="97" t="n"/>
      <c r="J2" s="97" t="n"/>
      <c r="K2" s="97" t="n"/>
      <c r="L2" s="97" t="n"/>
      <c r="M2" s="97" t="n"/>
      <c r="N2" s="97" t="n"/>
    </row>
    <row r="3">
      <c r="A3" s="97" t="n"/>
      <c r="B3" s="95" t="n">
        <v>200344183</v>
      </c>
      <c r="C3" s="96" t="inlineStr">
        <is>
          <t>ALUCENTRO VIDROS LTDA</t>
        </is>
      </c>
      <c r="D3" s="97" t="inlineStr">
        <is>
          <t>RUA JUREMA, Q. 57, L. 14/18, S/N</t>
        </is>
      </c>
      <c r="E3" s="98" t="n">
        <v>74926580</v>
      </c>
      <c r="F3" s="98" t="inlineStr">
        <is>
          <t>APARECIDA DE GOIANIA</t>
        </is>
      </c>
      <c r="G3" s="98" t="inlineStr">
        <is>
          <t>GO</t>
        </is>
      </c>
      <c r="H3" s="96" t="inlineStr">
        <is>
          <t>BRASIL</t>
        </is>
      </c>
      <c r="I3" s="97" t="n"/>
      <c r="J3" s="97" t="n"/>
      <c r="K3" s="97" t="n"/>
      <c r="L3" s="97" t="n"/>
      <c r="M3" s="97" t="n"/>
      <c r="N3" s="97" t="n"/>
    </row>
    <row r="4">
      <c r="A4" s="97" t="n"/>
      <c r="B4" s="95" t="n">
        <v>10032831143</v>
      </c>
      <c r="C4" s="96" t="inlineStr">
        <is>
          <t>VR LABEL INDUSTRIA GRAFICA EIRELI</t>
        </is>
      </c>
      <c r="D4" s="97" t="inlineStr">
        <is>
          <t>VIA DE ACESSO-4, Q. E, L. 08/09, S/N</t>
        </is>
      </c>
      <c r="E4" s="98" t="n">
        <v>74923130</v>
      </c>
      <c r="F4" s="98" t="inlineStr">
        <is>
          <t>APARECIDA DE GOIANIA</t>
        </is>
      </c>
      <c r="G4" s="98" t="inlineStr">
        <is>
          <t>GO</t>
        </is>
      </c>
      <c r="H4" s="96" t="inlineStr">
        <is>
          <t>BRASIL</t>
        </is>
      </c>
      <c r="I4" s="97" t="n"/>
      <c r="J4" s="97" t="n"/>
      <c r="K4" s="97" t="n"/>
      <c r="L4" s="97" t="n"/>
      <c r="M4" s="97" t="n"/>
      <c r="N4" s="97" t="n"/>
    </row>
  </sheetData>
  <conditionalFormatting sqref="B2">
    <cfRule type="duplicateValues" priority="4" dxfId="0"/>
  </conditionalFormatting>
  <conditionalFormatting sqref="B3:B4">
    <cfRule type="duplicateValues" priority="3" dxfId="0"/>
  </conditionalFormatting>
  <conditionalFormatting sqref="C2">
    <cfRule type="duplicateValues" priority="2" dxfId="0"/>
  </conditionalFormatting>
  <conditionalFormatting sqref="C3:C4">
    <cfRule type="duplicateValues" priority="1" dxfId="0"/>
  </conditionalFormatting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baseColWidth="8" defaultRowHeight="19.9" customHeight="1"/>
  <cols>
    <col width="18.85546875" bestFit="1" customWidth="1" min="1" max="1"/>
    <col width="15.7109375" customWidth="1" style="46" min="2" max="2"/>
    <col width="28.85546875" bestFit="1" customWidth="1" min="3" max="3"/>
    <col width="21.7109375" customWidth="1" style="46" min="4" max="4"/>
    <col width="17.28515625" customWidth="1" style="64" min="5" max="5"/>
    <col width="15.140625" customWidth="1" style="42" min="6" max="6"/>
    <col width="12.42578125" customWidth="1" style="42" min="7" max="7"/>
    <col width="15.140625" customWidth="1" style="42" min="8" max="8"/>
    <col width="23.140625" bestFit="1" customWidth="1" style="64" min="9" max="9"/>
    <col width="33" customWidth="1" style="46" min="10" max="10"/>
    <col width="18.28515625" bestFit="1" customWidth="1" style="46" min="11" max="11"/>
    <col width="17.28515625" customWidth="1" style="68" min="12" max="12"/>
    <col width="29.5703125" customWidth="1" min="13" max="13"/>
    <col hidden="1" width="29" customWidth="1" min="14" max="14"/>
    <col hidden="1" width="17.85546875" customWidth="1" min="15" max="17"/>
    <col hidden="1" width="14.5703125" customWidth="1" min="18" max="18"/>
    <col hidden="1" width="16.7109375" customWidth="1" min="19" max="22"/>
    <col hidden="1" width="14.28515625" customWidth="1" min="23" max="23"/>
    <col hidden="1" width="11.7109375" customWidth="1" min="24" max="25"/>
    <col hidden="1" width="16.7109375" customWidth="1" min="26" max="27"/>
    <col hidden="1" width="15.7109375" customWidth="1" style="42" min="28" max="32"/>
    <col width="14.7109375" customWidth="1" min="33" max="33"/>
    <col width="12.5703125" customWidth="1" min="34" max="34"/>
    <col width="12.7109375" customWidth="1" min="35" max="36"/>
    <col width="15" customWidth="1" style="316" min="37" max="37"/>
    <col width="20.28515625" customWidth="1" min="38" max="41"/>
    <col width="22.28515625" customWidth="1" style="316" min="42" max="42"/>
    <col width="19.85546875" customWidth="1" min="43" max="46"/>
    <col width="18.85546875" customWidth="1" min="47" max="50"/>
    <col width="18.85546875" customWidth="1" style="316" min="51" max="51"/>
    <col width="22.28515625" bestFit="1" customWidth="1" style="67" min="52" max="53"/>
    <col width="21.140625" bestFit="1" customWidth="1" style="67" min="54" max="57"/>
    <col width="17.85546875" bestFit="1" customWidth="1" style="67" min="58" max="58"/>
    <col width="16.7109375" bestFit="1" customWidth="1" style="67" min="59" max="59"/>
    <col width="20.7109375" customWidth="1" style="42" min="60" max="66"/>
    <col width="27.28515625" bestFit="1" customWidth="1" style="42" min="67" max="67"/>
    <col width="27.28515625" customWidth="1" style="42" min="68" max="68"/>
    <col width="20.7109375" customWidth="1" style="42" min="69" max="70"/>
    <col width="27.28515625" bestFit="1" customWidth="1" style="42" min="71" max="71"/>
    <col width="20.7109375" customWidth="1" style="42" min="72" max="73"/>
    <col width="27.28515625" bestFit="1" customWidth="1" style="42" min="74" max="74"/>
    <col width="20.7109375" customWidth="1" style="42" min="75" max="89"/>
    <col width="26.42578125" bestFit="1" customWidth="1" style="42" min="90" max="90"/>
    <col width="19.85546875" bestFit="1" customWidth="1" style="76" min="91" max="91"/>
    <col width="16.85546875" customWidth="1" style="42" min="92" max="92"/>
    <col width="19.7109375" customWidth="1" style="42" min="93" max="93"/>
    <col width="15.5703125" customWidth="1" style="76" min="94" max="94"/>
    <col width="11.140625" bestFit="1" customWidth="1" style="67" min="95" max="95"/>
    <col width="18.42578125" bestFit="1" customWidth="1" min="96" max="96"/>
  </cols>
  <sheetData>
    <row r="1" ht="84" customHeight="1">
      <c r="A1" s="85" t="inlineStr">
        <is>
          <t>Grupo</t>
        </is>
      </c>
      <c r="B1" s="58" t="inlineStr">
        <is>
          <t>UC</t>
        </is>
      </c>
      <c r="C1" s="40" t="inlineStr">
        <is>
          <t>USINA</t>
        </is>
      </c>
      <c r="D1" s="58" t="inlineStr">
        <is>
          <t>ENDEREÇO</t>
        </is>
      </c>
      <c r="E1" s="62" t="inlineStr">
        <is>
          <t>USINA ATIVADA</t>
        </is>
      </c>
      <c r="F1" s="44" t="inlineStr">
        <is>
          <t>PROPOSTA GERAÇÃO   kWh</t>
        </is>
      </c>
      <c r="G1" s="44" t="inlineStr">
        <is>
          <t xml:space="preserve">PROPOSTA  TARIFA </t>
        </is>
      </c>
      <c r="H1" s="44" t="inlineStr">
        <is>
          <t>PROPOSTA GERAÇÃO  R$</t>
        </is>
      </c>
      <c r="I1" s="62" t="inlineStr">
        <is>
          <t xml:space="preserve">MONITORAMENTO </t>
        </is>
      </c>
      <c r="J1" s="58" t="inlineStr">
        <is>
          <t>INVERSORES</t>
        </is>
      </c>
      <c r="K1" s="58" t="inlineStr">
        <is>
          <t>MÓDULOS</t>
        </is>
      </c>
      <c r="L1" s="58" t="inlineStr">
        <is>
          <t>LIMPEZA USINA (DATA)</t>
        </is>
      </c>
      <c r="M1" s="39" t="inlineStr">
        <is>
          <t>MÊS DE REF. DA FATURA</t>
        </is>
      </c>
      <c r="N1" s="39" t="inlineStr">
        <is>
          <t>CICLO</t>
        </is>
      </c>
      <c r="O1" s="51" t="inlineStr">
        <is>
          <t>VALOR DA FATURA</t>
        </is>
      </c>
      <c r="P1" s="51" t="inlineStr">
        <is>
          <t>TROCA DE MODALIDADE</t>
        </is>
      </c>
      <c r="Q1" s="51" t="inlineStr">
        <is>
          <t>DEMANDA</t>
        </is>
      </c>
      <c r="R1" s="51" t="inlineStr">
        <is>
          <t>UFER</t>
        </is>
      </c>
      <c r="S1" s="51" t="inlineStr">
        <is>
          <t>MULTAS E JUROS</t>
        </is>
      </c>
      <c r="T1" s="58" t="inlineStr">
        <is>
          <t>ILUMINAÇÃO PÚBLICA</t>
        </is>
      </c>
      <c r="U1" s="58" t="inlineStr">
        <is>
          <t>MED. MEMÓRIA DE MASSA</t>
        </is>
      </c>
      <c r="V1" s="58" t="inlineStr">
        <is>
          <t>IMPOSTOS (ICMS SOBRE TUSD)</t>
        </is>
      </c>
      <c r="W1" s="58" t="inlineStr">
        <is>
          <t>AUDITORIA SIMER</t>
        </is>
      </c>
      <c r="X1" s="58" t="inlineStr">
        <is>
          <t>MANUTENÇÃO</t>
        </is>
      </c>
      <c r="Y1" s="58" t="inlineStr">
        <is>
          <t>OUTROS</t>
        </is>
      </c>
      <c r="Z1" s="59" t="inlineStr">
        <is>
          <t>TARIFA P</t>
        </is>
      </c>
      <c r="AA1" s="59" t="inlineStr">
        <is>
          <t>TARIFA FP/HR</t>
        </is>
      </c>
      <c r="AB1" s="44" t="inlineStr">
        <is>
          <t>GERAÇÃO P (kWh)</t>
        </is>
      </c>
      <c r="AC1" s="44" t="inlineStr">
        <is>
          <t>GERACAO FP (kWh)</t>
        </is>
      </c>
      <c r="AD1" s="44" t="inlineStr">
        <is>
          <t>GERACAO HR (kWh)</t>
        </is>
      </c>
      <c r="AE1" s="44" t="inlineStr">
        <is>
          <t>GERACAO TOTAL  (kWh)</t>
        </is>
      </c>
      <c r="AF1" s="44" t="inlineStr">
        <is>
          <t>GERACAO TOTAL (R$)</t>
        </is>
      </c>
      <c r="AG1" s="50" t="inlineStr">
        <is>
          <t>SIMULTANEO PONTA</t>
        </is>
      </c>
      <c r="AH1" s="50" t="inlineStr">
        <is>
          <t>SIMULTANEO FP</t>
        </is>
      </c>
      <c r="AI1" s="50" t="inlineStr">
        <is>
          <t>SIMULTANEO HR</t>
        </is>
      </c>
      <c r="AJ1" s="50" t="inlineStr">
        <is>
          <t>SIMULTANEO TOTAL (kWh)</t>
        </is>
      </c>
      <c r="AK1" s="370" t="inlineStr">
        <is>
          <t>SIMULTANEO TOTAL (R$)</t>
        </is>
      </c>
      <c r="AL1" s="47" t="inlineStr">
        <is>
          <t xml:space="preserve"> C. REGISTRADO CONCESSIONARIA PONTA</t>
        </is>
      </c>
      <c r="AM1" s="47" t="inlineStr">
        <is>
          <t>C. REGISTRADO CONCESSIONARIA FP</t>
        </is>
      </c>
      <c r="AN1" s="47" t="inlineStr">
        <is>
          <t>C. REGISTRADO CONCESSIONARIA HR</t>
        </is>
      </c>
      <c r="AO1" s="47" t="inlineStr">
        <is>
          <t>C. REGISTRADO CONCESSIONARIA TOTAL (kWh)</t>
        </is>
      </c>
      <c r="AP1" s="371" t="inlineStr">
        <is>
          <t>C. REGISTRADO CONCESSIONARIA TOTAL (R$)</t>
        </is>
      </c>
      <c r="AQ1" s="48" t="inlineStr">
        <is>
          <t xml:space="preserve"> INJETADA CONCESSIONARIA  PONTA</t>
        </is>
      </c>
      <c r="AR1" s="48" t="inlineStr">
        <is>
          <t xml:space="preserve"> INJETADA CONCESSIONARIA  FP</t>
        </is>
      </c>
      <c r="AS1" s="48" t="inlineStr">
        <is>
          <t xml:space="preserve"> INJETADA CONCESSIONARIA  HR</t>
        </is>
      </c>
      <c r="AT1" s="48" t="inlineStr">
        <is>
          <t xml:space="preserve"> INJETADA CONCESSIONARIA  TOTAL</t>
        </is>
      </c>
      <c r="AU1" s="49" t="inlineStr">
        <is>
          <t>COMPENSADA CONCESSIONARIA PONTA</t>
        </is>
      </c>
      <c r="AV1" s="49" t="inlineStr">
        <is>
          <t>COMPENSADA CONCESSIONARIA FP</t>
        </is>
      </c>
      <c r="AW1" s="49" t="inlineStr">
        <is>
          <t>COMPENSADA CONCESSIONARIA HR</t>
        </is>
      </c>
      <c r="AX1" s="49" t="inlineStr">
        <is>
          <t>COMPENSADA CONCESSIONARIA TOTAL (kWh)</t>
        </is>
      </c>
      <c r="AY1" s="372" t="inlineStr">
        <is>
          <t>COMPENSADA CONCESSIONARIA TOTAL (R$)</t>
        </is>
      </c>
      <c r="AZ1" s="61" t="inlineStr">
        <is>
          <t>CONSUMO FATURADO CONCESSIONARIA PONTA (KWH)</t>
        </is>
      </c>
      <c r="BA1" s="61" t="inlineStr">
        <is>
          <t>VALOR FATURADO CONCESSIONARIA PONTA (R$)</t>
        </is>
      </c>
      <c r="BB1" s="61" t="inlineStr">
        <is>
          <t>CONSUMO FATURADO CONCESSIONARIA FP (KWH)</t>
        </is>
      </c>
      <c r="BC1" s="61" t="inlineStr">
        <is>
          <t>VALOR FATURADO CONCESSIONARIA FP (R$)</t>
        </is>
      </c>
      <c r="BD1" s="61" t="inlineStr">
        <is>
          <t>CONSUMO FATURADO CONCESSIONARIA HR (KWH)</t>
        </is>
      </c>
      <c r="BE1" s="61" t="inlineStr">
        <is>
          <t>VALOR FATURADO CONCESSIONARIA HR (R$)</t>
        </is>
      </c>
      <c r="BF1" s="61" t="inlineStr">
        <is>
          <t>CONSUMO TOTAL FATURADO  CONCESSIONARIA (kWh)</t>
        </is>
      </c>
      <c r="BG1" s="61" t="inlineStr">
        <is>
          <t>VALOR TOTAL FATURADO  CONCESSIONARIA (R$)</t>
        </is>
      </c>
      <c r="BH1" s="43" t="inlineStr">
        <is>
          <t>ENERGIA UTILIZADA DA GERAÇÃO (kWh)</t>
        </is>
      </c>
      <c r="BI1" s="41" t="inlineStr">
        <is>
          <t>VALOR COMPENSADO DA GERAÇÃO NA UC</t>
        </is>
      </c>
      <c r="BJ1" s="45" t="inlineStr">
        <is>
          <t>COMPENSADO + SIMULT DA GERAÇÃO UTILIZADA NA UC (kWh)</t>
        </is>
      </c>
      <c r="BK1" s="45" t="inlineStr">
        <is>
          <t>COMPENSADO DA GERAÇÃO UTILIZADA NA UC DE RATEIO 1 (kWh) (P)</t>
        </is>
      </c>
      <c r="BL1" s="45" t="inlineStr">
        <is>
          <t>COMPENSADO DA GERAÇÃO UTILIZADA NA UC DE RATEIO 1 (kWh) (FP/HR)</t>
        </is>
      </c>
      <c r="BM1" s="84" t="inlineStr">
        <is>
          <t>TARIFA DA COMPENSAÇÃO RATEIO 1  (P)</t>
        </is>
      </c>
      <c r="BN1" s="84" t="inlineStr">
        <is>
          <t>TARIFA DA COMPENSAÇÃO RATEIO 1  (FP/HR)</t>
        </is>
      </c>
      <c r="BO1" s="41" t="inlineStr">
        <is>
          <t>VALOR COMPENSADO DA  GERAÇÃO UTILIZADO NA UC DE RATEIO 1 (P)</t>
        </is>
      </c>
      <c r="BP1" s="41" t="inlineStr">
        <is>
          <t>VALOR COMPENSADO DA  GERAÇÃO UTILIZADO NA UC DE RATEIO 1 (FP/HR)</t>
        </is>
      </c>
      <c r="BQ1" s="45" t="inlineStr">
        <is>
          <t>COMPENSADO DA GERAÇÃO UTILIZADA NA UC DE RATEIO 2 (kWh)</t>
        </is>
      </c>
      <c r="BR1" s="84" t="inlineStr">
        <is>
          <t>TARIFA DA COMPENSAÇÃO RATEIO 2</t>
        </is>
      </c>
      <c r="BS1" s="41" t="inlineStr">
        <is>
          <t>VALOR COMPENSADO DA  GERAÇÃO UTILIZADO NA UC DE RATEIO 2</t>
        </is>
      </c>
      <c r="BT1" s="45" t="inlineStr">
        <is>
          <t>COMPENSADO DA GERAÇÃO UTILIZADA NA UC DE RATEIO 3 (kWh)</t>
        </is>
      </c>
      <c r="BU1" s="84" t="inlineStr">
        <is>
          <t>TARIFA DA COMPENSAÇÃO RATEIO 3</t>
        </is>
      </c>
      <c r="BV1" s="41" t="inlineStr">
        <is>
          <t>VALOR COMPENSADO DA  GERAÇÃO UTILIZADO NA UC DE RATEIO 3</t>
        </is>
      </c>
      <c r="BW1" s="45" t="inlineStr">
        <is>
          <t>COMPENSADO DA GERAÇÃO UTILIZADA NA UC DE RATEIO 4 (kWh)</t>
        </is>
      </c>
      <c r="BX1" s="84" t="inlineStr">
        <is>
          <t>TARIFA DA COMPENSAÇÃO RATEIO 4</t>
        </is>
      </c>
      <c r="BY1" s="41" t="inlineStr">
        <is>
          <t>VALOR COMPENSADO DA  GERAÇÃO UTILIZADO NA UC DE RATEIO 4</t>
        </is>
      </c>
      <c r="BZ1" s="45" t="inlineStr">
        <is>
          <t>COMPENSADO DA GERAÇÃO UTILIZADA NA UC DE RATEIO 5 (kWh)</t>
        </is>
      </c>
      <c r="CA1" s="84" t="inlineStr">
        <is>
          <t>TARIFA DA COMPENSAÇÃO RATEIO 5</t>
        </is>
      </c>
      <c r="CB1" s="41" t="inlineStr">
        <is>
          <t>VALOR COMPENSADO DA  GERAÇÃO UTILIZADO NA UC DE RATEIO 5</t>
        </is>
      </c>
      <c r="CC1" s="45" t="inlineStr">
        <is>
          <t>COMPENSADO DA GERAÇÃO UTILIZADA NA UC DE RATEIO 6 (kWh)</t>
        </is>
      </c>
      <c r="CD1" s="84" t="inlineStr">
        <is>
          <t>TARIFA DA COMPENSAÇÃO RATEIO 6</t>
        </is>
      </c>
      <c r="CE1" s="41" t="inlineStr">
        <is>
          <t>VALOR COMPENSADO DA  GERAÇÃO UTILIZADO NA UC DE RATEIO 6</t>
        </is>
      </c>
      <c r="CF1" s="45" t="inlineStr">
        <is>
          <t>COMPENSADO DA GERAÇÃO UTILIZADA NA UC DE RATEIO 7 (kWh)</t>
        </is>
      </c>
      <c r="CG1" s="84" t="inlineStr">
        <is>
          <t>TARIFA DA COMPENSAÇÃO RATEIO 7</t>
        </is>
      </c>
      <c r="CH1" s="41" t="inlineStr">
        <is>
          <t>VALOR COMPENSADO DA  GERAÇÃO UTILIZADO NA UC DE RATEIO 7</t>
        </is>
      </c>
      <c r="CI1" s="45" t="inlineStr">
        <is>
          <t>COMPENSADO DA GERAÇÃO UTILIZADA NA UC DE RATEIO 8 (kWh)</t>
        </is>
      </c>
      <c r="CJ1" s="84" t="inlineStr">
        <is>
          <t>TARIFA DA COMPENSAÇÃO RATEIO 8</t>
        </is>
      </c>
      <c r="CK1" s="41" t="inlineStr">
        <is>
          <t>VALOR COMPENSADO DA  GERAÇÃO UTILIZADO NA UC DE RATEIO 8</t>
        </is>
      </c>
      <c r="CL1" s="41" t="inlineStr">
        <is>
          <t>VALOR TOTAL COMPENSADO DA GERAÇÃO UTIZADO EM TODAS UCS</t>
        </is>
      </c>
      <c r="CM1" s="75" t="inlineStr">
        <is>
          <t>SALDO BANCO DE CRÉDITO (kWh)</t>
        </is>
      </c>
      <c r="CN1" s="44" t="inlineStr">
        <is>
          <t>VALOR DO BANCO DE CRÉDITO EM  R$</t>
        </is>
      </c>
      <c r="CO1" s="44" t="inlineStr">
        <is>
          <t>CONSUMO TOTAL DA UNIDADE (kWh)</t>
        </is>
      </c>
      <c r="CP1" s="75" t="inlineStr">
        <is>
          <t>SALDO BANCO DE CRÉDITO MENSAL (kWh)</t>
        </is>
      </c>
      <c r="CQ1" s="61" t="inlineStr">
        <is>
          <t>PARECER SIMER</t>
        </is>
      </c>
    </row>
    <row r="2" ht="19.9" customFormat="1" customHeight="1" s="67">
      <c r="B2" s="65" t="n">
        <v>10036862957</v>
      </c>
      <c r="C2" s="52" t="inlineStr">
        <is>
          <t>Fazenda Capoeirao</t>
        </is>
      </c>
      <c r="D2" s="63" t="inlineStr">
        <is>
          <t xml:space="preserve"> DAMOLANDIA</t>
        </is>
      </c>
      <c r="E2" s="69" t="inlineStr">
        <is>
          <t>Dezembro/2023</t>
        </is>
      </c>
      <c r="F2" s="73" t="n">
        <v>16726</v>
      </c>
      <c r="G2" s="373" t="n">
        <v>0.77</v>
      </c>
      <c r="H2" s="55">
        <f>F2*G2</f>
        <v/>
      </c>
      <c r="I2" s="70" t="inlineStr">
        <is>
          <t>Novembro/2023</t>
        </is>
      </c>
      <c r="J2" s="71" t="inlineStr">
        <is>
          <t>1 SUNGROW 110KW</t>
        </is>
      </c>
      <c r="K2" s="72" t="inlineStr">
        <is>
          <t>222 de 665W</t>
        </is>
      </c>
      <c r="L2" s="73" t="n"/>
      <c r="M2" s="56" t="inlineStr">
        <is>
          <t>Outubro/2022</t>
        </is>
      </c>
      <c r="N2" s="56" t="inlineStr">
        <is>
          <t>11/10/2022 a 01/11/2022</t>
        </is>
      </c>
      <c r="O2" t="n">
        <v>742.72</v>
      </c>
      <c r="R2">
        <f>66.88+8.81</f>
        <v/>
      </c>
      <c r="AB2" s="42" t="n"/>
      <c r="AC2" s="42" t="n"/>
      <c r="AD2" s="42" t="n"/>
      <c r="AE2" s="42" t="n"/>
      <c r="AF2" s="42" t="n"/>
      <c r="AK2" s="316" t="n"/>
      <c r="AL2" t="n">
        <v>105.79</v>
      </c>
      <c r="AM2" t="n">
        <v>714</v>
      </c>
      <c r="AN2" t="n">
        <v>218.4</v>
      </c>
      <c r="AO2" s="55">
        <f>SUM(AL2:AN2)</f>
        <v/>
      </c>
      <c r="AP2" s="374">
        <f>(AL2*Z2)+((AM2+AN2)*AA2)</f>
        <v/>
      </c>
      <c r="AY2" s="316" t="n"/>
      <c r="BH2" s="42" t="n"/>
      <c r="BI2" s="42" t="n"/>
      <c r="BJ2" s="42" t="n"/>
      <c r="BK2" s="42" t="n"/>
      <c r="BL2" s="42" t="n"/>
      <c r="BM2" s="42" t="n"/>
      <c r="BN2" s="42" t="n"/>
      <c r="BO2" s="42" t="n"/>
      <c r="BP2" s="42" t="n"/>
      <c r="BQ2" s="42" t="n"/>
      <c r="BR2" s="42" t="n"/>
      <c r="BS2" s="42" t="n"/>
      <c r="BT2" s="42" t="n"/>
      <c r="BU2" s="42" t="n"/>
      <c r="BV2" s="42" t="n"/>
      <c r="BW2" s="42" t="n"/>
      <c r="BX2" s="42" t="n"/>
      <c r="BY2" s="42" t="n"/>
      <c r="BZ2" s="42" t="n"/>
      <c r="CA2" s="42" t="n"/>
      <c r="CB2" s="42" t="n"/>
      <c r="CC2" s="42" t="n"/>
      <c r="CD2" s="42" t="n"/>
      <c r="CE2" s="42" t="n"/>
      <c r="CF2" s="42" t="n"/>
      <c r="CG2" s="42" t="n"/>
      <c r="CH2" s="42" t="n"/>
      <c r="CI2" s="42" t="n"/>
      <c r="CJ2" s="42" t="n"/>
      <c r="CK2" s="42" t="n"/>
      <c r="CL2" s="42" t="n"/>
      <c r="CM2" s="76" t="n"/>
      <c r="CN2" s="42" t="n"/>
      <c r="CO2" s="42" t="n"/>
      <c r="CP2" s="76" t="n"/>
    </row>
    <row r="3" ht="19.9" customFormat="1" customHeight="1" s="67">
      <c r="B3" s="65" t="n">
        <v>10036862957</v>
      </c>
      <c r="C3" s="52" t="inlineStr">
        <is>
          <t>Fazenda Capoeirao</t>
        </is>
      </c>
      <c r="D3" s="63" t="inlineStr">
        <is>
          <t xml:space="preserve"> DAMOLANDIA</t>
        </is>
      </c>
      <c r="E3" s="69" t="inlineStr">
        <is>
          <t>Dezembro/2023</t>
        </is>
      </c>
      <c r="F3" s="73" t="n">
        <v>16726</v>
      </c>
      <c r="G3" s="373" t="n">
        <v>0.77</v>
      </c>
      <c r="H3" s="55">
        <f>F3*G3</f>
        <v/>
      </c>
      <c r="I3" s="70" t="inlineStr">
        <is>
          <t>Novembro/2023</t>
        </is>
      </c>
      <c r="J3" s="71" t="inlineStr">
        <is>
          <t>1 SUNGROW 110KW</t>
        </is>
      </c>
      <c r="K3" s="72" t="inlineStr">
        <is>
          <t>222 de 665W</t>
        </is>
      </c>
      <c r="L3" s="73" t="n"/>
      <c r="M3" s="56" t="inlineStr">
        <is>
          <t>Novembro/2022</t>
        </is>
      </c>
      <c r="N3" s="56" t="inlineStr">
        <is>
          <t>01/11/2023 a 01/12/2023</t>
        </is>
      </c>
      <c r="O3" t="n">
        <v>728.03</v>
      </c>
      <c r="R3">
        <f>109.11+11.2</f>
        <v/>
      </c>
      <c r="S3" t="n">
        <v>14.85</v>
      </c>
      <c r="AB3" s="42" t="n"/>
      <c r="AC3" s="42" t="n"/>
      <c r="AD3" s="42" t="n"/>
      <c r="AE3" s="42" t="n"/>
      <c r="AF3" s="42" t="n"/>
      <c r="AK3" s="316" t="n"/>
      <c r="AL3" t="n">
        <v>91.01000000000001</v>
      </c>
      <c r="AM3" t="n">
        <v>688.8</v>
      </c>
      <c r="AN3" t="n">
        <v>155.4</v>
      </c>
      <c r="AO3" s="55">
        <f>SUM(AL3:AN3)</f>
        <v/>
      </c>
      <c r="AP3" s="374">
        <f>(AL3*Z3)+((AM3+AN3)*AA3)</f>
        <v/>
      </c>
      <c r="AY3" s="316" t="n"/>
      <c r="BH3" s="42" t="n"/>
      <c r="BI3" s="42" t="n"/>
      <c r="BJ3" s="42" t="n"/>
      <c r="BK3" s="42" t="n"/>
      <c r="BL3" s="42" t="n"/>
      <c r="BM3" s="42" t="n"/>
      <c r="BN3" s="42" t="n"/>
      <c r="BO3" s="42" t="n"/>
      <c r="BP3" s="42" t="n"/>
      <c r="BQ3" s="42" t="n"/>
      <c r="BR3" s="42" t="n"/>
      <c r="BS3" s="42" t="n"/>
      <c r="BT3" s="42" t="n"/>
      <c r="BU3" s="42" t="n"/>
      <c r="BV3" s="42" t="n"/>
      <c r="BW3" s="42" t="n"/>
      <c r="BX3" s="42" t="n"/>
      <c r="BY3" s="42" t="n"/>
      <c r="BZ3" s="42" t="n"/>
      <c r="CA3" s="42" t="n"/>
      <c r="CB3" s="42" t="n"/>
      <c r="CC3" s="42" t="n"/>
      <c r="CD3" s="42" t="n"/>
      <c r="CE3" s="42" t="n"/>
      <c r="CF3" s="42" t="n"/>
      <c r="CG3" s="42" t="n"/>
      <c r="CH3" s="42" t="n"/>
      <c r="CI3" s="42" t="n"/>
      <c r="CJ3" s="42" t="n"/>
      <c r="CK3" s="42" t="n"/>
      <c r="CL3" s="42" t="n"/>
      <c r="CM3" s="76" t="n"/>
      <c r="CN3" s="42" t="n"/>
      <c r="CO3" s="42" t="n"/>
      <c r="CP3" s="76" t="n"/>
    </row>
    <row r="4" ht="19.9" customFormat="1" customHeight="1" s="67">
      <c r="B4" s="65" t="n">
        <v>10036862957</v>
      </c>
      <c r="C4" s="52" t="inlineStr">
        <is>
          <t>Fazenda Capoeirao</t>
        </is>
      </c>
      <c r="D4" s="63" t="inlineStr">
        <is>
          <t xml:space="preserve"> DAMOLANDIA</t>
        </is>
      </c>
      <c r="E4" s="69" t="inlineStr">
        <is>
          <t>Dezembro/2023</t>
        </is>
      </c>
      <c r="F4" s="73" t="n">
        <v>16726</v>
      </c>
      <c r="G4" s="373" t="n">
        <v>0.77</v>
      </c>
      <c r="H4" s="55">
        <f>F4*G4</f>
        <v/>
      </c>
      <c r="I4" s="70" t="inlineStr">
        <is>
          <t>Novembro/2023</t>
        </is>
      </c>
      <c r="J4" s="71" t="inlineStr">
        <is>
          <t>1 SUNGROW 110KW</t>
        </is>
      </c>
      <c r="K4" s="72" t="inlineStr">
        <is>
          <t>222 de 665W</t>
        </is>
      </c>
      <c r="L4" s="73" t="n"/>
      <c r="M4" s="53" t="inlineStr">
        <is>
          <t>Dezembro/2022</t>
        </is>
      </c>
      <c r="N4" s="56" t="inlineStr">
        <is>
          <t>01/12/2022 a 01/01/2023</t>
        </is>
      </c>
      <c r="O4" t="n">
        <v>6236.72</v>
      </c>
      <c r="R4">
        <f>242.31+21.96</f>
        <v/>
      </c>
      <c r="S4">
        <f>7.17+0.23+14.26</f>
        <v/>
      </c>
      <c r="Y4" t="n">
        <v>68.91</v>
      </c>
      <c r="AB4" s="42" t="n"/>
      <c r="AC4" s="42" t="n"/>
      <c r="AD4" s="42" t="n"/>
      <c r="AE4" s="42" t="n"/>
      <c r="AF4" s="42" t="n"/>
      <c r="AK4" s="316" t="n"/>
      <c r="AL4" t="n">
        <v>721.3</v>
      </c>
      <c r="AM4" t="n">
        <v>6052.2</v>
      </c>
      <c r="AN4" t="n">
        <v>1549.8</v>
      </c>
      <c r="AO4" s="55">
        <f>SUM(AL4:AN4)</f>
        <v/>
      </c>
      <c r="AP4" s="374">
        <f>(AL4*Z4)+((AM4+AN4)*AA4)</f>
        <v/>
      </c>
      <c r="AY4" s="316" t="n"/>
      <c r="BH4" s="42" t="n"/>
      <c r="BI4" s="42" t="n"/>
      <c r="BJ4" s="42" t="n"/>
      <c r="BK4" s="42" t="n"/>
      <c r="BL4" s="42" t="n"/>
      <c r="BM4" s="42" t="n"/>
      <c r="BN4" s="42" t="n"/>
      <c r="BO4" s="42" t="n"/>
      <c r="BP4" s="42" t="n"/>
      <c r="BQ4" s="42" t="n"/>
      <c r="BR4" s="42" t="n"/>
      <c r="BS4" s="42" t="n"/>
      <c r="BT4" s="42" t="n"/>
      <c r="BU4" s="42" t="n"/>
      <c r="BV4" s="42" t="n"/>
      <c r="BW4" s="42" t="n"/>
      <c r="BX4" s="42" t="n"/>
      <c r="BY4" s="42" t="n"/>
      <c r="BZ4" s="42" t="n"/>
      <c r="CA4" s="42" t="n"/>
      <c r="CB4" s="42" t="n"/>
      <c r="CC4" s="42" t="n"/>
      <c r="CD4" s="42" t="n"/>
      <c r="CE4" s="42" t="n"/>
      <c r="CF4" s="42" t="n"/>
      <c r="CG4" s="42" t="n"/>
      <c r="CH4" s="42" t="n"/>
      <c r="CI4" s="42" t="n"/>
      <c r="CJ4" s="42" t="n"/>
      <c r="CK4" s="42" t="n"/>
      <c r="CL4" s="42" t="n"/>
      <c r="CM4" s="76" t="n"/>
      <c r="CN4" s="42" t="n"/>
      <c r="CO4" s="42" t="n"/>
      <c r="CP4" s="76" t="n"/>
    </row>
    <row r="5" ht="19.9" customFormat="1" customHeight="1" s="67">
      <c r="B5" s="65" t="n">
        <v>10036862957</v>
      </c>
      <c r="C5" s="52" t="inlineStr">
        <is>
          <t>Fazenda Capoeirao</t>
        </is>
      </c>
      <c r="D5" s="63" t="inlineStr">
        <is>
          <t xml:space="preserve"> DAMOLANDIA</t>
        </is>
      </c>
      <c r="E5" s="69" t="inlineStr">
        <is>
          <t>Dezembro/2023</t>
        </is>
      </c>
      <c r="F5" s="73" t="n">
        <v>16726</v>
      </c>
      <c r="G5" s="373" t="n">
        <v>0.77</v>
      </c>
      <c r="H5" s="55">
        <f>F5*G5</f>
        <v/>
      </c>
      <c r="I5" s="70" t="inlineStr">
        <is>
          <t>Novembro/2023</t>
        </is>
      </c>
      <c r="J5" s="71" t="inlineStr">
        <is>
          <t>1 SUNGROW 110KW</t>
        </is>
      </c>
      <c r="K5" s="72" t="inlineStr">
        <is>
          <t>222 de 665W</t>
        </is>
      </c>
      <c r="L5" s="73" t="n"/>
      <c r="M5" s="53" t="inlineStr">
        <is>
          <t>Janeiro/2023</t>
        </is>
      </c>
      <c r="N5" s="56" t="inlineStr">
        <is>
          <t>01/01/2023 a 01/02/2023</t>
        </is>
      </c>
      <c r="O5" t="n">
        <v>21994.59</v>
      </c>
      <c r="R5">
        <f>1002.23+136.84</f>
        <v/>
      </c>
      <c r="AB5" s="42" t="n"/>
      <c r="AC5" s="42" t="n"/>
      <c r="AD5" s="42" t="n"/>
      <c r="AE5" s="42" t="n"/>
      <c r="AF5" s="42" t="n"/>
      <c r="AK5" s="316" t="n"/>
      <c r="AL5" t="n">
        <v>2842.05</v>
      </c>
      <c r="AM5" t="n">
        <v>20701.8</v>
      </c>
      <c r="AN5" t="n">
        <v>6266.4</v>
      </c>
      <c r="AO5" s="55">
        <f>SUM(AL5:AN5)</f>
        <v/>
      </c>
      <c r="AP5" s="374">
        <f>(AL5*Z5)+((AM5+AN5)*AA5)</f>
        <v/>
      </c>
      <c r="AY5" s="316" t="n"/>
      <c r="BH5" s="42" t="n"/>
      <c r="BI5" s="42" t="n"/>
      <c r="BJ5" s="42" t="n"/>
      <c r="BK5" s="42" t="n"/>
      <c r="BL5" s="42" t="n"/>
      <c r="BM5" s="42" t="n"/>
      <c r="BN5" s="42" t="n"/>
      <c r="BO5" s="42" t="n"/>
      <c r="BP5" s="42" t="n"/>
      <c r="BQ5" s="42" t="n"/>
      <c r="BR5" s="42" t="n"/>
      <c r="BS5" s="42" t="n"/>
      <c r="BT5" s="42" t="n"/>
      <c r="BU5" s="42" t="n"/>
      <c r="BV5" s="42" t="n"/>
      <c r="BW5" s="42" t="n"/>
      <c r="BX5" s="42" t="n"/>
      <c r="BY5" s="42" t="n"/>
      <c r="BZ5" s="42" t="n"/>
      <c r="CA5" s="42" t="n"/>
      <c r="CB5" s="42" t="n"/>
      <c r="CC5" s="42" t="n"/>
      <c r="CD5" s="42" t="n"/>
      <c r="CE5" s="42" t="n"/>
      <c r="CF5" s="42" t="n"/>
      <c r="CG5" s="42" t="n"/>
      <c r="CH5" s="42" t="n"/>
      <c r="CI5" s="42" t="n"/>
      <c r="CJ5" s="42" t="n"/>
      <c r="CK5" s="42" t="n"/>
      <c r="CL5" s="42" t="n"/>
      <c r="CM5" s="76" t="n"/>
      <c r="CN5" s="42" t="n"/>
      <c r="CO5" s="42" t="n"/>
      <c r="CP5" s="76" t="n"/>
    </row>
    <row r="6" ht="19.9" customFormat="1" customHeight="1" s="67">
      <c r="B6" s="65" t="n">
        <v>10036862957</v>
      </c>
      <c r="C6" s="52" t="inlineStr">
        <is>
          <t>Fazenda Capoeirao</t>
        </is>
      </c>
      <c r="D6" s="63" t="inlineStr">
        <is>
          <t xml:space="preserve"> DAMOLANDIA</t>
        </is>
      </c>
      <c r="E6" s="69" t="inlineStr">
        <is>
          <t>Dezembro/2023</t>
        </is>
      </c>
      <c r="F6" s="73" t="n">
        <v>16726</v>
      </c>
      <c r="G6" s="373" t="n">
        <v>0.77</v>
      </c>
      <c r="H6" s="55">
        <f>F6*G6</f>
        <v/>
      </c>
      <c r="I6" s="70" t="inlineStr">
        <is>
          <t>Novembro/2023</t>
        </is>
      </c>
      <c r="J6" s="71" t="inlineStr">
        <is>
          <t>1 SUNGROW 110KW</t>
        </is>
      </c>
      <c r="K6" s="72" t="inlineStr">
        <is>
          <t>222 de 665W</t>
        </is>
      </c>
      <c r="L6" s="73" t="n"/>
      <c r="M6" s="53" t="inlineStr">
        <is>
          <t>Fevereiro/2023</t>
        </is>
      </c>
      <c r="N6" s="56" t="inlineStr">
        <is>
          <t>01/02/2023 a 01/03/2023</t>
        </is>
      </c>
      <c r="O6" t="n">
        <v>10444.12</v>
      </c>
      <c r="R6">
        <f>439.37+36.7</f>
        <v/>
      </c>
      <c r="S6">
        <f>51.32+439.89</f>
        <v/>
      </c>
      <c r="AB6" s="42" t="n"/>
      <c r="AC6" s="42" t="n"/>
      <c r="AD6" s="42" t="n"/>
      <c r="AE6" s="42" t="n"/>
      <c r="AF6" s="42" t="n"/>
      <c r="AK6" s="316" t="n"/>
      <c r="AL6" t="n">
        <v>954.4</v>
      </c>
      <c r="AM6" t="n">
        <v>9370.200000000001</v>
      </c>
      <c r="AN6" t="n">
        <v>2020.2</v>
      </c>
      <c r="AO6" s="55">
        <f>SUM(AL6:AN6)</f>
        <v/>
      </c>
      <c r="AP6" s="374">
        <f>(AL6*Z6)+((AM6+AN6)*AA6)</f>
        <v/>
      </c>
      <c r="AY6" s="316" t="n"/>
      <c r="BH6" s="42" t="n"/>
      <c r="BI6" s="42" t="n"/>
      <c r="BJ6" s="42" t="n"/>
      <c r="BK6" s="42" t="n"/>
      <c r="BL6" s="42" t="n"/>
      <c r="BM6" s="42" t="n"/>
      <c r="BN6" s="42" t="n"/>
      <c r="BO6" s="42" t="n"/>
      <c r="BP6" s="42" t="n"/>
      <c r="BQ6" s="42" t="n"/>
      <c r="BR6" s="42" t="n"/>
      <c r="BS6" s="42" t="n"/>
      <c r="BT6" s="42" t="n"/>
      <c r="BU6" s="42" t="n"/>
      <c r="BV6" s="42" t="n"/>
      <c r="BW6" s="42" t="n"/>
      <c r="BX6" s="42" t="n"/>
      <c r="BY6" s="42" t="n"/>
      <c r="BZ6" s="42" t="n"/>
      <c r="CA6" s="42" t="n"/>
      <c r="CB6" s="42" t="n"/>
      <c r="CC6" s="42" t="n"/>
      <c r="CD6" s="42" t="n"/>
      <c r="CE6" s="42" t="n"/>
      <c r="CF6" s="42" t="n"/>
      <c r="CG6" s="42" t="n"/>
      <c r="CH6" s="42" t="n"/>
      <c r="CI6" s="42" t="n"/>
      <c r="CJ6" s="42" t="n"/>
      <c r="CK6" s="42" t="n"/>
      <c r="CL6" s="42" t="n"/>
      <c r="CM6" s="76" t="n"/>
      <c r="CN6" s="42" t="n"/>
      <c r="CO6" s="42" t="n"/>
      <c r="CP6" s="76" t="n"/>
    </row>
    <row r="7" ht="19.9" customFormat="1" customHeight="1" s="67">
      <c r="B7" s="65" t="n">
        <v>10036862957</v>
      </c>
      <c r="C7" s="52" t="inlineStr">
        <is>
          <t>Fazenda Capoeirao</t>
        </is>
      </c>
      <c r="D7" s="63" t="inlineStr">
        <is>
          <t xml:space="preserve"> DAMOLANDIA</t>
        </is>
      </c>
      <c r="E7" s="69" t="inlineStr">
        <is>
          <t>Dezembro/2023</t>
        </is>
      </c>
      <c r="F7" s="73" t="n">
        <v>16726</v>
      </c>
      <c r="G7" s="373" t="n">
        <v>0.77</v>
      </c>
      <c r="H7" s="55">
        <f>F7*G7</f>
        <v/>
      </c>
      <c r="I7" s="70" t="inlineStr">
        <is>
          <t>Novembro/2023</t>
        </is>
      </c>
      <c r="J7" s="71" t="inlineStr">
        <is>
          <t>1 SUNGROW 110KW</t>
        </is>
      </c>
      <c r="K7" s="72" t="inlineStr">
        <is>
          <t>222 de 665W</t>
        </is>
      </c>
      <c r="L7" s="73" t="n"/>
      <c r="M7" s="53" t="inlineStr">
        <is>
          <t>Março/2023</t>
        </is>
      </c>
      <c r="N7" s="56" t="inlineStr">
        <is>
          <t>01/03/2023 a 01/04/2023</t>
        </is>
      </c>
      <c r="O7" t="n">
        <v>20242.04</v>
      </c>
      <c r="R7">
        <f>915.67+120.73</f>
        <v/>
      </c>
      <c r="AB7" s="42" t="n"/>
      <c r="AC7" s="42" t="n"/>
      <c r="AD7" s="42" t="n"/>
      <c r="AE7" s="42" t="n"/>
      <c r="AF7" s="42" t="n"/>
      <c r="AK7" s="316" t="n"/>
      <c r="AL7" t="n">
        <v>2422.39</v>
      </c>
      <c r="AM7" t="n">
        <v>17677.8</v>
      </c>
      <c r="AN7" t="n">
        <v>5069.4</v>
      </c>
      <c r="AO7" s="55">
        <f>SUM(AL7:AN7)</f>
        <v/>
      </c>
      <c r="AP7" s="374">
        <f>(AL7*Z7)+((AM7+AN7)*AA7)</f>
        <v/>
      </c>
      <c r="AY7" s="316" t="n"/>
      <c r="BH7" s="42" t="n"/>
      <c r="BI7" s="42" t="n"/>
      <c r="BJ7" s="42" t="n"/>
      <c r="BK7" s="42" t="n"/>
      <c r="BL7" s="42" t="n"/>
      <c r="BM7" s="42" t="n"/>
      <c r="BN7" s="42" t="n"/>
      <c r="BO7" s="42" t="n"/>
      <c r="BP7" s="42" t="n"/>
      <c r="BQ7" s="42" t="n"/>
      <c r="BR7" s="42" t="n"/>
      <c r="BS7" s="42" t="n"/>
      <c r="BT7" s="42" t="n"/>
      <c r="BU7" s="42" t="n"/>
      <c r="BV7" s="42" t="n"/>
      <c r="BW7" s="42" t="n"/>
      <c r="BX7" s="42" t="n"/>
      <c r="BY7" s="42" t="n"/>
      <c r="BZ7" s="42" t="n"/>
      <c r="CA7" s="42" t="n"/>
      <c r="CB7" s="42" t="n"/>
      <c r="CC7" s="42" t="n"/>
      <c r="CD7" s="42" t="n"/>
      <c r="CE7" s="42" t="n"/>
      <c r="CF7" s="42" t="n"/>
      <c r="CG7" s="42" t="n"/>
      <c r="CH7" s="42" t="n"/>
      <c r="CI7" s="42" t="n"/>
      <c r="CJ7" s="42" t="n"/>
      <c r="CK7" s="42" t="n"/>
      <c r="CL7" s="42" t="n"/>
      <c r="CM7" s="76" t="n"/>
      <c r="CN7" s="42" t="n"/>
      <c r="CO7" s="42" t="n"/>
      <c r="CP7" s="76" t="n"/>
    </row>
    <row r="8" ht="19.9" customHeight="1">
      <c r="B8" s="65" t="n">
        <v>10036862957</v>
      </c>
      <c r="C8" s="52" t="inlineStr">
        <is>
          <t>Fazenda Capoeirao</t>
        </is>
      </c>
      <c r="D8" s="63" t="inlineStr">
        <is>
          <t xml:space="preserve"> DAMOLANDIA</t>
        </is>
      </c>
      <c r="E8" s="69" t="inlineStr">
        <is>
          <t>Dezembro/2023</t>
        </is>
      </c>
      <c r="F8" s="73" t="n">
        <v>16726</v>
      </c>
      <c r="G8" s="373" t="n">
        <v>0.77</v>
      </c>
      <c r="H8" s="55">
        <f>F8*G8</f>
        <v/>
      </c>
      <c r="I8" s="70" t="inlineStr">
        <is>
          <t>Novembro/2023</t>
        </is>
      </c>
      <c r="J8" s="71" t="inlineStr">
        <is>
          <t>1 SUNGROW 110KW</t>
        </is>
      </c>
      <c r="K8" s="72" t="inlineStr">
        <is>
          <t>222 de 665W</t>
        </is>
      </c>
      <c r="L8" s="73" t="n"/>
      <c r="M8" s="53" t="inlineStr">
        <is>
          <t>Abril/2023</t>
        </is>
      </c>
      <c r="N8" s="56" t="inlineStr">
        <is>
          <t>01/04/2023 a 01/05/2023</t>
        </is>
      </c>
      <c r="O8" t="n">
        <v>13822.33</v>
      </c>
      <c r="R8">
        <f>662.07+56.47</f>
        <v/>
      </c>
      <c r="AK8" s="316" t="n"/>
      <c r="AL8" t="n">
        <v>1237.74</v>
      </c>
      <c r="AM8" t="n">
        <v>13196.4</v>
      </c>
      <c r="AN8" t="n">
        <v>2671.2</v>
      </c>
      <c r="AO8" s="55">
        <f>SUM(AL8:AN8)</f>
        <v/>
      </c>
      <c r="AP8" s="374">
        <f>(AL8*Z8)+((AM8+AN8)*AA8)</f>
        <v/>
      </c>
      <c r="AY8" s="316" t="n"/>
    </row>
    <row r="9" ht="19.9" customHeight="1">
      <c r="B9" s="65" t="n">
        <v>10036862957</v>
      </c>
      <c r="C9" s="52" t="inlineStr">
        <is>
          <t>Fazenda Capoeirao</t>
        </is>
      </c>
      <c r="D9" s="63" t="inlineStr">
        <is>
          <t xml:space="preserve"> DAMOLANDIA</t>
        </is>
      </c>
      <c r="E9" s="69" t="inlineStr">
        <is>
          <t>Dezembro/2023</t>
        </is>
      </c>
      <c r="F9" s="73" t="n">
        <v>16726</v>
      </c>
      <c r="G9" s="373" t="n">
        <v>0.77</v>
      </c>
      <c r="H9" s="55">
        <f>F9*G9</f>
        <v/>
      </c>
      <c r="I9" s="70" t="inlineStr">
        <is>
          <t>Novembro/2023</t>
        </is>
      </c>
      <c r="J9" s="71" t="inlineStr">
        <is>
          <t>1 SUNGROW 110KW</t>
        </is>
      </c>
      <c r="K9" s="72" t="inlineStr">
        <is>
          <t>222 de 665W</t>
        </is>
      </c>
      <c r="L9" s="73" t="n"/>
      <c r="M9" s="53" t="inlineStr">
        <is>
          <t>Maio/2023</t>
        </is>
      </c>
      <c r="N9" s="56" t="inlineStr">
        <is>
          <t>01/05/2023 a 01/06/2023</t>
        </is>
      </c>
      <c r="O9" t="n">
        <v>16689.27</v>
      </c>
      <c r="R9">
        <f>732+88.34</f>
        <v/>
      </c>
      <c r="AL9" t="n">
        <v>1866.81</v>
      </c>
      <c r="AM9" t="n">
        <v>14624.4</v>
      </c>
      <c r="AN9" t="n">
        <v>3981.6</v>
      </c>
      <c r="AO9" s="55">
        <f>SUM(AL9:AN9)</f>
        <v/>
      </c>
      <c r="AP9" s="374">
        <f>(AL9*Z9)+((AM9+AN9)*AA9)</f>
        <v/>
      </c>
    </row>
    <row r="10" ht="19.9" customHeight="1">
      <c r="B10" s="65" t="n">
        <v>10036862957</v>
      </c>
      <c r="C10" s="52" t="inlineStr">
        <is>
          <t>Fazenda Capoeirao</t>
        </is>
      </c>
      <c r="D10" s="63" t="inlineStr">
        <is>
          <t xml:space="preserve"> DAMOLANDIA</t>
        </is>
      </c>
      <c r="E10" s="69" t="inlineStr">
        <is>
          <t>Dezembro/2023</t>
        </is>
      </c>
      <c r="F10" s="73" t="n">
        <v>16726</v>
      </c>
      <c r="G10" s="373" t="n">
        <v>0.77</v>
      </c>
      <c r="H10" s="55">
        <f>F10*G10</f>
        <v/>
      </c>
      <c r="I10" s="70" t="inlineStr">
        <is>
          <t>Novembro/2023</t>
        </is>
      </c>
      <c r="J10" s="71" t="inlineStr">
        <is>
          <t>1 SUNGROW 110KW</t>
        </is>
      </c>
      <c r="K10" s="72" t="inlineStr">
        <is>
          <t>222 de 665W</t>
        </is>
      </c>
      <c r="L10" s="73" t="n"/>
      <c r="M10" s="53" t="inlineStr">
        <is>
          <t>Junho/2023</t>
        </is>
      </c>
      <c r="N10" s="56" t="inlineStr">
        <is>
          <t>01/06/2023 a 01/07/2023</t>
        </is>
      </c>
      <c r="O10" t="n">
        <v>18570.38</v>
      </c>
      <c r="R10">
        <f>868.64+101.18</f>
        <v/>
      </c>
      <c r="AL10" t="n">
        <v>1992.18</v>
      </c>
      <c r="AM10" t="n">
        <v>16619.4</v>
      </c>
      <c r="AN10" t="n">
        <v>3809.4</v>
      </c>
      <c r="AO10" s="55">
        <f>SUM(AL10:AN10)</f>
        <v/>
      </c>
      <c r="AP10" s="374">
        <f>(AL10*Z10)+((AM10+AN10)*AA10)</f>
        <v/>
      </c>
    </row>
    <row r="11" ht="19.9" customHeight="1">
      <c r="B11" s="65" t="n">
        <v>10036862957</v>
      </c>
      <c r="C11" s="52" t="inlineStr">
        <is>
          <t>Fazenda Capoeirao</t>
        </is>
      </c>
      <c r="D11" s="63" t="inlineStr">
        <is>
          <t xml:space="preserve"> DAMOLANDIA</t>
        </is>
      </c>
      <c r="E11" s="69" t="inlineStr">
        <is>
          <t>Dezembro/2023</t>
        </is>
      </c>
      <c r="F11" s="73" t="n">
        <v>16726</v>
      </c>
      <c r="G11" s="373" t="n">
        <v>0.77</v>
      </c>
      <c r="H11" s="55">
        <f>F11*G11</f>
        <v/>
      </c>
      <c r="I11" s="70" t="inlineStr">
        <is>
          <t>Novembro/2023</t>
        </is>
      </c>
      <c r="J11" s="71" t="inlineStr">
        <is>
          <t>1 SUNGROW 110KW</t>
        </is>
      </c>
      <c r="K11" s="72" t="inlineStr">
        <is>
          <t>222 de 665W</t>
        </is>
      </c>
      <c r="L11" s="73" t="n"/>
      <c r="M11" s="53" t="inlineStr">
        <is>
          <t>Julho/2023</t>
        </is>
      </c>
      <c r="N11" s="56" t="inlineStr">
        <is>
          <t>19/07/2023 a 01/08/2023</t>
        </is>
      </c>
      <c r="O11" t="n">
        <v>8454.01</v>
      </c>
      <c r="R11">
        <f>474.16</f>
        <v/>
      </c>
      <c r="S11">
        <f>24.76+371.41</f>
        <v/>
      </c>
      <c r="AG11" s="55">
        <f>AB11-AQ11</f>
        <v/>
      </c>
      <c r="AH11" s="55">
        <f>AC11-AR11</f>
        <v/>
      </c>
      <c r="AI11" s="55">
        <f>AD11-AS11</f>
        <v/>
      </c>
      <c r="AJ11" s="55">
        <f>SUM(AG11:AI11)</f>
        <v/>
      </c>
      <c r="AK11" s="374">
        <f>(AG11*Z11)+((AH11+AI11)*AA11)</f>
        <v/>
      </c>
      <c r="AL11" t="n">
        <v>1139.08</v>
      </c>
      <c r="AM11" t="n">
        <v>9471</v>
      </c>
      <c r="AN11" t="n">
        <v>3313.8</v>
      </c>
      <c r="AO11" s="55">
        <f>SUM(AL11:AN11)</f>
        <v/>
      </c>
      <c r="AP11" s="374">
        <f>(AL11*Z11)+((AM11+AN11)*AA11)</f>
        <v/>
      </c>
      <c r="AR11" t="n">
        <v>4435.2</v>
      </c>
    </row>
    <row r="12" ht="19.9" customHeight="1">
      <c r="B12" s="65" t="n">
        <v>10036862957</v>
      </c>
      <c r="C12" s="52" t="inlineStr">
        <is>
          <t>Fazenda Capoeirao</t>
        </is>
      </c>
      <c r="D12" s="63" t="inlineStr">
        <is>
          <t xml:space="preserve"> DAMOLANDIA</t>
        </is>
      </c>
      <c r="E12" s="69" t="inlineStr">
        <is>
          <t>Dezembro/2023</t>
        </is>
      </c>
      <c r="F12" s="73" t="n">
        <v>16726</v>
      </c>
      <c r="G12" s="373" t="n">
        <v>0.77</v>
      </c>
      <c r="H12" s="55">
        <f>F12*G12</f>
        <v/>
      </c>
      <c r="I12" s="70" t="inlineStr">
        <is>
          <t>Novembro/2023</t>
        </is>
      </c>
      <c r="J12" s="71" t="inlineStr">
        <is>
          <t>1 SUNGROW 110KW</t>
        </is>
      </c>
      <c r="K12" s="72" t="inlineStr">
        <is>
          <t>222 de 665W</t>
        </is>
      </c>
      <c r="L12" s="73" t="n"/>
      <c r="M12" s="53" t="inlineStr">
        <is>
          <t>Agosto/2023</t>
        </is>
      </c>
      <c r="N12" s="56" t="inlineStr">
        <is>
          <t>01/08/2023 a 01/09/2023</t>
        </is>
      </c>
      <c r="O12" t="n">
        <v>7204.45</v>
      </c>
      <c r="R12">
        <f>518.7+112.46</f>
        <v/>
      </c>
      <c r="AF12" s="42" t="n">
        <v>17400</v>
      </c>
      <c r="AG12" s="55">
        <f>AB12-AQ12</f>
        <v/>
      </c>
      <c r="AH12" s="55">
        <f>AC12-AR12</f>
        <v/>
      </c>
      <c r="AI12" s="55">
        <f>AD12-AS12</f>
        <v/>
      </c>
      <c r="AJ12" s="55">
        <f>SUM(AG12:AI12)</f>
        <v/>
      </c>
      <c r="AK12" s="374">
        <f>(AG12*Z12)+((AH12+AI12)*AA12)</f>
        <v/>
      </c>
      <c r="AL12" t="n">
        <v>2486.98</v>
      </c>
      <c r="AM12" t="n">
        <v>7736.4</v>
      </c>
      <c r="AN12" t="n">
        <v>4225.2</v>
      </c>
      <c r="AO12" s="55">
        <f>SUM(AL12:AN12)</f>
        <v/>
      </c>
      <c r="AP12" s="374">
        <f>(AL12*Z12)+((AM12+AN12)*AA12)</f>
        <v/>
      </c>
      <c r="AR12" t="n">
        <v>5430.6</v>
      </c>
      <c r="AY12" s="316" t="n"/>
    </row>
    <row r="13" ht="19.9" customHeight="1">
      <c r="B13" s="65" t="n">
        <v>10036862957</v>
      </c>
      <c r="C13" s="52" t="inlineStr">
        <is>
          <t>Fazenda Capoeirao</t>
        </is>
      </c>
      <c r="D13" s="63" t="inlineStr">
        <is>
          <t xml:space="preserve"> DAMOLANDIA</t>
        </is>
      </c>
      <c r="E13" s="69" t="inlineStr">
        <is>
          <t>Dezembro/2023</t>
        </is>
      </c>
      <c r="F13" s="73" t="n">
        <v>16726</v>
      </c>
      <c r="G13" s="373" t="n">
        <v>0.77</v>
      </c>
      <c r="H13" s="55">
        <f>F13*G13</f>
        <v/>
      </c>
      <c r="I13" s="70" t="inlineStr">
        <is>
          <t>Novembro/2023</t>
        </is>
      </c>
      <c r="J13" s="71" t="inlineStr">
        <is>
          <t>1 SUNGROW 110KW</t>
        </is>
      </c>
      <c r="K13" s="72" t="inlineStr">
        <is>
          <t>222 de 665W</t>
        </is>
      </c>
      <c r="L13" s="73" t="n"/>
      <c r="M13" s="53" t="inlineStr">
        <is>
          <t>Setembro/2023</t>
        </is>
      </c>
      <c r="N13" s="56" t="inlineStr">
        <is>
          <t>01/09/2023 a 01/10/2023</t>
        </is>
      </c>
      <c r="O13" t="n">
        <v>0</v>
      </c>
      <c r="R13">
        <f>210.14+42.91</f>
        <v/>
      </c>
      <c r="Y13" t="n">
        <v>-327.48</v>
      </c>
      <c r="AF13" s="42" t="n">
        <v>18000</v>
      </c>
      <c r="AG13" s="55">
        <f>AB13-AQ13</f>
        <v/>
      </c>
      <c r="AH13" s="55">
        <f>AC13-AR13</f>
        <v/>
      </c>
      <c r="AI13" s="55">
        <f>AD13-AS13</f>
        <v/>
      </c>
      <c r="AJ13" s="55">
        <f>SUM(AG13:AI13)</f>
        <v/>
      </c>
      <c r="AK13" s="374">
        <f>(AG13*Z13)+((AH13+AI13)*AA13)</f>
        <v/>
      </c>
      <c r="AL13" t="n">
        <v>1128.24</v>
      </c>
      <c r="AM13" t="n">
        <v>3897.6</v>
      </c>
      <c r="AN13" t="n">
        <v>3036.6</v>
      </c>
      <c r="AO13" s="55">
        <f>SUM(AL13:AN13)</f>
        <v/>
      </c>
      <c r="AP13" s="374">
        <f>(AL13*Z13)+((AM13+AN13)*AA13)</f>
        <v/>
      </c>
      <c r="AQ13" t="n">
        <v>1128.24</v>
      </c>
      <c r="AR13" t="n">
        <v>3797.6</v>
      </c>
      <c r="AS13" t="n">
        <v>3036.6</v>
      </c>
    </row>
    <row r="14" ht="19.9" customHeight="1">
      <c r="B14" s="65" t="n">
        <v>10036862957</v>
      </c>
      <c r="C14" s="52" t="inlineStr">
        <is>
          <t>Fazenda Capoeirao</t>
        </is>
      </c>
      <c r="D14" s="63" t="inlineStr">
        <is>
          <t xml:space="preserve"> DAMOLANDIA</t>
        </is>
      </c>
      <c r="E14" s="69" t="inlineStr">
        <is>
          <t>Dezembro/2023</t>
        </is>
      </c>
      <c r="F14" s="73" t="n">
        <v>16726</v>
      </c>
      <c r="G14" s="373" t="n">
        <v>0.77</v>
      </c>
      <c r="H14" s="55">
        <f>F14*G14</f>
        <v/>
      </c>
      <c r="I14" s="70" t="inlineStr">
        <is>
          <t>Novembro/2023</t>
        </is>
      </c>
      <c r="J14" s="71" t="inlineStr">
        <is>
          <t>1 SUNGROW 110KW</t>
        </is>
      </c>
      <c r="K14" s="72" t="inlineStr">
        <is>
          <t>222 de 665W</t>
        </is>
      </c>
      <c r="L14" s="73" t="n"/>
      <c r="M14" s="53" t="inlineStr">
        <is>
          <t>Outubro/2023</t>
        </is>
      </c>
      <c r="N14" s="56" t="inlineStr">
        <is>
          <t>01/10/2023 a 01/11/2023</t>
        </is>
      </c>
      <c r="O14" t="n">
        <v>8123.77</v>
      </c>
      <c r="R14">
        <f>610.33+145.83</f>
        <v/>
      </c>
      <c r="Y14" t="n">
        <v>-2112.93</v>
      </c>
      <c r="AF14" s="42" t="n">
        <v>19000</v>
      </c>
      <c r="AG14" s="55">
        <f>AB14-AQ14</f>
        <v/>
      </c>
      <c r="AH14" s="55">
        <f>AC14-AR14</f>
        <v/>
      </c>
      <c r="AI14" s="55">
        <f>AD14-AS14</f>
        <v/>
      </c>
      <c r="AJ14" s="55">
        <f>SUM(AG14:AI14)</f>
        <v/>
      </c>
      <c r="AK14" s="374">
        <f>(AG14*Z14)+((AH14+AI14)*AA14)</f>
        <v/>
      </c>
      <c r="AL14" t="n">
        <v>2955.2</v>
      </c>
      <c r="AM14" t="n">
        <v>9756.6</v>
      </c>
      <c r="AN14" t="n">
        <v>6501.6</v>
      </c>
      <c r="AO14" s="55">
        <f>SUM(AL14:AN14)</f>
        <v/>
      </c>
      <c r="AP14" s="374">
        <f>(AL14*Z14)+((AM14+AN14)*AA14)</f>
        <v/>
      </c>
      <c r="AR14" t="n">
        <v>7166.08</v>
      </c>
    </row>
    <row r="15" ht="19.9" customFormat="1" customHeight="1" s="67">
      <c r="B15" s="65" t="n">
        <v>10036862957</v>
      </c>
      <c r="C15" s="52" t="inlineStr">
        <is>
          <t>Fazenda Capoeirao</t>
        </is>
      </c>
      <c r="D15" s="63" t="inlineStr">
        <is>
          <t xml:space="preserve"> DAMOLANDIA</t>
        </is>
      </c>
      <c r="E15" s="69" t="inlineStr">
        <is>
          <t>Dezembro/2023</t>
        </is>
      </c>
      <c r="F15" s="73" t="n">
        <v>16726</v>
      </c>
      <c r="G15" s="373" t="n">
        <v>0.77</v>
      </c>
      <c r="H15" s="55">
        <f>F15*G15</f>
        <v/>
      </c>
      <c r="I15" s="70" t="inlineStr">
        <is>
          <t>Novembro/2023</t>
        </is>
      </c>
      <c r="J15" s="71" t="inlineStr">
        <is>
          <t>1 SUNGROW 110KW</t>
        </is>
      </c>
      <c r="K15" s="72" t="inlineStr">
        <is>
          <t>222 de 665W</t>
        </is>
      </c>
      <c r="L15" s="73" t="n"/>
      <c r="M15" s="56" t="inlineStr">
        <is>
          <t>Novembro/2023</t>
        </is>
      </c>
      <c r="N15" s="56" t="inlineStr">
        <is>
          <t>01/11/2023 a 01/12/2023</t>
        </is>
      </c>
      <c r="O15" s="375" t="n">
        <v>199.55</v>
      </c>
      <c r="P15" s="375" t="n">
        <v>0</v>
      </c>
      <c r="Q15" s="375" t="n">
        <v>0</v>
      </c>
      <c r="R15" s="375" t="n">
        <v>114.17</v>
      </c>
      <c r="S15" s="375" t="n">
        <v>0</v>
      </c>
      <c r="T15" s="375" t="n">
        <v>0</v>
      </c>
      <c r="U15" s="375" t="n">
        <v>0</v>
      </c>
      <c r="V15" s="375" t="n">
        <v>0</v>
      </c>
      <c r="W15" s="375" t="n"/>
      <c r="X15" s="375" t="n"/>
      <c r="Y15" s="375" t="n"/>
      <c r="Z15" s="376" t="n">
        <v>0.85383</v>
      </c>
      <c r="AA15" s="376" t="n">
        <v>0.85383</v>
      </c>
      <c r="AB15" s="55" t="n"/>
      <c r="AC15" s="55" t="n"/>
      <c r="AD15" s="55" t="n"/>
      <c r="AE15" s="55">
        <f>SUM(AB15:AD15)</f>
        <v/>
      </c>
      <c r="AF15" s="373" t="n">
        <v>18600</v>
      </c>
      <c r="AG15" s="55">
        <f>AB15-AQ15</f>
        <v/>
      </c>
      <c r="AH15" s="55">
        <f>AC15-AR15</f>
        <v/>
      </c>
      <c r="AI15" s="55">
        <f>AD15-AS15</f>
        <v/>
      </c>
      <c r="AJ15" s="55">
        <f>SUM(AG15:AI15)</f>
        <v/>
      </c>
      <c r="AK15" s="374">
        <f>(AG15*Z15)+((AH15+AI15)*AA15)</f>
        <v/>
      </c>
      <c r="AL15" s="55" t="n">
        <v>636.17</v>
      </c>
      <c r="AM15" s="55" t="n">
        <v>1734.6</v>
      </c>
      <c r="AN15" s="55" t="n">
        <v>1738.8</v>
      </c>
      <c r="AO15" s="55">
        <f>SUM(AL15:AN15)</f>
        <v/>
      </c>
      <c r="AP15" s="374">
        <f>(AL15*Z15)+((AM15+AN15)*AA15)</f>
        <v/>
      </c>
      <c r="AQ15" s="55" t="n">
        <v>2.1</v>
      </c>
      <c r="AR15" s="55" t="n">
        <v>13687.8</v>
      </c>
      <c r="AS15" s="55" t="n">
        <v>0</v>
      </c>
      <c r="AT15" s="55">
        <f>SUM(AQ15:AS15)</f>
        <v/>
      </c>
      <c r="AU15" s="55" t="n">
        <v>636.17</v>
      </c>
      <c r="AV15" s="55" t="n">
        <v>1634.6</v>
      </c>
      <c r="AW15" s="55" t="n">
        <v>1738.8</v>
      </c>
      <c r="AX15" s="55">
        <f>SUM(AU15:AW15)</f>
        <v/>
      </c>
      <c r="AY15" s="377">
        <f>(AU15*Z15)+((AV15+AW15)*AA15)</f>
        <v/>
      </c>
      <c r="AZ15" s="73">
        <f>AL15-AU15</f>
        <v/>
      </c>
      <c r="BA15" s="74">
        <f>AZ15*Z15</f>
        <v/>
      </c>
      <c r="BB15" s="73">
        <f>AM15-AV15</f>
        <v/>
      </c>
      <c r="BC15" s="73">
        <f>BB15*AA15</f>
        <v/>
      </c>
      <c r="BD15" s="73">
        <f>AN15-AW15</f>
        <v/>
      </c>
      <c r="BE15" s="73">
        <f>BD15*AA15</f>
        <v/>
      </c>
      <c r="BF15" s="73">
        <f>AZ15+BB15+BD15</f>
        <v/>
      </c>
      <c r="BG15" s="73">
        <f>BA15+BC15+BE15</f>
        <v/>
      </c>
      <c r="BH15" s="378">
        <f>BJ15+BQ15+BT15+BW15+BZ15+CC15+CF15+CI15</f>
        <v/>
      </c>
      <c r="BI15" s="373">
        <f>((AG15+AU15)*Z15)+((AH15+AI15+AV15+AW15)*AA15)</f>
        <v/>
      </c>
      <c r="BJ15" s="86">
        <f>BK15+BL15+AJ15</f>
        <v/>
      </c>
      <c r="BK15" s="77">
        <f>AU15</f>
        <v/>
      </c>
      <c r="BL15" s="77">
        <f>AV15+AW15</f>
        <v/>
      </c>
      <c r="BM15" s="373" t="n"/>
      <c r="BN15" s="373" t="n"/>
      <c r="BO15" s="373" t="n">
        <v>0</v>
      </c>
      <c r="BP15" s="373" t="n"/>
      <c r="BQ15" s="55" t="n">
        <v>0</v>
      </c>
      <c r="BR15" s="373" t="n"/>
      <c r="BS15" s="373" t="n">
        <v>0</v>
      </c>
      <c r="BT15" s="55" t="n">
        <v>0</v>
      </c>
      <c r="BU15" s="373" t="n"/>
      <c r="BV15" s="373" t="n">
        <v>0</v>
      </c>
      <c r="BW15" s="55" t="n"/>
      <c r="BX15" s="373" t="n"/>
      <c r="BY15" s="55" t="n"/>
      <c r="BZ15" s="55" t="n"/>
      <c r="CA15" s="373" t="n"/>
      <c r="CB15" s="55" t="n"/>
      <c r="CC15" s="55" t="n"/>
      <c r="CD15" s="373" t="n"/>
      <c r="CE15" s="55" t="n"/>
      <c r="CF15" s="55" t="n"/>
      <c r="CG15" s="373" t="n"/>
      <c r="CH15" s="55" t="n"/>
      <c r="CI15" s="55" t="n"/>
      <c r="CJ15" s="373" t="n"/>
      <c r="CK15" s="55" t="n"/>
      <c r="CL15" s="373">
        <f>BI15+BS15+BV15+BY15+CB15+CE15+CH15+CK15</f>
        <v/>
      </c>
      <c r="CM15" s="89">
        <f>AT15-AX15</f>
        <v/>
      </c>
      <c r="CN15" s="373">
        <f>CP15*G15</f>
        <v/>
      </c>
      <c r="CO15" s="55">
        <f>AJ15+AX15+AO15</f>
        <v/>
      </c>
      <c r="CP15" s="87">
        <f>AT15-AX15-BQ15-BT15-BW15-BZ15</f>
        <v/>
      </c>
    </row>
    <row r="16" ht="19.9" customHeight="1">
      <c r="B16" s="65" t="n">
        <v>10036862957</v>
      </c>
      <c r="C16" s="52" t="inlineStr">
        <is>
          <t>Fazenda Capoeirao</t>
        </is>
      </c>
      <c r="D16" s="63" t="inlineStr">
        <is>
          <t xml:space="preserve"> DAMOLANDIA</t>
        </is>
      </c>
      <c r="E16" s="69" t="inlineStr">
        <is>
          <t>Dezembro/2023</t>
        </is>
      </c>
      <c r="F16" s="73" t="n">
        <v>16726</v>
      </c>
      <c r="G16" s="373" t="n">
        <v>0.77</v>
      </c>
      <c r="H16" s="55">
        <f>F16*G16</f>
        <v/>
      </c>
      <c r="I16" s="70" t="inlineStr">
        <is>
          <t>Novembro/2023</t>
        </is>
      </c>
      <c r="J16" s="71" t="inlineStr">
        <is>
          <t>1 SUNGROW 110KW</t>
        </is>
      </c>
      <c r="K16" s="72" t="inlineStr">
        <is>
          <t>222 de 665W</t>
        </is>
      </c>
      <c r="L16" s="73" t="n"/>
      <c r="M16" s="53" t="inlineStr">
        <is>
          <t>Dezembro/2023</t>
        </is>
      </c>
      <c r="N16" s="53" t="inlineStr">
        <is>
          <t>01/12/2023 a 01/01/2024</t>
        </is>
      </c>
      <c r="O16" s="375" t="n">
        <v>6047.92</v>
      </c>
      <c r="P16" s="375" t="n">
        <v>0</v>
      </c>
      <c r="Q16" s="375" t="n">
        <v>0</v>
      </c>
      <c r="R16" s="375">
        <f>81.48+20.88</f>
        <v/>
      </c>
      <c r="S16" s="375" t="n">
        <v>0</v>
      </c>
      <c r="T16" s="375" t="n">
        <v>0</v>
      </c>
      <c r="U16" s="375" t="n">
        <v>0</v>
      </c>
      <c r="V16" s="375" t="n">
        <v>0</v>
      </c>
      <c r="W16" s="375" t="n">
        <v>0</v>
      </c>
      <c r="X16" s="375" t="n">
        <v>0</v>
      </c>
      <c r="Y16" s="375" t="n">
        <v>0</v>
      </c>
      <c r="Z16" s="376" t="n">
        <v>0.8418846691810147</v>
      </c>
      <c r="AA16" s="376" t="n">
        <v>0.8418846691810147</v>
      </c>
      <c r="AB16" s="55" t="n">
        <v>39.45</v>
      </c>
      <c r="AC16" s="55">
        <f>9.92+17905.12</f>
        <v/>
      </c>
      <c r="AD16" s="55" t="n">
        <v>0</v>
      </c>
      <c r="AE16" s="55">
        <f>SUM(AB16:AD16)</f>
        <v/>
      </c>
      <c r="AF16" s="373">
        <f>(AB16*Z16)+((AC16+AD16)*AA16)</f>
        <v/>
      </c>
      <c r="AG16" s="55">
        <f>AB16-AQ16</f>
        <v/>
      </c>
      <c r="AH16" s="55">
        <f>AC16-AR16</f>
        <v/>
      </c>
      <c r="AI16" s="55">
        <f>AD16-AS16</f>
        <v/>
      </c>
      <c r="AJ16" s="55">
        <f>SUM(AG16:AI16)</f>
        <v/>
      </c>
      <c r="AK16" s="374">
        <f>(AG16*Z16)+((AH16+AI16)*AA16)</f>
        <v/>
      </c>
      <c r="AL16" s="55" t="n">
        <v>2815.34</v>
      </c>
      <c r="AM16" s="55" t="n">
        <v>10327.8</v>
      </c>
      <c r="AN16" s="55" t="n">
        <v>7169.4</v>
      </c>
      <c r="AO16" s="55">
        <f>SUM(AL16:AN16)</f>
        <v/>
      </c>
      <c r="AP16" s="374">
        <f>(AL16*Z16)+((AM16+AN16)*AA16)</f>
        <v/>
      </c>
      <c r="AQ16" s="55" t="n">
        <v>0</v>
      </c>
      <c r="AR16" s="55" t="n">
        <v>3570</v>
      </c>
      <c r="AS16" s="55" t="n">
        <v>0</v>
      </c>
      <c r="AT16" s="55">
        <f>SUM(AQ16:AS16)</f>
        <v/>
      </c>
      <c r="AU16" s="55" t="n">
        <v>0</v>
      </c>
      <c r="AV16" s="55" t="n">
        <v>10227.8</v>
      </c>
      <c r="AW16" s="55" t="n">
        <v>3022.53</v>
      </c>
      <c r="AX16" s="55">
        <f>SUM(AU16:AW16)</f>
        <v/>
      </c>
      <c r="AY16" s="377">
        <f>(AU16*Z16)+((AV16+AW16)*AA16)</f>
        <v/>
      </c>
      <c r="AZ16" s="73">
        <f>AL16-AU16</f>
        <v/>
      </c>
      <c r="BA16" s="74">
        <f>AZ16*Z16</f>
        <v/>
      </c>
      <c r="BB16" s="73">
        <f>AM16-AV16</f>
        <v/>
      </c>
      <c r="BC16" s="73">
        <f>BB16*AA16</f>
        <v/>
      </c>
      <c r="BD16" s="73">
        <f>AN16-AW16</f>
        <v/>
      </c>
      <c r="BE16" s="73">
        <f>BD16*AA16</f>
        <v/>
      </c>
      <c r="BF16" s="73">
        <f>AZ16+BB16+BD16</f>
        <v/>
      </c>
      <c r="BG16" s="73">
        <f>BA16+BC16+BE16</f>
        <v/>
      </c>
      <c r="BH16" s="378">
        <f>BJ16+BQ16+BT16+BW16+BZ16+CC16+CF16+CI16</f>
        <v/>
      </c>
      <c r="BI16" s="373">
        <f>((AG16+AU16)*Z16)+((AH16+AI16+AV16+AW16)*AA16)</f>
        <v/>
      </c>
      <c r="BJ16" s="86">
        <f>BK16+BL16+AJ16</f>
        <v/>
      </c>
      <c r="BK16" s="77">
        <f>AU16</f>
        <v/>
      </c>
      <c r="BL16" s="77">
        <f>AV16+AW16</f>
        <v/>
      </c>
      <c r="BM16" s="373" t="n"/>
      <c r="BN16" s="373" t="n"/>
      <c r="BO16" s="373" t="n">
        <v>0</v>
      </c>
      <c r="BP16" s="373" t="n"/>
      <c r="BQ16" s="55" t="n">
        <v>0</v>
      </c>
      <c r="BR16" s="373" t="n"/>
      <c r="BS16" s="373" t="n">
        <v>0</v>
      </c>
      <c r="BT16" s="55" t="n">
        <v>0</v>
      </c>
      <c r="BU16" s="373" t="n"/>
      <c r="BV16" s="373" t="n">
        <v>0</v>
      </c>
      <c r="BW16" s="55" t="n"/>
      <c r="BX16" s="373" t="n"/>
      <c r="BY16" s="55" t="n"/>
      <c r="BZ16" s="55" t="n"/>
      <c r="CA16" s="373" t="n"/>
      <c r="CB16" s="55" t="n"/>
      <c r="CC16" s="55" t="n"/>
      <c r="CD16" s="373" t="n"/>
      <c r="CE16" s="55" t="n"/>
      <c r="CF16" s="55" t="n"/>
      <c r="CG16" s="373" t="n"/>
      <c r="CH16" s="55" t="n"/>
      <c r="CI16" s="55" t="n"/>
      <c r="CJ16" s="373" t="n"/>
      <c r="CK16" s="55" t="n"/>
      <c r="CL16" s="373">
        <f>BI16+BS16+BV16+BY16+CB16+CE16+CH16+CK16</f>
        <v/>
      </c>
      <c r="CM16" s="73">
        <f>(AT16-(AX16+BT16+BW16+BZ16+CC16+CF16+CI16+BQ16)+CM15)</f>
        <v/>
      </c>
      <c r="CN16" s="373">
        <f>CP16*G16</f>
        <v/>
      </c>
      <c r="CO16" s="55">
        <f>AJ16+AX16+AO16</f>
        <v/>
      </c>
      <c r="CP16" s="87">
        <f>AT16-AX16-BQ16-BT16-BW16-BZ16</f>
        <v/>
      </c>
      <c r="CQ16" s="67" t="inlineStr">
        <is>
          <t>A economia estimada da proposta é de 18.424,22 kWh, e a economia gerada foi de 17.954,49 kWh, faltando 3% para atingir a meta de geração.</t>
        </is>
      </c>
    </row>
  </sheetData>
  <autoFilter ref="A1:CQ14"/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i5</dc:creator>
  <dcterms:created xsi:type="dcterms:W3CDTF">2022-05-09T18:41:57Z</dcterms:created>
  <dcterms:modified xsi:type="dcterms:W3CDTF">2024-04-16T20:39:47Z</dcterms:modified>
  <cp:lastModifiedBy>Pablo Carvalho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0x01010038171064057FD94C812B16C6596F8E50</vt:lpwstr>
  </property>
  <property name="MediaServiceImageTags" fmtid="{D5CDD505-2E9C-101B-9397-08002B2CF9AE}" pid="3">
    <vt:lpwstr/>
  </property>
</Properties>
</file>