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si\simer\planilha\"/>
    </mc:Choice>
  </mc:AlternateContent>
  <xr:revisionPtr revIDLastSave="0" documentId="13_ncr:1_{0B2D7FCD-FB5F-4F55-9A59-AECDE99651DB}" xr6:coauthVersionLast="47" xr6:coauthVersionMax="47" xr10:uidLastSave="{00000000-0000-0000-0000-000000000000}"/>
  <bookViews>
    <workbookView xWindow="-120" yWindow="-120" windowWidth="29040" windowHeight="15720" tabRatio="772" firstSheet="1" activeTab="1" xr2:uid="{00000000-000D-0000-FFFF-FFFF00000000}"/>
  </bookViews>
  <sheets>
    <sheet name="Analise Propostas Usina rev.0" sheetId="1" state="hidden" r:id="rId1"/>
    <sheet name="Base de Dados" sheetId="2" r:id="rId2"/>
    <sheet name="dCliente" sheetId="3" r:id="rId3"/>
    <sheet name="Base de Dados (2)" sheetId="4" state="hidden" r:id="rId4"/>
  </sheets>
  <definedNames>
    <definedName name="_xlnm._FilterDatabase" localSheetId="1" hidden="1">'Base de Dados'!$A$1:$CW$248</definedName>
    <definedName name="_xlnm._FilterDatabase" localSheetId="3" hidden="1">'Base de Dados (2)'!$A$1:$CQ$14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6" i="4" l="1"/>
  <c r="BK16" i="4"/>
  <c r="BD16" i="4"/>
  <c r="BE16" i="4" s="1"/>
  <c r="BC16" i="4"/>
  <c r="BB16" i="4"/>
  <c r="AZ16" i="4"/>
  <c r="AY16" i="4"/>
  <c r="AX16" i="4"/>
  <c r="AT16" i="4"/>
  <c r="CP16" i="4" s="1"/>
  <c r="CN16" i="4" s="1"/>
  <c r="AP16" i="4"/>
  <c r="AO16" i="4"/>
  <c r="AI16" i="4"/>
  <c r="AJ16" i="4" s="1"/>
  <c r="AH16" i="4"/>
  <c r="AG16" i="4"/>
  <c r="AK16" i="4" s="1"/>
  <c r="AF16" i="4"/>
  <c r="AE16" i="4"/>
  <c r="AC16" i="4"/>
  <c r="R16" i="4"/>
  <c r="H16" i="4"/>
  <c r="BL15" i="4"/>
  <c r="BK15" i="4"/>
  <c r="BI15" i="4"/>
  <c r="CL15" i="4" s="1"/>
  <c r="BD15" i="4"/>
  <c r="BB15" i="4"/>
  <c r="BC15" i="4" s="1"/>
  <c r="BA15" i="4"/>
  <c r="AZ15" i="4"/>
  <c r="AY15" i="4"/>
  <c r="AX15" i="4"/>
  <c r="AT15" i="4"/>
  <c r="AP15" i="4"/>
  <c r="AO15" i="4"/>
  <c r="AI15" i="4"/>
  <c r="AH15" i="4"/>
  <c r="AG15" i="4"/>
  <c r="AE15" i="4"/>
  <c r="H15" i="4"/>
  <c r="AP14" i="4"/>
  <c r="AO14" i="4"/>
  <c r="AI14" i="4"/>
  <c r="AK14" i="4" s="1"/>
  <c r="AH14" i="4"/>
  <c r="AG14" i="4"/>
  <c r="AJ14" i="4" s="1"/>
  <c r="R14" i="4"/>
  <c r="H14" i="4"/>
  <c r="AP13" i="4"/>
  <c r="AO13" i="4"/>
  <c r="AI13" i="4"/>
  <c r="AH13" i="4"/>
  <c r="AK13" i="4" s="1"/>
  <c r="AG13" i="4"/>
  <c r="AJ13" i="4" s="1"/>
  <c r="R13" i="4"/>
  <c r="H13" i="4"/>
  <c r="AP12" i="4"/>
  <c r="AO12" i="4"/>
  <c r="AI12" i="4"/>
  <c r="AJ12" i="4" s="1"/>
  <c r="AH12" i="4"/>
  <c r="AG12" i="4"/>
  <c r="R12" i="4"/>
  <c r="H12" i="4"/>
  <c r="AP11" i="4"/>
  <c r="AO11" i="4"/>
  <c r="AI11" i="4"/>
  <c r="AH11" i="4"/>
  <c r="AG11" i="4"/>
  <c r="S11" i="4"/>
  <c r="R11" i="4"/>
  <c r="H11" i="4"/>
  <c r="AP10" i="4"/>
  <c r="AO10" i="4"/>
  <c r="R10" i="4"/>
  <c r="H10" i="4"/>
  <c r="AP9" i="4"/>
  <c r="AO9" i="4"/>
  <c r="R9" i="4"/>
  <c r="H9" i="4"/>
  <c r="AP8" i="4"/>
  <c r="AO8" i="4"/>
  <c r="R8" i="4"/>
  <c r="H8" i="4"/>
  <c r="AP7" i="4"/>
  <c r="AO7" i="4"/>
  <c r="R7" i="4"/>
  <c r="H7" i="4"/>
  <c r="AP6" i="4"/>
  <c r="AO6" i="4"/>
  <c r="S6" i="4"/>
  <c r="R6" i="4"/>
  <c r="H6" i="4"/>
  <c r="AP5" i="4"/>
  <c r="AO5" i="4"/>
  <c r="R5" i="4"/>
  <c r="H5" i="4"/>
  <c r="AP4" i="4"/>
  <c r="AO4" i="4"/>
  <c r="S4" i="4"/>
  <c r="R4" i="4"/>
  <c r="H4" i="4"/>
  <c r="AP3" i="4"/>
  <c r="AO3" i="4"/>
  <c r="R3" i="4"/>
  <c r="H3" i="4"/>
  <c r="AP2" i="4"/>
  <c r="AO2" i="4"/>
  <c r="R2" i="4"/>
  <c r="H2" i="4"/>
  <c r="BN241" i="2"/>
  <c r="BM241" i="2"/>
  <c r="BF241" i="2"/>
  <c r="BG241" i="2" s="1"/>
  <c r="BD241" i="2"/>
  <c r="BE241" i="2" s="1"/>
  <c r="BB241" i="2"/>
  <c r="BC241" i="2" s="1"/>
  <c r="AZ241" i="2"/>
  <c r="AV241" i="2"/>
  <c r="AR241" i="2"/>
  <c r="AQ241" i="2"/>
  <c r="AK241" i="2"/>
  <c r="AJ241" i="2"/>
  <c r="AI241" i="2"/>
  <c r="AH241" i="2"/>
  <c r="AG241" i="2"/>
  <c r="AC241" i="2"/>
  <c r="BA241" i="2" s="1"/>
  <c r="AB241" i="2"/>
  <c r="H241" i="2"/>
  <c r="BF240" i="2"/>
  <c r="BD240" i="2"/>
  <c r="BE240" i="2" s="1"/>
  <c r="BB240" i="2"/>
  <c r="BC240" i="2" s="1"/>
  <c r="AV240" i="2"/>
  <c r="AR240" i="2"/>
  <c r="AQ240" i="2"/>
  <c r="AK240" i="2"/>
  <c r="AJ240" i="2"/>
  <c r="AI240" i="2"/>
  <c r="AH240" i="2"/>
  <c r="AG240" i="2"/>
  <c r="BN239" i="2"/>
  <c r="BM239" i="2"/>
  <c r="BF239" i="2"/>
  <c r="BG239" i="2" s="1"/>
  <c r="BD239" i="2"/>
  <c r="BB239" i="2"/>
  <c r="BC239" i="2" s="1"/>
  <c r="BA239" i="2"/>
  <c r="AZ239" i="2"/>
  <c r="AV239" i="2"/>
  <c r="AR239" i="2"/>
  <c r="AQ239" i="2"/>
  <c r="AK239" i="2"/>
  <c r="AJ239" i="2"/>
  <c r="AI239" i="2"/>
  <c r="AL239" i="2" s="1"/>
  <c r="AH239" i="2"/>
  <c r="AG239" i="2"/>
  <c r="BN238" i="2"/>
  <c r="BM238" i="2"/>
  <c r="BF238" i="2"/>
  <c r="BG238" i="2" s="1"/>
  <c r="BD238" i="2"/>
  <c r="BB238" i="2"/>
  <c r="CU238" i="2" s="1"/>
  <c r="CV238" i="2" s="1"/>
  <c r="BA238" i="2"/>
  <c r="AZ238" i="2"/>
  <c r="AV238" i="2"/>
  <c r="AR238" i="2"/>
  <c r="AQ238" i="2"/>
  <c r="AL238" i="2"/>
  <c r="AK238" i="2"/>
  <c r="AJ238" i="2"/>
  <c r="AI238" i="2"/>
  <c r="AM238" i="2" s="1"/>
  <c r="AH238" i="2"/>
  <c r="AG238" i="2"/>
  <c r="BN237" i="2"/>
  <c r="BM237" i="2"/>
  <c r="BF237" i="2"/>
  <c r="BG237" i="2" s="1"/>
  <c r="BD237" i="2"/>
  <c r="BE237" i="2" s="1"/>
  <c r="BB237" i="2"/>
  <c r="BA237" i="2"/>
  <c r="AZ237" i="2"/>
  <c r="AV237" i="2"/>
  <c r="AR237" i="2"/>
  <c r="AQ237" i="2"/>
  <c r="AK237" i="2"/>
  <c r="AJ237" i="2"/>
  <c r="AI237" i="2"/>
  <c r="AH237" i="2"/>
  <c r="AG237" i="2"/>
  <c r="BN236" i="2"/>
  <c r="BM236" i="2"/>
  <c r="BF236" i="2"/>
  <c r="BG236" i="2" s="1"/>
  <c r="BD236" i="2"/>
  <c r="BE236" i="2" s="1"/>
  <c r="BB236" i="2"/>
  <c r="BA236" i="2"/>
  <c r="AZ236" i="2"/>
  <c r="AV236" i="2"/>
  <c r="AR236" i="2"/>
  <c r="AQ236" i="2"/>
  <c r="AK236" i="2"/>
  <c r="AJ236" i="2"/>
  <c r="AI236" i="2"/>
  <c r="AH236" i="2"/>
  <c r="AG236" i="2"/>
  <c r="BN235" i="2"/>
  <c r="BM235" i="2"/>
  <c r="BF235" i="2"/>
  <c r="BG235" i="2" s="1"/>
  <c r="BD235" i="2"/>
  <c r="BB235" i="2"/>
  <c r="BC235" i="2" s="1"/>
  <c r="BA235" i="2"/>
  <c r="AZ235" i="2"/>
  <c r="AV235" i="2"/>
  <c r="AR235" i="2"/>
  <c r="AQ235" i="2"/>
  <c r="AK235" i="2"/>
  <c r="AJ235" i="2"/>
  <c r="AI235" i="2"/>
  <c r="AH235" i="2"/>
  <c r="AG235" i="2"/>
  <c r="BN234" i="2"/>
  <c r="BM234" i="2"/>
  <c r="BF234" i="2"/>
  <c r="BG234" i="2" s="1"/>
  <c r="BD234" i="2"/>
  <c r="BB234" i="2"/>
  <c r="CU234" i="2" s="1"/>
  <c r="CV234" i="2" s="1"/>
  <c r="BA234" i="2"/>
  <c r="AZ234" i="2"/>
  <c r="AV234" i="2"/>
  <c r="AR234" i="2"/>
  <c r="AQ234" i="2"/>
  <c r="AK234" i="2"/>
  <c r="AJ234" i="2"/>
  <c r="AI234" i="2"/>
  <c r="AM234" i="2" s="1"/>
  <c r="AH234" i="2"/>
  <c r="AG234" i="2"/>
  <c r="BN233" i="2"/>
  <c r="BM233" i="2"/>
  <c r="BF233" i="2"/>
  <c r="BG233" i="2" s="1"/>
  <c r="BD233" i="2"/>
  <c r="BE233" i="2" s="1"/>
  <c r="BB233" i="2"/>
  <c r="BA233" i="2"/>
  <c r="AZ233" i="2"/>
  <c r="AV233" i="2"/>
  <c r="AR233" i="2"/>
  <c r="AQ233" i="2"/>
  <c r="AK233" i="2"/>
  <c r="AJ233" i="2"/>
  <c r="AI233" i="2"/>
  <c r="AH233" i="2"/>
  <c r="AG233" i="2"/>
  <c r="BN232" i="2"/>
  <c r="BM232" i="2"/>
  <c r="BG232" i="2"/>
  <c r="BF232" i="2"/>
  <c r="BD232" i="2"/>
  <c r="BE232" i="2" s="1"/>
  <c r="BB232" i="2"/>
  <c r="BA232" i="2"/>
  <c r="AZ232" i="2"/>
  <c r="AV232" i="2"/>
  <c r="AR232" i="2"/>
  <c r="AQ232" i="2"/>
  <c r="AK232" i="2"/>
  <c r="AJ232" i="2"/>
  <c r="AI232" i="2"/>
  <c r="AH232" i="2"/>
  <c r="AG232" i="2"/>
  <c r="BN231" i="2"/>
  <c r="BM231" i="2"/>
  <c r="BF231" i="2"/>
  <c r="BG231" i="2" s="1"/>
  <c r="BD231" i="2"/>
  <c r="BB231" i="2"/>
  <c r="BC231" i="2" s="1"/>
  <c r="BA231" i="2"/>
  <c r="AZ231" i="2"/>
  <c r="AV231" i="2"/>
  <c r="AR231" i="2"/>
  <c r="AQ231" i="2"/>
  <c r="AK231" i="2"/>
  <c r="AJ231" i="2"/>
  <c r="AI231" i="2"/>
  <c r="AH231" i="2"/>
  <c r="AG231" i="2"/>
  <c r="BN230" i="2"/>
  <c r="BM230" i="2"/>
  <c r="BF230" i="2"/>
  <c r="BD230" i="2"/>
  <c r="BB230" i="2"/>
  <c r="BC230" i="2" s="1"/>
  <c r="BA230" i="2"/>
  <c r="AZ230" i="2"/>
  <c r="AV230" i="2"/>
  <c r="AR230" i="2"/>
  <c r="AQ230" i="2"/>
  <c r="AK230" i="2"/>
  <c r="AJ230" i="2"/>
  <c r="AI230" i="2"/>
  <c r="AH230" i="2"/>
  <c r="AG230" i="2"/>
  <c r="BN229" i="2"/>
  <c r="BM229" i="2"/>
  <c r="BF229" i="2"/>
  <c r="BG229" i="2" s="1"/>
  <c r="BD229" i="2"/>
  <c r="BE229" i="2" s="1"/>
  <c r="BB229" i="2"/>
  <c r="BA229" i="2"/>
  <c r="AZ229" i="2"/>
  <c r="AV229" i="2"/>
  <c r="AR229" i="2"/>
  <c r="AQ229" i="2"/>
  <c r="AK229" i="2"/>
  <c r="AJ229" i="2"/>
  <c r="AI229" i="2"/>
  <c r="AH229" i="2"/>
  <c r="AG229" i="2"/>
  <c r="BN228" i="2"/>
  <c r="BM228" i="2"/>
  <c r="BF228" i="2"/>
  <c r="BG228" i="2" s="1"/>
  <c r="BD228" i="2"/>
  <c r="BE228" i="2" s="1"/>
  <c r="BB228" i="2"/>
  <c r="BH228" i="2" s="1"/>
  <c r="BA228" i="2"/>
  <c r="AZ228" i="2"/>
  <c r="AV228" i="2"/>
  <c r="AR228" i="2"/>
  <c r="AQ228" i="2"/>
  <c r="AK228" i="2"/>
  <c r="AJ228" i="2"/>
  <c r="AI228" i="2"/>
  <c r="AH228" i="2"/>
  <c r="AG228" i="2"/>
  <c r="BN227" i="2"/>
  <c r="BM227" i="2"/>
  <c r="BF227" i="2"/>
  <c r="BG227" i="2" s="1"/>
  <c r="BD227" i="2"/>
  <c r="BB227" i="2"/>
  <c r="BC227" i="2" s="1"/>
  <c r="AV227" i="2"/>
  <c r="AR227" i="2"/>
  <c r="AQ227" i="2"/>
  <c r="AK227" i="2"/>
  <c r="AJ227" i="2"/>
  <c r="AL227" i="2" s="1"/>
  <c r="AI227" i="2"/>
  <c r="AH227" i="2"/>
  <c r="AG227" i="2"/>
  <c r="BN226" i="2"/>
  <c r="BM226" i="2"/>
  <c r="BF226" i="2"/>
  <c r="BG226" i="2" s="1"/>
  <c r="BD226" i="2"/>
  <c r="BE226" i="2" s="1"/>
  <c r="BB226" i="2"/>
  <c r="AV226" i="2"/>
  <c r="AR226" i="2"/>
  <c r="AQ226" i="2"/>
  <c r="AK226" i="2"/>
  <c r="AJ226" i="2"/>
  <c r="AI226" i="2"/>
  <c r="BK226" i="2" s="1"/>
  <c r="AH226" i="2"/>
  <c r="AG226" i="2"/>
  <c r="BF225" i="2"/>
  <c r="BD225" i="2"/>
  <c r="BE225" i="2" s="1"/>
  <c r="BB225" i="2"/>
  <c r="AQ225" i="2"/>
  <c r="AK225" i="2"/>
  <c r="AJ225" i="2"/>
  <c r="AI225" i="2"/>
  <c r="AG225" i="2"/>
  <c r="AC225" i="2"/>
  <c r="AB225" i="2"/>
  <c r="Z225" i="2"/>
  <c r="H225" i="2"/>
  <c r="BN224" i="2"/>
  <c r="BM224" i="2"/>
  <c r="BF224" i="2"/>
  <c r="BG224" i="2" s="1"/>
  <c r="BD224" i="2"/>
  <c r="BB224" i="2"/>
  <c r="AZ224" i="2"/>
  <c r="AV224" i="2"/>
  <c r="AQ224" i="2"/>
  <c r="AK224" i="2"/>
  <c r="AJ224" i="2"/>
  <c r="AI224" i="2"/>
  <c r="AG224" i="2"/>
  <c r="AC224" i="2"/>
  <c r="AB224" i="2"/>
  <c r="Z224" i="2"/>
  <c r="H224" i="2"/>
  <c r="BN223" i="2"/>
  <c r="BM223" i="2"/>
  <c r="BF223" i="2"/>
  <c r="BG223" i="2" s="1"/>
  <c r="BD223" i="2"/>
  <c r="BE223" i="2" s="1"/>
  <c r="BB223" i="2"/>
  <c r="BH223" i="2" s="1"/>
  <c r="AZ223" i="2"/>
  <c r="AV223" i="2"/>
  <c r="AQ223" i="2"/>
  <c r="AK223" i="2"/>
  <c r="AJ223" i="2"/>
  <c r="AI223" i="2"/>
  <c r="AH223" i="2"/>
  <c r="AG223" i="2"/>
  <c r="AC223" i="2"/>
  <c r="AB223" i="2"/>
  <c r="Z223" i="2"/>
  <c r="H223" i="2"/>
  <c r="BN222" i="2"/>
  <c r="BM222" i="2"/>
  <c r="BF222" i="2"/>
  <c r="BG222" i="2" s="1"/>
  <c r="BD222" i="2"/>
  <c r="BE222" i="2" s="1"/>
  <c r="BB222" i="2"/>
  <c r="AZ222" i="2"/>
  <c r="AV222" i="2"/>
  <c r="AQ222" i="2"/>
  <c r="AK222" i="2"/>
  <c r="AJ222" i="2"/>
  <c r="AI222" i="2"/>
  <c r="AG222" i="2"/>
  <c r="AC222" i="2"/>
  <c r="AB222" i="2"/>
  <c r="Z222" i="2"/>
  <c r="H222" i="2"/>
  <c r="BN221" i="2"/>
  <c r="BM221" i="2"/>
  <c r="BF221" i="2"/>
  <c r="BG221" i="2" s="1"/>
  <c r="BD221" i="2"/>
  <c r="BE221" i="2" s="1"/>
  <c r="BB221" i="2"/>
  <c r="BH221" i="2" s="1"/>
  <c r="AZ221" i="2"/>
  <c r="AV221" i="2"/>
  <c r="AQ221" i="2"/>
  <c r="AK221" i="2"/>
  <c r="AJ221" i="2"/>
  <c r="AI221" i="2"/>
  <c r="BK221" i="2" s="1"/>
  <c r="AH221" i="2"/>
  <c r="AG221" i="2"/>
  <c r="AC221" i="2"/>
  <c r="AB221" i="2"/>
  <c r="Z221" i="2"/>
  <c r="H221" i="2"/>
  <c r="BN220" i="2"/>
  <c r="BM220" i="2"/>
  <c r="BF220" i="2"/>
  <c r="BG220" i="2" s="1"/>
  <c r="BD220" i="2"/>
  <c r="BE220" i="2" s="1"/>
  <c r="BB220" i="2"/>
  <c r="AZ220" i="2"/>
  <c r="AV220" i="2"/>
  <c r="AQ220" i="2"/>
  <c r="AK220" i="2"/>
  <c r="AJ220" i="2"/>
  <c r="AI220" i="2"/>
  <c r="AG220" i="2"/>
  <c r="AC220" i="2"/>
  <c r="AB220" i="2"/>
  <c r="Z220" i="2"/>
  <c r="H220" i="2"/>
  <c r="BN219" i="2"/>
  <c r="BM219" i="2"/>
  <c r="BF219" i="2"/>
  <c r="BD219" i="2"/>
  <c r="BE219" i="2" s="1"/>
  <c r="BB219" i="2"/>
  <c r="AZ219" i="2"/>
  <c r="AV219" i="2"/>
  <c r="AQ219" i="2"/>
  <c r="AK219" i="2"/>
  <c r="AJ219" i="2"/>
  <c r="AI219" i="2"/>
  <c r="AH219" i="2"/>
  <c r="AG219" i="2"/>
  <c r="AC219" i="2"/>
  <c r="AB219" i="2"/>
  <c r="Z219" i="2"/>
  <c r="H219" i="2"/>
  <c r="BN218" i="2"/>
  <c r="BM218" i="2"/>
  <c r="BF218" i="2"/>
  <c r="BG218" i="2" s="1"/>
  <c r="BD218" i="2"/>
  <c r="BE218" i="2" s="1"/>
  <c r="BB218" i="2"/>
  <c r="BC218" i="2" s="1"/>
  <c r="AZ218" i="2"/>
  <c r="AV218" i="2"/>
  <c r="AQ218" i="2"/>
  <c r="AK218" i="2"/>
  <c r="AJ218" i="2"/>
  <c r="AI218" i="2"/>
  <c r="AG218" i="2"/>
  <c r="AC218" i="2"/>
  <c r="AB218" i="2"/>
  <c r="Z218" i="2"/>
  <c r="H218" i="2"/>
  <c r="CA217" i="2"/>
  <c r="BN217" i="2"/>
  <c r="BM217" i="2"/>
  <c r="BF217" i="2"/>
  <c r="BG217" i="2" s="1"/>
  <c r="BD217" i="2"/>
  <c r="BE217" i="2" s="1"/>
  <c r="BB217" i="2"/>
  <c r="AZ217" i="2"/>
  <c r="AV217" i="2"/>
  <c r="AR217" i="2"/>
  <c r="AQ217" i="2"/>
  <c r="AK217" i="2"/>
  <c r="AJ217" i="2"/>
  <c r="AI217" i="2"/>
  <c r="AH217" i="2"/>
  <c r="AG217" i="2"/>
  <c r="AC217" i="2"/>
  <c r="BA217" i="2" s="1"/>
  <c r="AB217" i="2"/>
  <c r="Z217" i="2"/>
  <c r="S217" i="2"/>
  <c r="H217" i="2"/>
  <c r="CA216" i="2"/>
  <c r="BN216" i="2"/>
  <c r="BM216" i="2"/>
  <c r="BG216" i="2"/>
  <c r="BF216" i="2"/>
  <c r="BD216" i="2"/>
  <c r="BE216" i="2" s="1"/>
  <c r="BB216" i="2"/>
  <c r="AZ216" i="2"/>
  <c r="AV216" i="2"/>
  <c r="AQ216" i="2"/>
  <c r="AK216" i="2"/>
  <c r="AJ216" i="2"/>
  <c r="AI216" i="2"/>
  <c r="AH216" i="2"/>
  <c r="AG216" i="2"/>
  <c r="AC216" i="2"/>
  <c r="AB216" i="2"/>
  <c r="AR216" i="2" s="1"/>
  <c r="Z216" i="2"/>
  <c r="S216" i="2"/>
  <c r="H216" i="2"/>
  <c r="CA215" i="2"/>
  <c r="BN215" i="2"/>
  <c r="BM215" i="2"/>
  <c r="BF215" i="2"/>
  <c r="BE215" i="2"/>
  <c r="BD215" i="2"/>
  <c r="BB215" i="2"/>
  <c r="BC215" i="2" s="1"/>
  <c r="AZ215" i="2"/>
  <c r="AV215" i="2"/>
  <c r="AQ215" i="2"/>
  <c r="AK215" i="2"/>
  <c r="AJ215" i="2"/>
  <c r="BK215" i="2" s="1"/>
  <c r="AI215" i="2"/>
  <c r="AG215" i="2"/>
  <c r="AC215" i="2"/>
  <c r="AB215" i="2"/>
  <c r="AH215" i="2" s="1"/>
  <c r="Z215" i="2"/>
  <c r="S215" i="2"/>
  <c r="H215" i="2"/>
  <c r="CA214" i="2"/>
  <c r="BN214" i="2"/>
  <c r="BM214" i="2"/>
  <c r="BF214" i="2"/>
  <c r="BG214" i="2" s="1"/>
  <c r="BD214" i="2"/>
  <c r="BB214" i="2"/>
  <c r="BA214" i="2"/>
  <c r="AZ214" i="2"/>
  <c r="AV214" i="2"/>
  <c r="AQ214" i="2"/>
  <c r="AK214" i="2"/>
  <c r="AJ214" i="2"/>
  <c r="AM214" i="2" s="1"/>
  <c r="AI214" i="2"/>
  <c r="AG214" i="2"/>
  <c r="AC214" i="2"/>
  <c r="AR214" i="2" s="1"/>
  <c r="AB214" i="2"/>
  <c r="Z214" i="2"/>
  <c r="S214" i="2"/>
  <c r="H214" i="2"/>
  <c r="CA213" i="2"/>
  <c r="BN213" i="2"/>
  <c r="BM213" i="2"/>
  <c r="BF213" i="2"/>
  <c r="BG213" i="2" s="1"/>
  <c r="BD213" i="2"/>
  <c r="BH213" i="2" s="1"/>
  <c r="BB213" i="2"/>
  <c r="AZ213" i="2"/>
  <c r="AV213" i="2"/>
  <c r="AR213" i="2"/>
  <c r="AQ213" i="2"/>
  <c r="AM213" i="2"/>
  <c r="AK213" i="2"/>
  <c r="AJ213" i="2"/>
  <c r="AI213" i="2"/>
  <c r="BK213" i="2" s="1"/>
  <c r="AH213" i="2"/>
  <c r="AG213" i="2"/>
  <c r="AC213" i="2"/>
  <c r="BA213" i="2" s="1"/>
  <c r="AB213" i="2"/>
  <c r="Z213" i="2"/>
  <c r="H213" i="2"/>
  <c r="CA212" i="2"/>
  <c r="BN212" i="2"/>
  <c r="BM212" i="2"/>
  <c r="BF212" i="2"/>
  <c r="BG212" i="2" s="1"/>
  <c r="BD212" i="2"/>
  <c r="BB212" i="2"/>
  <c r="BC212" i="2" s="1"/>
  <c r="BA212" i="2"/>
  <c r="AZ212" i="2"/>
  <c r="AV212" i="2"/>
  <c r="AR212" i="2"/>
  <c r="AQ212" i="2"/>
  <c r="AK212" i="2"/>
  <c r="AJ212" i="2"/>
  <c r="AI212" i="2"/>
  <c r="AH212" i="2"/>
  <c r="AG212" i="2"/>
  <c r="H212" i="2"/>
  <c r="CA211" i="2"/>
  <c r="BN211" i="2"/>
  <c r="BM211" i="2"/>
  <c r="BF211" i="2"/>
  <c r="BG211" i="2" s="1"/>
  <c r="BD211" i="2"/>
  <c r="BE211" i="2" s="1"/>
  <c r="BB211" i="2"/>
  <c r="BC211" i="2" s="1"/>
  <c r="BA211" i="2"/>
  <c r="AZ211" i="2"/>
  <c r="AV211" i="2"/>
  <c r="AR211" i="2"/>
  <c r="AQ211" i="2"/>
  <c r="AK211" i="2"/>
  <c r="AJ211" i="2"/>
  <c r="AI211" i="2"/>
  <c r="AH211" i="2"/>
  <c r="AG211" i="2"/>
  <c r="H211" i="2"/>
  <c r="CA210" i="2"/>
  <c r="BN210" i="2"/>
  <c r="BM210" i="2"/>
  <c r="BF210" i="2"/>
  <c r="BG210" i="2" s="1"/>
  <c r="BD210" i="2"/>
  <c r="BE210" i="2" s="1"/>
  <c r="BB210" i="2"/>
  <c r="BC210" i="2" s="1"/>
  <c r="BA210" i="2"/>
  <c r="AZ210" i="2"/>
  <c r="AV210" i="2"/>
  <c r="AR210" i="2"/>
  <c r="AQ210" i="2"/>
  <c r="AK210" i="2"/>
  <c r="AJ210" i="2"/>
  <c r="AI210" i="2"/>
  <c r="AH210" i="2"/>
  <c r="AG210" i="2"/>
  <c r="H210" i="2"/>
  <c r="CA209" i="2"/>
  <c r="BN209" i="2"/>
  <c r="BM209" i="2"/>
  <c r="BF209" i="2"/>
  <c r="BG209" i="2" s="1"/>
  <c r="BD209" i="2"/>
  <c r="BE209" i="2" s="1"/>
  <c r="BB209" i="2"/>
  <c r="BA209" i="2"/>
  <c r="AZ209" i="2"/>
  <c r="AV209" i="2"/>
  <c r="AR209" i="2"/>
  <c r="AQ209" i="2"/>
  <c r="AK209" i="2"/>
  <c r="AJ209" i="2"/>
  <c r="AI209" i="2"/>
  <c r="AM209" i="2" s="1"/>
  <c r="AH209" i="2"/>
  <c r="AG209" i="2"/>
  <c r="H209" i="2"/>
  <c r="CA208" i="2"/>
  <c r="BN208" i="2"/>
  <c r="BM208" i="2"/>
  <c r="BF208" i="2"/>
  <c r="BG208" i="2" s="1"/>
  <c r="BD208" i="2"/>
  <c r="BE208" i="2" s="1"/>
  <c r="BB208" i="2"/>
  <c r="BC208" i="2" s="1"/>
  <c r="BA208" i="2"/>
  <c r="AZ208" i="2"/>
  <c r="AV208" i="2"/>
  <c r="AR208" i="2"/>
  <c r="AQ208" i="2"/>
  <c r="AK208" i="2"/>
  <c r="AJ208" i="2"/>
  <c r="AI208" i="2"/>
  <c r="AH208" i="2"/>
  <c r="AG208" i="2"/>
  <c r="H208" i="2"/>
  <c r="CA207" i="2"/>
  <c r="BN207" i="2"/>
  <c r="BM207" i="2"/>
  <c r="BF207" i="2"/>
  <c r="BG207" i="2" s="1"/>
  <c r="BD207" i="2"/>
  <c r="BE207" i="2" s="1"/>
  <c r="BB207" i="2"/>
  <c r="BC207" i="2" s="1"/>
  <c r="BA207" i="2"/>
  <c r="AZ207" i="2"/>
  <c r="AV207" i="2"/>
  <c r="AR207" i="2"/>
  <c r="AQ207" i="2"/>
  <c r="AK207" i="2"/>
  <c r="AJ207" i="2"/>
  <c r="AI207" i="2"/>
  <c r="BK207" i="2" s="1"/>
  <c r="AH207" i="2"/>
  <c r="AG207" i="2"/>
  <c r="H207" i="2"/>
  <c r="CA206" i="2"/>
  <c r="BN206" i="2"/>
  <c r="BM206" i="2"/>
  <c r="BF206" i="2"/>
  <c r="BG206" i="2" s="1"/>
  <c r="BD206" i="2"/>
  <c r="BE206" i="2" s="1"/>
  <c r="BB206" i="2"/>
  <c r="BC206" i="2" s="1"/>
  <c r="BA206" i="2"/>
  <c r="AZ206" i="2"/>
  <c r="AV206" i="2"/>
  <c r="AR206" i="2"/>
  <c r="AQ206" i="2"/>
  <c r="AK206" i="2"/>
  <c r="AM206" i="2" s="1"/>
  <c r="AJ206" i="2"/>
  <c r="AI206" i="2"/>
  <c r="AH206" i="2"/>
  <c r="AG206" i="2"/>
  <c r="H206" i="2"/>
  <c r="CA205" i="2"/>
  <c r="BN205" i="2"/>
  <c r="BM205" i="2"/>
  <c r="BF205" i="2"/>
  <c r="BG205" i="2" s="1"/>
  <c r="BD205" i="2"/>
  <c r="BE205" i="2" s="1"/>
  <c r="BB205" i="2"/>
  <c r="BC205" i="2" s="1"/>
  <c r="BA205" i="2"/>
  <c r="AZ205" i="2"/>
  <c r="AV205" i="2"/>
  <c r="AR205" i="2"/>
  <c r="AQ205" i="2"/>
  <c r="AK205" i="2"/>
  <c r="AJ205" i="2"/>
  <c r="AI205" i="2"/>
  <c r="AH205" i="2"/>
  <c r="AG205" i="2"/>
  <c r="H205" i="2"/>
  <c r="CA204" i="2"/>
  <c r="BN204" i="2"/>
  <c r="BM204" i="2"/>
  <c r="BF204" i="2"/>
  <c r="BG204" i="2" s="1"/>
  <c r="BD204" i="2"/>
  <c r="BE204" i="2" s="1"/>
  <c r="BB204" i="2"/>
  <c r="BA204" i="2"/>
  <c r="AZ204" i="2"/>
  <c r="AV204" i="2"/>
  <c r="AR204" i="2"/>
  <c r="AQ204" i="2"/>
  <c r="AK204" i="2"/>
  <c r="AJ204" i="2"/>
  <c r="AI204" i="2"/>
  <c r="AH204" i="2"/>
  <c r="AG204" i="2"/>
  <c r="H204" i="2"/>
  <c r="CA203" i="2"/>
  <c r="BN203" i="2"/>
  <c r="BM203" i="2"/>
  <c r="BF203" i="2"/>
  <c r="BG203" i="2" s="1"/>
  <c r="BD203" i="2"/>
  <c r="BH203" i="2" s="1"/>
  <c r="BC203" i="2"/>
  <c r="BB203" i="2"/>
  <c r="BA203" i="2"/>
  <c r="AZ203" i="2"/>
  <c r="AV203" i="2"/>
  <c r="AR203" i="2"/>
  <c r="AQ203" i="2"/>
  <c r="AK203" i="2"/>
  <c r="AJ203" i="2"/>
  <c r="AI203" i="2"/>
  <c r="AH203" i="2"/>
  <c r="AG203" i="2"/>
  <c r="H203" i="2"/>
  <c r="CA202" i="2"/>
  <c r="BN202" i="2"/>
  <c r="BM202" i="2"/>
  <c r="BF202" i="2"/>
  <c r="BG202" i="2" s="1"/>
  <c r="BE202" i="2"/>
  <c r="BD202" i="2"/>
  <c r="BB202" i="2"/>
  <c r="BC202" i="2" s="1"/>
  <c r="BA202" i="2"/>
  <c r="AZ202" i="2"/>
  <c r="AV202" i="2"/>
  <c r="AR202" i="2"/>
  <c r="AQ202" i="2"/>
  <c r="AK202" i="2"/>
  <c r="AJ202" i="2"/>
  <c r="AI202" i="2"/>
  <c r="AH202" i="2"/>
  <c r="AG202" i="2"/>
  <c r="H202" i="2"/>
  <c r="CA201" i="2"/>
  <c r="BN201" i="2"/>
  <c r="BM201" i="2"/>
  <c r="BF201" i="2"/>
  <c r="BG201" i="2" s="1"/>
  <c r="BD201" i="2"/>
  <c r="BE201" i="2" s="1"/>
  <c r="BB201" i="2"/>
  <c r="BA201" i="2"/>
  <c r="AZ201" i="2"/>
  <c r="AV201" i="2"/>
  <c r="AR201" i="2"/>
  <c r="AQ201" i="2"/>
  <c r="AK201" i="2"/>
  <c r="AJ201" i="2"/>
  <c r="AI201" i="2"/>
  <c r="AH201" i="2"/>
  <c r="AG201" i="2"/>
  <c r="H201" i="2"/>
  <c r="CA200" i="2"/>
  <c r="BN200" i="2"/>
  <c r="BM200" i="2"/>
  <c r="BF200" i="2"/>
  <c r="BG200" i="2" s="1"/>
  <c r="BD200" i="2"/>
  <c r="BE200" i="2" s="1"/>
  <c r="BB200" i="2"/>
  <c r="CU200" i="2" s="1"/>
  <c r="CV200" i="2" s="1"/>
  <c r="BA200" i="2"/>
  <c r="AZ200" i="2"/>
  <c r="AV200" i="2"/>
  <c r="AR200" i="2"/>
  <c r="AQ200" i="2"/>
  <c r="AK200" i="2"/>
  <c r="AJ200" i="2"/>
  <c r="AI200" i="2"/>
  <c r="AH200" i="2"/>
  <c r="AG200" i="2"/>
  <c r="H200" i="2"/>
  <c r="CA199" i="2"/>
  <c r="BN199" i="2"/>
  <c r="BM199" i="2"/>
  <c r="BF199" i="2"/>
  <c r="BD199" i="2"/>
  <c r="BB199" i="2"/>
  <c r="BC199" i="2" s="1"/>
  <c r="BA199" i="2"/>
  <c r="AZ199" i="2"/>
  <c r="AV199" i="2"/>
  <c r="AR199" i="2"/>
  <c r="AQ199" i="2"/>
  <c r="AK199" i="2"/>
  <c r="AJ199" i="2"/>
  <c r="AI199" i="2"/>
  <c r="AH199" i="2"/>
  <c r="AG199" i="2"/>
  <c r="H199" i="2"/>
  <c r="CU198" i="2"/>
  <c r="CV198" i="2" s="1"/>
  <c r="CA198" i="2"/>
  <c r="BN198" i="2"/>
  <c r="BM198" i="2"/>
  <c r="BF198" i="2"/>
  <c r="BG198" i="2" s="1"/>
  <c r="BD198" i="2"/>
  <c r="BE198" i="2" s="1"/>
  <c r="BB198" i="2"/>
  <c r="BC198" i="2" s="1"/>
  <c r="BA198" i="2"/>
  <c r="AZ198" i="2"/>
  <c r="AV198" i="2"/>
  <c r="AR198" i="2"/>
  <c r="AQ198" i="2"/>
  <c r="AK198" i="2"/>
  <c r="AJ198" i="2"/>
  <c r="AI198" i="2"/>
  <c r="AH198" i="2"/>
  <c r="AG198" i="2"/>
  <c r="H198" i="2"/>
  <c r="CA197" i="2"/>
  <c r="BN197" i="2"/>
  <c r="BM197" i="2"/>
  <c r="BG197" i="2"/>
  <c r="BF197" i="2"/>
  <c r="BD197" i="2"/>
  <c r="BE197" i="2" s="1"/>
  <c r="BB197" i="2"/>
  <c r="BA197" i="2"/>
  <c r="AZ197" i="2"/>
  <c r="AV197" i="2"/>
  <c r="AR197" i="2"/>
  <c r="AQ197" i="2"/>
  <c r="AK197" i="2"/>
  <c r="AJ197" i="2"/>
  <c r="AI197" i="2"/>
  <c r="AH197" i="2"/>
  <c r="AG197" i="2"/>
  <c r="H197" i="2"/>
  <c r="CA196" i="2"/>
  <c r="BN196" i="2"/>
  <c r="BM196" i="2"/>
  <c r="BF196" i="2"/>
  <c r="BG196" i="2" s="1"/>
  <c r="BD196" i="2"/>
  <c r="BE196" i="2" s="1"/>
  <c r="BB196" i="2"/>
  <c r="BA196" i="2"/>
  <c r="AZ196" i="2"/>
  <c r="AV196" i="2"/>
  <c r="AR196" i="2"/>
  <c r="AQ196" i="2"/>
  <c r="AK196" i="2"/>
  <c r="AJ196" i="2"/>
  <c r="AI196" i="2"/>
  <c r="AH196" i="2"/>
  <c r="AG196" i="2"/>
  <c r="H196" i="2"/>
  <c r="CA195" i="2"/>
  <c r="BN195" i="2"/>
  <c r="BM195" i="2"/>
  <c r="BF195" i="2"/>
  <c r="BG195" i="2" s="1"/>
  <c r="BD195" i="2"/>
  <c r="BE195" i="2" s="1"/>
  <c r="BC195" i="2"/>
  <c r="BB195" i="2"/>
  <c r="BA195" i="2"/>
  <c r="AZ195" i="2"/>
  <c r="AV195" i="2"/>
  <c r="AR195" i="2"/>
  <c r="AQ195" i="2"/>
  <c r="AK195" i="2"/>
  <c r="AJ195" i="2"/>
  <c r="AI195" i="2"/>
  <c r="AH195" i="2"/>
  <c r="AG195" i="2"/>
  <c r="H195" i="2"/>
  <c r="CA194" i="2"/>
  <c r="BN194" i="2"/>
  <c r="BM194" i="2"/>
  <c r="BF194" i="2"/>
  <c r="BG194" i="2" s="1"/>
  <c r="BD194" i="2"/>
  <c r="BE194" i="2" s="1"/>
  <c r="BC194" i="2"/>
  <c r="BB194" i="2"/>
  <c r="BA194" i="2"/>
  <c r="AZ194" i="2"/>
  <c r="AV194" i="2"/>
  <c r="AR194" i="2"/>
  <c r="AQ194" i="2"/>
  <c r="AK194" i="2"/>
  <c r="AJ194" i="2"/>
  <c r="AI194" i="2"/>
  <c r="AH194" i="2"/>
  <c r="AG194" i="2"/>
  <c r="H194" i="2"/>
  <c r="CA193" i="2"/>
  <c r="BN193" i="2"/>
  <c r="BM193" i="2"/>
  <c r="BF193" i="2"/>
  <c r="BG193" i="2" s="1"/>
  <c r="BD193" i="2"/>
  <c r="BE193" i="2" s="1"/>
  <c r="BB193" i="2"/>
  <c r="BA193" i="2"/>
  <c r="AZ193" i="2"/>
  <c r="AV193" i="2"/>
  <c r="AR193" i="2"/>
  <c r="AQ193" i="2"/>
  <c r="AK193" i="2"/>
  <c r="AJ193" i="2"/>
  <c r="AI193" i="2"/>
  <c r="AH193" i="2"/>
  <c r="AG193" i="2"/>
  <c r="H193" i="2"/>
  <c r="CA192" i="2"/>
  <c r="BN192" i="2"/>
  <c r="BM192" i="2"/>
  <c r="BF192" i="2"/>
  <c r="BG192" i="2" s="1"/>
  <c r="BD192" i="2"/>
  <c r="BE192" i="2" s="1"/>
  <c r="BB192" i="2"/>
  <c r="BH192" i="2" s="1"/>
  <c r="BA192" i="2"/>
  <c r="AZ192" i="2"/>
  <c r="AV192" i="2"/>
  <c r="AR192" i="2"/>
  <c r="AQ192" i="2"/>
  <c r="AM192" i="2"/>
  <c r="AK192" i="2"/>
  <c r="AJ192" i="2"/>
  <c r="AI192" i="2"/>
  <c r="AH192" i="2"/>
  <c r="AG192" i="2"/>
  <c r="H192" i="2"/>
  <c r="CA191" i="2"/>
  <c r="BN191" i="2"/>
  <c r="BM191" i="2"/>
  <c r="BF191" i="2"/>
  <c r="BG191" i="2" s="1"/>
  <c r="BD191" i="2"/>
  <c r="BB191" i="2"/>
  <c r="BC191" i="2" s="1"/>
  <c r="BA191" i="2"/>
  <c r="AZ191" i="2"/>
  <c r="AV191" i="2"/>
  <c r="AR191" i="2"/>
  <c r="AQ191" i="2"/>
  <c r="AK191" i="2"/>
  <c r="AJ191" i="2"/>
  <c r="AI191" i="2"/>
  <c r="AH191" i="2"/>
  <c r="AG191" i="2"/>
  <c r="H191" i="2"/>
  <c r="CA190" i="2"/>
  <c r="BN190" i="2"/>
  <c r="BM190" i="2"/>
  <c r="BF190" i="2"/>
  <c r="BD190" i="2"/>
  <c r="BE190" i="2" s="1"/>
  <c r="BB190" i="2"/>
  <c r="BA190" i="2"/>
  <c r="AZ190" i="2"/>
  <c r="AV190" i="2"/>
  <c r="AR190" i="2"/>
  <c r="AQ190" i="2"/>
  <c r="AK190" i="2"/>
  <c r="AJ190" i="2"/>
  <c r="AI190" i="2"/>
  <c r="AH190" i="2"/>
  <c r="AG190" i="2"/>
  <c r="H190" i="2"/>
  <c r="CA189" i="2"/>
  <c r="BN189" i="2"/>
  <c r="BM189" i="2"/>
  <c r="BF189" i="2"/>
  <c r="BG189" i="2" s="1"/>
  <c r="BD189" i="2"/>
  <c r="BE189" i="2" s="1"/>
  <c r="BB189" i="2"/>
  <c r="BA189" i="2"/>
  <c r="AZ189" i="2"/>
  <c r="AV189" i="2"/>
  <c r="AR189" i="2"/>
  <c r="AQ189" i="2"/>
  <c r="AK189" i="2"/>
  <c r="AJ189" i="2"/>
  <c r="AI189" i="2"/>
  <c r="AH189" i="2"/>
  <c r="AG189" i="2"/>
  <c r="H189" i="2"/>
  <c r="CA188" i="2"/>
  <c r="BN188" i="2"/>
  <c r="BM188" i="2"/>
  <c r="BF188" i="2"/>
  <c r="BG188" i="2" s="1"/>
  <c r="BD188" i="2"/>
  <c r="BE188" i="2" s="1"/>
  <c r="BB188" i="2"/>
  <c r="BA188" i="2"/>
  <c r="AZ188" i="2"/>
  <c r="AV188" i="2"/>
  <c r="AR188" i="2"/>
  <c r="AQ188" i="2"/>
  <c r="AK188" i="2"/>
  <c r="AJ188" i="2"/>
  <c r="AI188" i="2"/>
  <c r="AH188" i="2"/>
  <c r="AG188" i="2"/>
  <c r="H188" i="2"/>
  <c r="CA187" i="2"/>
  <c r="BN187" i="2"/>
  <c r="BM187" i="2"/>
  <c r="BF187" i="2"/>
  <c r="BD187" i="2"/>
  <c r="BE187" i="2" s="1"/>
  <c r="BB187" i="2"/>
  <c r="BA187" i="2"/>
  <c r="AZ187" i="2"/>
  <c r="AV187" i="2"/>
  <c r="AR187" i="2"/>
  <c r="AQ187" i="2"/>
  <c r="AK187" i="2"/>
  <c r="AJ187" i="2"/>
  <c r="AI187" i="2"/>
  <c r="AH187" i="2"/>
  <c r="AG187" i="2"/>
  <c r="H187" i="2"/>
  <c r="CA186" i="2"/>
  <c r="BN186" i="2"/>
  <c r="BM186" i="2"/>
  <c r="BF186" i="2"/>
  <c r="BG186" i="2" s="1"/>
  <c r="BD186" i="2"/>
  <c r="BE186" i="2" s="1"/>
  <c r="BB186" i="2"/>
  <c r="BA186" i="2"/>
  <c r="AZ186" i="2"/>
  <c r="AV186" i="2"/>
  <c r="AR186" i="2"/>
  <c r="AQ186" i="2"/>
  <c r="AK186" i="2"/>
  <c r="AJ186" i="2"/>
  <c r="AI186" i="2"/>
  <c r="AH186" i="2"/>
  <c r="AG186" i="2"/>
  <c r="H186" i="2"/>
  <c r="CA185" i="2"/>
  <c r="BN185" i="2"/>
  <c r="BM185" i="2"/>
  <c r="BG185" i="2"/>
  <c r="BF185" i="2"/>
  <c r="BD185" i="2"/>
  <c r="CU185" i="2" s="1"/>
  <c r="CV185" i="2" s="1"/>
  <c r="BB185" i="2"/>
  <c r="BA185" i="2"/>
  <c r="AZ185" i="2"/>
  <c r="AV185" i="2"/>
  <c r="AR185" i="2"/>
  <c r="AQ185" i="2"/>
  <c r="AK185" i="2"/>
  <c r="AJ185" i="2"/>
  <c r="AI185" i="2"/>
  <c r="AH185" i="2"/>
  <c r="AG185" i="2"/>
  <c r="H185" i="2"/>
  <c r="CA184" i="2"/>
  <c r="BN184" i="2"/>
  <c r="BM184" i="2"/>
  <c r="BF184" i="2"/>
  <c r="BG184" i="2" s="1"/>
  <c r="BD184" i="2"/>
  <c r="BE184" i="2" s="1"/>
  <c r="BB184" i="2"/>
  <c r="BC184" i="2" s="1"/>
  <c r="BA184" i="2"/>
  <c r="AZ184" i="2"/>
  <c r="AV184" i="2"/>
  <c r="AR184" i="2"/>
  <c r="AQ184" i="2"/>
  <c r="AK184" i="2"/>
  <c r="AJ184" i="2"/>
  <c r="AI184" i="2"/>
  <c r="AH184" i="2"/>
  <c r="AG184" i="2"/>
  <c r="H184" i="2"/>
  <c r="CA183" i="2"/>
  <c r="BN183" i="2"/>
  <c r="BM183" i="2"/>
  <c r="BG183" i="2"/>
  <c r="BF183" i="2"/>
  <c r="BD183" i="2"/>
  <c r="BE183" i="2" s="1"/>
  <c r="BB183" i="2"/>
  <c r="BA183" i="2"/>
  <c r="AZ183" i="2"/>
  <c r="AV183" i="2"/>
  <c r="AR183" i="2"/>
  <c r="AQ183" i="2"/>
  <c r="AK183" i="2"/>
  <c r="AJ183" i="2"/>
  <c r="AM183" i="2" s="1"/>
  <c r="AI183" i="2"/>
  <c r="AH183" i="2"/>
  <c r="AG183" i="2"/>
  <c r="H183" i="2"/>
  <c r="CU182" i="2"/>
  <c r="CV182" i="2" s="1"/>
  <c r="CA182" i="2"/>
  <c r="BN182" i="2"/>
  <c r="BM182" i="2"/>
  <c r="BF182" i="2"/>
  <c r="BG182" i="2" s="1"/>
  <c r="BD182" i="2"/>
  <c r="BE182" i="2" s="1"/>
  <c r="BB182" i="2"/>
  <c r="BC182" i="2" s="1"/>
  <c r="BA182" i="2"/>
  <c r="AZ182" i="2"/>
  <c r="AV182" i="2"/>
  <c r="AR182" i="2"/>
  <c r="AQ182" i="2"/>
  <c r="AK182" i="2"/>
  <c r="AJ182" i="2"/>
  <c r="AI182" i="2"/>
  <c r="BK182" i="2" s="1"/>
  <c r="AH182" i="2"/>
  <c r="AG182" i="2"/>
  <c r="H182" i="2"/>
  <c r="CA181" i="2"/>
  <c r="BN181" i="2"/>
  <c r="BM181" i="2"/>
  <c r="BF181" i="2"/>
  <c r="BG181" i="2" s="1"/>
  <c r="BD181" i="2"/>
  <c r="BE181" i="2" s="1"/>
  <c r="BB181" i="2"/>
  <c r="BA181" i="2"/>
  <c r="AZ181" i="2"/>
  <c r="AV181" i="2"/>
  <c r="AR181" i="2"/>
  <c r="AQ181" i="2"/>
  <c r="AK181" i="2"/>
  <c r="AJ181" i="2"/>
  <c r="AI181" i="2"/>
  <c r="AH181" i="2"/>
  <c r="AG181" i="2"/>
  <c r="H181" i="2"/>
  <c r="CA180" i="2"/>
  <c r="BN180" i="2"/>
  <c r="BM180" i="2"/>
  <c r="BF180" i="2"/>
  <c r="BG180" i="2" s="1"/>
  <c r="BD180" i="2"/>
  <c r="BE180" i="2" s="1"/>
  <c r="BB180" i="2"/>
  <c r="BA180" i="2"/>
  <c r="AZ180" i="2"/>
  <c r="AV180" i="2"/>
  <c r="AR180" i="2"/>
  <c r="AQ180" i="2"/>
  <c r="AK180" i="2"/>
  <c r="AJ180" i="2"/>
  <c r="AL180" i="2" s="1"/>
  <c r="AI180" i="2"/>
  <c r="AH180" i="2"/>
  <c r="AG180" i="2"/>
  <c r="H180" i="2"/>
  <c r="CA179" i="2"/>
  <c r="BN179" i="2"/>
  <c r="BM179" i="2"/>
  <c r="BF179" i="2"/>
  <c r="BG179" i="2" s="1"/>
  <c r="BD179" i="2"/>
  <c r="BC179" i="2"/>
  <c r="BB179" i="2"/>
  <c r="CU179" i="2" s="1"/>
  <c r="CV179" i="2" s="1"/>
  <c r="BA179" i="2"/>
  <c r="AZ179" i="2"/>
  <c r="AV179" i="2"/>
  <c r="AR179" i="2"/>
  <c r="AQ179" i="2"/>
  <c r="AK179" i="2"/>
  <c r="AJ179" i="2"/>
  <c r="AI179" i="2"/>
  <c r="AH179" i="2"/>
  <c r="AG179" i="2"/>
  <c r="H179" i="2"/>
  <c r="CA178" i="2"/>
  <c r="BN178" i="2"/>
  <c r="BM178" i="2"/>
  <c r="BF178" i="2"/>
  <c r="BG178" i="2" s="1"/>
  <c r="BD178" i="2"/>
  <c r="BE178" i="2" s="1"/>
  <c r="BC178" i="2"/>
  <c r="BB178" i="2"/>
  <c r="BA178" i="2"/>
  <c r="AZ178" i="2"/>
  <c r="AV178" i="2"/>
  <c r="AR178" i="2"/>
  <c r="AQ178" i="2"/>
  <c r="AK178" i="2"/>
  <c r="AJ178" i="2"/>
  <c r="AI178" i="2"/>
  <c r="AM178" i="2" s="1"/>
  <c r="AH178" i="2"/>
  <c r="AG178" i="2"/>
  <c r="H178" i="2"/>
  <c r="CA177" i="2"/>
  <c r="BN177" i="2"/>
  <c r="BM177" i="2"/>
  <c r="BF177" i="2"/>
  <c r="BG177" i="2" s="1"/>
  <c r="BD177" i="2"/>
  <c r="BE177" i="2" s="1"/>
  <c r="BB177" i="2"/>
  <c r="BA177" i="2"/>
  <c r="AZ177" i="2"/>
  <c r="AV177" i="2"/>
  <c r="AR177" i="2"/>
  <c r="AQ177" i="2"/>
  <c r="AK177" i="2"/>
  <c r="AJ177" i="2"/>
  <c r="AI177" i="2"/>
  <c r="BK177" i="2" s="1"/>
  <c r="AH177" i="2"/>
  <c r="AG177" i="2"/>
  <c r="H177" i="2"/>
  <c r="CA176" i="2"/>
  <c r="BN176" i="2"/>
  <c r="BM176" i="2"/>
  <c r="BF176" i="2"/>
  <c r="BG176" i="2" s="1"/>
  <c r="BD176" i="2"/>
  <c r="BE176" i="2" s="1"/>
  <c r="BB176" i="2"/>
  <c r="BA176" i="2"/>
  <c r="AZ176" i="2"/>
  <c r="AV176" i="2"/>
  <c r="AR176" i="2"/>
  <c r="AQ176" i="2"/>
  <c r="AK176" i="2"/>
  <c r="AJ176" i="2"/>
  <c r="AI176" i="2"/>
  <c r="AH176" i="2"/>
  <c r="AG176" i="2"/>
  <c r="H176" i="2"/>
  <c r="BN175" i="2"/>
  <c r="BM175" i="2"/>
  <c r="BF175" i="2"/>
  <c r="BE175" i="2"/>
  <c r="BD175" i="2"/>
  <c r="BB175" i="2"/>
  <c r="BC175" i="2" s="1"/>
  <c r="BA175" i="2"/>
  <c r="AZ175" i="2"/>
  <c r="AV175" i="2"/>
  <c r="AR175" i="2"/>
  <c r="AQ175" i="2"/>
  <c r="AK175" i="2"/>
  <c r="AJ175" i="2"/>
  <c r="AI175" i="2"/>
  <c r="AH175" i="2"/>
  <c r="AG175" i="2"/>
  <c r="H175" i="2"/>
  <c r="BN174" i="2"/>
  <c r="BM174" i="2"/>
  <c r="BF174" i="2"/>
  <c r="BG174" i="2" s="1"/>
  <c r="BD174" i="2"/>
  <c r="BE174" i="2" s="1"/>
  <c r="BB174" i="2"/>
  <c r="BC174" i="2" s="1"/>
  <c r="BA174" i="2"/>
  <c r="AZ174" i="2"/>
  <c r="AV174" i="2"/>
  <c r="AR174" i="2"/>
  <c r="AQ174" i="2"/>
  <c r="AK174" i="2"/>
  <c r="AJ174" i="2"/>
  <c r="AI174" i="2"/>
  <c r="AH174" i="2"/>
  <c r="AG174" i="2"/>
  <c r="H174" i="2"/>
  <c r="CA173" i="2"/>
  <c r="BN173" i="2"/>
  <c r="BM173" i="2"/>
  <c r="BF173" i="2"/>
  <c r="BG173" i="2" s="1"/>
  <c r="BD173" i="2"/>
  <c r="BB173" i="2"/>
  <c r="BC173" i="2" s="1"/>
  <c r="BA173" i="2"/>
  <c r="AZ173" i="2"/>
  <c r="AV173" i="2"/>
  <c r="AR173" i="2"/>
  <c r="AQ173" i="2"/>
  <c r="AK173" i="2"/>
  <c r="AI173" i="2"/>
  <c r="AH173" i="2"/>
  <c r="AE173" i="2"/>
  <c r="S173" i="2"/>
  <c r="H173" i="2"/>
  <c r="CA172" i="2"/>
  <c r="BU172" i="2"/>
  <c r="BF172" i="2"/>
  <c r="BG172" i="2" s="1"/>
  <c r="BD172" i="2"/>
  <c r="BE172" i="2" s="1"/>
  <c r="BB172" i="2"/>
  <c r="BC172" i="2" s="1"/>
  <c r="BA172" i="2"/>
  <c r="AZ172" i="2"/>
  <c r="AV172" i="2"/>
  <c r="AR172" i="2"/>
  <c r="AQ172" i="2"/>
  <c r="AK172" i="2"/>
  <c r="AJ172" i="2"/>
  <c r="AI172" i="2"/>
  <c r="H172" i="2"/>
  <c r="CA171" i="2"/>
  <c r="BU171" i="2"/>
  <c r="BF171" i="2"/>
  <c r="BG171" i="2" s="1"/>
  <c r="BD171" i="2"/>
  <c r="BB171" i="2"/>
  <c r="BC171" i="2" s="1"/>
  <c r="BA171" i="2"/>
  <c r="AZ171" i="2"/>
  <c r="AV171" i="2"/>
  <c r="AR171" i="2"/>
  <c r="AQ171" i="2"/>
  <c r="AK171" i="2"/>
  <c r="AJ171" i="2"/>
  <c r="AI171" i="2"/>
  <c r="H171" i="2"/>
  <c r="CA170" i="2"/>
  <c r="BU170" i="2"/>
  <c r="BF170" i="2"/>
  <c r="BG170" i="2" s="1"/>
  <c r="BD170" i="2"/>
  <c r="BE170" i="2" s="1"/>
  <c r="BB170" i="2"/>
  <c r="BC170" i="2" s="1"/>
  <c r="BA170" i="2"/>
  <c r="AZ170" i="2"/>
  <c r="AV170" i="2"/>
  <c r="AR170" i="2"/>
  <c r="AQ170" i="2"/>
  <c r="AK170" i="2"/>
  <c r="AJ170" i="2"/>
  <c r="AI170" i="2"/>
  <c r="H170" i="2"/>
  <c r="CA169" i="2"/>
  <c r="BU169" i="2"/>
  <c r="BF169" i="2"/>
  <c r="BG169" i="2" s="1"/>
  <c r="BE169" i="2"/>
  <c r="BD169" i="2"/>
  <c r="BB169" i="2"/>
  <c r="BC169" i="2" s="1"/>
  <c r="BA169" i="2"/>
  <c r="AZ169" i="2"/>
  <c r="AV169" i="2"/>
  <c r="AR169" i="2"/>
  <c r="AQ169" i="2"/>
  <c r="AK169" i="2"/>
  <c r="AJ169" i="2"/>
  <c r="AI169" i="2"/>
  <c r="BK169" i="2" s="1"/>
  <c r="CN169" i="2" s="1"/>
  <c r="H169" i="2"/>
  <c r="CA168" i="2"/>
  <c r="BU168" i="2"/>
  <c r="BF168" i="2"/>
  <c r="BG168" i="2" s="1"/>
  <c r="BD168" i="2"/>
  <c r="BE168" i="2" s="1"/>
  <c r="BB168" i="2"/>
  <c r="BA168" i="2"/>
  <c r="AZ168" i="2"/>
  <c r="AV168" i="2"/>
  <c r="AR168" i="2"/>
  <c r="AQ168" i="2"/>
  <c r="AK168" i="2"/>
  <c r="AJ168" i="2"/>
  <c r="AI168" i="2"/>
  <c r="H168" i="2"/>
  <c r="CA167" i="2"/>
  <c r="BU167" i="2"/>
  <c r="BF167" i="2"/>
  <c r="BG167" i="2" s="1"/>
  <c r="BD167" i="2"/>
  <c r="BE167" i="2" s="1"/>
  <c r="BB167" i="2"/>
  <c r="BC167" i="2" s="1"/>
  <c r="BA167" i="2"/>
  <c r="AZ167" i="2"/>
  <c r="AV167" i="2"/>
  <c r="AR167" i="2"/>
  <c r="AQ167" i="2"/>
  <c r="AK167" i="2"/>
  <c r="AJ167" i="2"/>
  <c r="AI167" i="2"/>
  <c r="BK167" i="2" s="1"/>
  <c r="H167" i="2"/>
  <c r="CA166" i="2"/>
  <c r="BU166" i="2"/>
  <c r="BF166" i="2"/>
  <c r="BG166" i="2" s="1"/>
  <c r="BD166" i="2"/>
  <c r="BE166" i="2" s="1"/>
  <c r="BC166" i="2"/>
  <c r="BB166" i="2"/>
  <c r="BA166" i="2"/>
  <c r="AZ166" i="2"/>
  <c r="AV166" i="2"/>
  <c r="CR166" i="2" s="1"/>
  <c r="CP166" i="2" s="1"/>
  <c r="AR166" i="2"/>
  <c r="AQ166" i="2"/>
  <c r="AK166" i="2"/>
  <c r="AJ166" i="2"/>
  <c r="AI166" i="2"/>
  <c r="AL166" i="2" s="1"/>
  <c r="H166" i="2"/>
  <c r="CA165" i="2"/>
  <c r="BU165" i="2"/>
  <c r="BF165" i="2"/>
  <c r="BG165" i="2" s="1"/>
  <c r="BD165" i="2"/>
  <c r="BE165" i="2" s="1"/>
  <c r="BB165" i="2"/>
  <c r="BC165" i="2" s="1"/>
  <c r="BA165" i="2"/>
  <c r="AZ165" i="2"/>
  <c r="AV165" i="2"/>
  <c r="AR165" i="2"/>
  <c r="AQ165" i="2"/>
  <c r="AK165" i="2"/>
  <c r="AJ165" i="2"/>
  <c r="AI165" i="2"/>
  <c r="H165" i="2"/>
  <c r="CA164" i="2"/>
  <c r="BU164" i="2"/>
  <c r="BF164" i="2"/>
  <c r="BG164" i="2" s="1"/>
  <c r="BD164" i="2"/>
  <c r="BE164" i="2" s="1"/>
  <c r="BB164" i="2"/>
  <c r="BA164" i="2"/>
  <c r="AZ164" i="2"/>
  <c r="AV164" i="2"/>
  <c r="AR164" i="2"/>
  <c r="AQ164" i="2"/>
  <c r="AK164" i="2"/>
  <c r="AJ164" i="2"/>
  <c r="AI164" i="2"/>
  <c r="H164" i="2"/>
  <c r="CA163" i="2"/>
  <c r="BU163" i="2"/>
  <c r="BF163" i="2"/>
  <c r="BD163" i="2"/>
  <c r="BE163" i="2" s="1"/>
  <c r="BB163" i="2"/>
  <c r="BC163" i="2" s="1"/>
  <c r="BA163" i="2"/>
  <c r="AZ163" i="2"/>
  <c r="CR163" i="2" s="1"/>
  <c r="CP163" i="2" s="1"/>
  <c r="AV163" i="2"/>
  <c r="AR163" i="2"/>
  <c r="AQ163" i="2"/>
  <c r="AK163" i="2"/>
  <c r="AJ163" i="2"/>
  <c r="AI163" i="2"/>
  <c r="H163" i="2"/>
  <c r="CA162" i="2"/>
  <c r="BU162" i="2"/>
  <c r="BF162" i="2"/>
  <c r="BG162" i="2" s="1"/>
  <c r="BD162" i="2"/>
  <c r="BE162" i="2" s="1"/>
  <c r="BB162" i="2"/>
  <c r="BC162" i="2" s="1"/>
  <c r="BA162" i="2"/>
  <c r="AZ162" i="2"/>
  <c r="AV162" i="2"/>
  <c r="AR162" i="2"/>
  <c r="AQ162" i="2"/>
  <c r="AK162" i="2"/>
  <c r="AJ162" i="2"/>
  <c r="AI162" i="2"/>
  <c r="H162" i="2"/>
  <c r="CA161" i="2"/>
  <c r="BU161" i="2"/>
  <c r="BF161" i="2"/>
  <c r="BG161" i="2" s="1"/>
  <c r="BD161" i="2"/>
  <c r="BE161" i="2" s="1"/>
  <c r="BB161" i="2"/>
  <c r="BH161" i="2" s="1"/>
  <c r="BA161" i="2"/>
  <c r="AZ161" i="2"/>
  <c r="AV161" i="2"/>
  <c r="AR161" i="2"/>
  <c r="AQ161" i="2"/>
  <c r="AK161" i="2"/>
  <c r="AJ161" i="2"/>
  <c r="AI161" i="2"/>
  <c r="BK161" i="2" s="1"/>
  <c r="H161" i="2"/>
  <c r="CA160" i="2"/>
  <c r="BU160" i="2"/>
  <c r="BF160" i="2"/>
  <c r="BG160" i="2" s="1"/>
  <c r="BD160" i="2"/>
  <c r="BE160" i="2" s="1"/>
  <c r="BB160" i="2"/>
  <c r="BC160" i="2" s="1"/>
  <c r="BA160" i="2"/>
  <c r="AZ160" i="2"/>
  <c r="AV160" i="2"/>
  <c r="AR160" i="2"/>
  <c r="AQ160" i="2"/>
  <c r="AL160" i="2"/>
  <c r="AK160" i="2"/>
  <c r="AJ160" i="2"/>
  <c r="AI160" i="2"/>
  <c r="H160" i="2"/>
  <c r="CA159" i="2"/>
  <c r="BU159" i="2"/>
  <c r="BF159" i="2"/>
  <c r="BG159" i="2" s="1"/>
  <c r="BD159" i="2"/>
  <c r="BE159" i="2" s="1"/>
  <c r="BB159" i="2"/>
  <c r="BA159" i="2"/>
  <c r="AZ159" i="2"/>
  <c r="AV159" i="2"/>
  <c r="AR159" i="2"/>
  <c r="AQ159" i="2"/>
  <c r="AK159" i="2"/>
  <c r="AJ159" i="2"/>
  <c r="AI159" i="2"/>
  <c r="H159" i="2"/>
  <c r="CA158" i="2"/>
  <c r="BU158" i="2"/>
  <c r="BF158" i="2"/>
  <c r="BG158" i="2" s="1"/>
  <c r="BD158" i="2"/>
  <c r="BE158" i="2" s="1"/>
  <c r="BB158" i="2"/>
  <c r="BA158" i="2"/>
  <c r="AZ158" i="2"/>
  <c r="AV158" i="2"/>
  <c r="AR158" i="2"/>
  <c r="AQ158" i="2"/>
  <c r="AK158" i="2"/>
  <c r="AJ158" i="2"/>
  <c r="AI158" i="2"/>
  <c r="H158" i="2"/>
  <c r="CA157" i="2"/>
  <c r="BU157" i="2"/>
  <c r="BF157" i="2"/>
  <c r="BG157" i="2" s="1"/>
  <c r="BD157" i="2"/>
  <c r="BB157" i="2"/>
  <c r="BC157" i="2" s="1"/>
  <c r="BA157" i="2"/>
  <c r="AZ157" i="2"/>
  <c r="AV157" i="2"/>
  <c r="CR157" i="2" s="1"/>
  <c r="CP157" i="2" s="1"/>
  <c r="AR157" i="2"/>
  <c r="AQ157" i="2"/>
  <c r="AK157" i="2"/>
  <c r="AJ157" i="2"/>
  <c r="AI157" i="2"/>
  <c r="H157" i="2"/>
  <c r="CA156" i="2"/>
  <c r="BU156" i="2"/>
  <c r="BG156" i="2"/>
  <c r="BF156" i="2"/>
  <c r="BE156" i="2"/>
  <c r="BD156" i="2"/>
  <c r="BB156" i="2"/>
  <c r="BC156" i="2" s="1"/>
  <c r="BA156" i="2"/>
  <c r="AZ156" i="2"/>
  <c r="AV156" i="2"/>
  <c r="AR156" i="2"/>
  <c r="AQ156" i="2"/>
  <c r="AK156" i="2"/>
  <c r="AM156" i="2" s="1"/>
  <c r="AJ156" i="2"/>
  <c r="AI156" i="2"/>
  <c r="H156" i="2"/>
  <c r="CA155" i="2"/>
  <c r="BU155" i="2"/>
  <c r="BF155" i="2"/>
  <c r="BG155" i="2" s="1"/>
  <c r="BD155" i="2"/>
  <c r="BE155" i="2" s="1"/>
  <c r="BB155" i="2"/>
  <c r="BA155" i="2"/>
  <c r="AZ155" i="2"/>
  <c r="AV155" i="2"/>
  <c r="AR155" i="2"/>
  <c r="AQ155" i="2"/>
  <c r="AK155" i="2"/>
  <c r="AJ155" i="2"/>
  <c r="AI155" i="2"/>
  <c r="BK155" i="2" s="1"/>
  <c r="CN155" i="2" s="1"/>
  <c r="H155" i="2"/>
  <c r="CR154" i="2"/>
  <c r="CP154" i="2" s="1"/>
  <c r="CA154" i="2"/>
  <c r="BU154" i="2"/>
  <c r="BF154" i="2"/>
  <c r="BG154" i="2" s="1"/>
  <c r="BD154" i="2"/>
  <c r="BB154" i="2"/>
  <c r="BC154" i="2" s="1"/>
  <c r="BA154" i="2"/>
  <c r="AZ154" i="2"/>
  <c r="AV154" i="2"/>
  <c r="AR154" i="2"/>
  <c r="AQ154" i="2"/>
  <c r="AK154" i="2"/>
  <c r="AJ154" i="2"/>
  <c r="AI154" i="2"/>
  <c r="H154" i="2"/>
  <c r="CA153" i="2"/>
  <c r="BU153" i="2"/>
  <c r="BF153" i="2"/>
  <c r="BG153" i="2" s="1"/>
  <c r="BE153" i="2"/>
  <c r="BD153" i="2"/>
  <c r="BB153" i="2"/>
  <c r="BC153" i="2" s="1"/>
  <c r="BA153" i="2"/>
  <c r="AZ153" i="2"/>
  <c r="AV153" i="2"/>
  <c r="AR153" i="2"/>
  <c r="AQ153" i="2"/>
  <c r="AK153" i="2"/>
  <c r="AJ153" i="2"/>
  <c r="AI153" i="2"/>
  <c r="H153" i="2"/>
  <c r="CA152" i="2"/>
  <c r="BU152" i="2"/>
  <c r="BF152" i="2"/>
  <c r="BG152" i="2" s="1"/>
  <c r="BD152" i="2"/>
  <c r="BE152" i="2" s="1"/>
  <c r="BB152" i="2"/>
  <c r="BA152" i="2"/>
  <c r="AZ152" i="2"/>
  <c r="AV152" i="2"/>
  <c r="AR152" i="2"/>
  <c r="AQ152" i="2"/>
  <c r="AK152" i="2"/>
  <c r="AJ152" i="2"/>
  <c r="AI152" i="2"/>
  <c r="BK152" i="2" s="1"/>
  <c r="CN152" i="2" s="1"/>
  <c r="H152" i="2"/>
  <c r="CA151" i="2"/>
  <c r="BU151" i="2"/>
  <c r="BF151" i="2"/>
  <c r="BG151" i="2" s="1"/>
  <c r="BD151" i="2"/>
  <c r="BE151" i="2" s="1"/>
  <c r="BB151" i="2"/>
  <c r="BH151" i="2" s="1"/>
  <c r="BA151" i="2"/>
  <c r="AZ151" i="2"/>
  <c r="AV151" i="2"/>
  <c r="CR151" i="2" s="1"/>
  <c r="CP151" i="2" s="1"/>
  <c r="AR151" i="2"/>
  <c r="AQ151" i="2"/>
  <c r="AK151" i="2"/>
  <c r="AJ151" i="2"/>
  <c r="AI151" i="2"/>
  <c r="H151" i="2"/>
  <c r="CA150" i="2"/>
  <c r="BU150" i="2"/>
  <c r="BG150" i="2"/>
  <c r="BF150" i="2"/>
  <c r="BD150" i="2"/>
  <c r="BE150" i="2" s="1"/>
  <c r="BB150" i="2"/>
  <c r="BA150" i="2"/>
  <c r="AZ150" i="2"/>
  <c r="AV150" i="2"/>
  <c r="AR150" i="2"/>
  <c r="AQ150" i="2"/>
  <c r="AK150" i="2"/>
  <c r="AJ150" i="2"/>
  <c r="AI150" i="2"/>
  <c r="AL150" i="2" s="1"/>
  <c r="CQ150" i="2" s="1"/>
  <c r="H150" i="2"/>
  <c r="CA149" i="2"/>
  <c r="BU149" i="2"/>
  <c r="BF149" i="2"/>
  <c r="BG149" i="2" s="1"/>
  <c r="BD149" i="2"/>
  <c r="BE149" i="2" s="1"/>
  <c r="BB149" i="2"/>
  <c r="BA149" i="2"/>
  <c r="AZ149" i="2"/>
  <c r="AV149" i="2"/>
  <c r="AR149" i="2"/>
  <c r="AQ149" i="2"/>
  <c r="AK149" i="2"/>
  <c r="AJ149" i="2"/>
  <c r="AI149" i="2"/>
  <c r="H149" i="2"/>
  <c r="CA148" i="2"/>
  <c r="BU148" i="2"/>
  <c r="BN148" i="2"/>
  <c r="BM148" i="2"/>
  <c r="BF148" i="2"/>
  <c r="BG148" i="2" s="1"/>
  <c r="BD148" i="2"/>
  <c r="BE148" i="2" s="1"/>
  <c r="BB148" i="2"/>
  <c r="BC148" i="2" s="1"/>
  <c r="BA148" i="2"/>
  <c r="AZ148" i="2"/>
  <c r="CR148" i="2" s="1"/>
  <c r="CP148" i="2" s="1"/>
  <c r="AV148" i="2"/>
  <c r="AR148" i="2"/>
  <c r="AQ148" i="2"/>
  <c r="AK148" i="2"/>
  <c r="AJ148" i="2"/>
  <c r="BK148" i="2" s="1"/>
  <c r="CN148" i="2" s="1"/>
  <c r="AI148" i="2"/>
  <c r="AH148" i="2"/>
  <c r="AG148" i="2"/>
  <c r="H148" i="2"/>
  <c r="CA147" i="2"/>
  <c r="BU147" i="2"/>
  <c r="BN147" i="2"/>
  <c r="BM147" i="2"/>
  <c r="BF147" i="2"/>
  <c r="BD147" i="2"/>
  <c r="BE147" i="2" s="1"/>
  <c r="BB147" i="2"/>
  <c r="BC147" i="2" s="1"/>
  <c r="BA147" i="2"/>
  <c r="AZ147" i="2"/>
  <c r="CR147" i="2" s="1"/>
  <c r="CP147" i="2" s="1"/>
  <c r="AV147" i="2"/>
  <c r="AR147" i="2"/>
  <c r="AQ147" i="2"/>
  <c r="AK147" i="2"/>
  <c r="AJ147" i="2"/>
  <c r="AI147" i="2"/>
  <c r="AL147" i="2" s="1"/>
  <c r="AH147" i="2"/>
  <c r="AG147" i="2"/>
  <c r="H147" i="2"/>
  <c r="CA146" i="2"/>
  <c r="BU146" i="2"/>
  <c r="BN146" i="2"/>
  <c r="BM146" i="2"/>
  <c r="BF146" i="2"/>
  <c r="BG146" i="2" s="1"/>
  <c r="BE146" i="2"/>
  <c r="BD146" i="2"/>
  <c r="BB146" i="2"/>
  <c r="BH146" i="2" s="1"/>
  <c r="BA146" i="2"/>
  <c r="AZ146" i="2"/>
  <c r="AV146" i="2"/>
  <c r="CR146" i="2" s="1"/>
  <c r="CP146" i="2" s="1"/>
  <c r="AR146" i="2"/>
  <c r="AQ146" i="2"/>
  <c r="AK146" i="2"/>
  <c r="AJ146" i="2"/>
  <c r="AI146" i="2"/>
  <c r="AH146" i="2"/>
  <c r="AG146" i="2"/>
  <c r="H146" i="2"/>
  <c r="CA145" i="2"/>
  <c r="BU145" i="2"/>
  <c r="BN145" i="2"/>
  <c r="BM145" i="2"/>
  <c r="BF145" i="2"/>
  <c r="BG145" i="2" s="1"/>
  <c r="BD145" i="2"/>
  <c r="BE145" i="2" s="1"/>
  <c r="BB145" i="2"/>
  <c r="BC145" i="2" s="1"/>
  <c r="BA145" i="2"/>
  <c r="AZ145" i="2"/>
  <c r="AV145" i="2"/>
  <c r="AR145" i="2"/>
  <c r="AQ145" i="2"/>
  <c r="AK145" i="2"/>
  <c r="AJ145" i="2"/>
  <c r="AI145" i="2"/>
  <c r="AH145" i="2"/>
  <c r="AG145" i="2"/>
  <c r="H145" i="2"/>
  <c r="CA144" i="2"/>
  <c r="BU144" i="2"/>
  <c r="BN144" i="2"/>
  <c r="BM144" i="2"/>
  <c r="BF144" i="2"/>
  <c r="BG144" i="2" s="1"/>
  <c r="BD144" i="2"/>
  <c r="BE144" i="2" s="1"/>
  <c r="BB144" i="2"/>
  <c r="BA144" i="2"/>
  <c r="AZ144" i="2"/>
  <c r="AV144" i="2"/>
  <c r="AR144" i="2"/>
  <c r="AQ144" i="2"/>
  <c r="AK144" i="2"/>
  <c r="AJ144" i="2"/>
  <c r="AI144" i="2"/>
  <c r="AH144" i="2"/>
  <c r="AG144" i="2"/>
  <c r="H144" i="2"/>
  <c r="CA143" i="2"/>
  <c r="BU143" i="2"/>
  <c r="BN143" i="2"/>
  <c r="BM143" i="2"/>
  <c r="BG143" i="2"/>
  <c r="BF143" i="2"/>
  <c r="BD143" i="2"/>
  <c r="BE143" i="2" s="1"/>
  <c r="BB143" i="2"/>
  <c r="BA143" i="2"/>
  <c r="AZ143" i="2"/>
  <c r="AV143" i="2"/>
  <c r="AR143" i="2"/>
  <c r="AQ143" i="2"/>
  <c r="AK143" i="2"/>
  <c r="AJ143" i="2"/>
  <c r="AI143" i="2"/>
  <c r="AH143" i="2"/>
  <c r="AG143" i="2"/>
  <c r="H143" i="2"/>
  <c r="CA142" i="2"/>
  <c r="BU142" i="2"/>
  <c r="BN142" i="2"/>
  <c r="BM142" i="2"/>
  <c r="BF142" i="2"/>
  <c r="BG142" i="2" s="1"/>
  <c r="BI142" i="2" s="1"/>
  <c r="BD142" i="2"/>
  <c r="BE142" i="2" s="1"/>
  <c r="BB142" i="2"/>
  <c r="BC142" i="2" s="1"/>
  <c r="BA142" i="2"/>
  <c r="AZ142" i="2"/>
  <c r="AV142" i="2"/>
  <c r="AR142" i="2"/>
  <c r="AQ142" i="2"/>
  <c r="AK142" i="2"/>
  <c r="AJ142" i="2"/>
  <c r="AI142" i="2"/>
  <c r="AH142" i="2"/>
  <c r="AG142" i="2"/>
  <c r="H142" i="2"/>
  <c r="CA141" i="2"/>
  <c r="BU141" i="2"/>
  <c r="BN141" i="2"/>
  <c r="BM141" i="2"/>
  <c r="BF141" i="2"/>
  <c r="BD141" i="2"/>
  <c r="BE141" i="2" s="1"/>
  <c r="BB141" i="2"/>
  <c r="BC141" i="2" s="1"/>
  <c r="BA141" i="2"/>
  <c r="AZ141" i="2"/>
  <c r="AV141" i="2"/>
  <c r="CR141" i="2" s="1"/>
  <c r="CP141" i="2" s="1"/>
  <c r="AR141" i="2"/>
  <c r="AQ141" i="2"/>
  <c r="AK141" i="2"/>
  <c r="AJ141" i="2"/>
  <c r="AI141" i="2"/>
  <c r="BK141" i="2" s="1"/>
  <c r="CN141" i="2" s="1"/>
  <c r="AH141" i="2"/>
  <c r="AG141" i="2"/>
  <c r="H141" i="2"/>
  <c r="CR140" i="2"/>
  <c r="CP140" i="2" s="1"/>
  <c r="CA140" i="2"/>
  <c r="BU140" i="2"/>
  <c r="BN140" i="2"/>
  <c r="BM140" i="2"/>
  <c r="BF140" i="2"/>
  <c r="BG140" i="2" s="1"/>
  <c r="BD140" i="2"/>
  <c r="BB140" i="2"/>
  <c r="BC140" i="2" s="1"/>
  <c r="BA140" i="2"/>
  <c r="AZ140" i="2"/>
  <c r="AV140" i="2"/>
  <c r="AR140" i="2"/>
  <c r="AQ140" i="2"/>
  <c r="AK140" i="2"/>
  <c r="AJ140" i="2"/>
  <c r="AI140" i="2"/>
  <c r="AH140" i="2"/>
  <c r="AG140" i="2"/>
  <c r="H140" i="2"/>
  <c r="CD139" i="2"/>
  <c r="BX139" i="2"/>
  <c r="BU139" i="2"/>
  <c r="BN139" i="2"/>
  <c r="BM139" i="2"/>
  <c r="BF139" i="2"/>
  <c r="BG139" i="2" s="1"/>
  <c r="BD139" i="2"/>
  <c r="BE139" i="2" s="1"/>
  <c r="BB139" i="2"/>
  <c r="BA139" i="2"/>
  <c r="AZ139" i="2"/>
  <c r="AV139" i="2"/>
  <c r="CR139" i="2" s="1"/>
  <c r="CP139" i="2" s="1"/>
  <c r="AR139" i="2"/>
  <c r="AQ139" i="2"/>
  <c r="AK139" i="2"/>
  <c r="AJ139" i="2"/>
  <c r="AI139" i="2"/>
  <c r="AH139" i="2"/>
  <c r="AG139" i="2"/>
  <c r="H139" i="2"/>
  <c r="CD138" i="2"/>
  <c r="CA138" i="2"/>
  <c r="BX138" i="2"/>
  <c r="BU138" i="2"/>
  <c r="BN138" i="2"/>
  <c r="BM138" i="2"/>
  <c r="BF138" i="2"/>
  <c r="BG138" i="2" s="1"/>
  <c r="BD138" i="2"/>
  <c r="BE138" i="2" s="1"/>
  <c r="BB138" i="2"/>
  <c r="BA138" i="2"/>
  <c r="AZ138" i="2"/>
  <c r="AV138" i="2"/>
  <c r="AR138" i="2"/>
  <c r="AQ138" i="2"/>
  <c r="AK138" i="2"/>
  <c r="AJ138" i="2"/>
  <c r="AI138" i="2"/>
  <c r="AH138" i="2"/>
  <c r="AG138" i="2"/>
  <c r="H138" i="2"/>
  <c r="CD137" i="2"/>
  <c r="CA137" i="2"/>
  <c r="BX137" i="2"/>
  <c r="BU137" i="2"/>
  <c r="BN137" i="2"/>
  <c r="BM137" i="2"/>
  <c r="BF137" i="2"/>
  <c r="BG137" i="2" s="1"/>
  <c r="BD137" i="2"/>
  <c r="BE137" i="2" s="1"/>
  <c r="BB137" i="2"/>
  <c r="BC137" i="2" s="1"/>
  <c r="BA137" i="2"/>
  <c r="AZ137" i="2"/>
  <c r="AV137" i="2"/>
  <c r="AR137" i="2"/>
  <c r="AQ137" i="2"/>
  <c r="AK137" i="2"/>
  <c r="AJ137" i="2"/>
  <c r="AI137" i="2"/>
  <c r="AH137" i="2"/>
  <c r="AG137" i="2"/>
  <c r="H137" i="2"/>
  <c r="CD136" i="2"/>
  <c r="CA136" i="2"/>
  <c r="BX136" i="2"/>
  <c r="BU136" i="2"/>
  <c r="BN136" i="2"/>
  <c r="BM136" i="2"/>
  <c r="BF136" i="2"/>
  <c r="BG136" i="2" s="1"/>
  <c r="BD136" i="2"/>
  <c r="BE136" i="2" s="1"/>
  <c r="BB136" i="2"/>
  <c r="BA136" i="2"/>
  <c r="AZ136" i="2"/>
  <c r="AV136" i="2"/>
  <c r="AR136" i="2"/>
  <c r="AQ136" i="2"/>
  <c r="AK136" i="2"/>
  <c r="AJ136" i="2"/>
  <c r="AI136" i="2"/>
  <c r="AH136" i="2"/>
  <c r="AG136" i="2"/>
  <c r="H136" i="2"/>
  <c r="CD135" i="2"/>
  <c r="CA135" i="2"/>
  <c r="BX135" i="2"/>
  <c r="BU135" i="2"/>
  <c r="BN135" i="2"/>
  <c r="BM135" i="2"/>
  <c r="BF135" i="2"/>
  <c r="BG135" i="2" s="1"/>
  <c r="BE135" i="2"/>
  <c r="BD135" i="2"/>
  <c r="BB135" i="2"/>
  <c r="BC135" i="2" s="1"/>
  <c r="BA135" i="2"/>
  <c r="AZ135" i="2"/>
  <c r="AV135" i="2"/>
  <c r="AR135" i="2"/>
  <c r="AQ135" i="2"/>
  <c r="AK135" i="2"/>
  <c r="AJ135" i="2"/>
  <c r="AI135" i="2"/>
  <c r="AH135" i="2"/>
  <c r="AG135" i="2"/>
  <c r="H135" i="2"/>
  <c r="CD134" i="2"/>
  <c r="CA134" i="2"/>
  <c r="BX134" i="2"/>
  <c r="BU134" i="2"/>
  <c r="BN134" i="2"/>
  <c r="BM134" i="2"/>
  <c r="BF134" i="2"/>
  <c r="BG134" i="2" s="1"/>
  <c r="BD134" i="2"/>
  <c r="BE134" i="2" s="1"/>
  <c r="BC134" i="2"/>
  <c r="BB134" i="2"/>
  <c r="BA134" i="2"/>
  <c r="AZ134" i="2"/>
  <c r="AV134" i="2"/>
  <c r="AR134" i="2"/>
  <c r="AQ134" i="2"/>
  <c r="AK134" i="2"/>
  <c r="AJ134" i="2"/>
  <c r="AI134" i="2"/>
  <c r="AH134" i="2"/>
  <c r="AG134" i="2"/>
  <c r="H134" i="2"/>
  <c r="CD133" i="2"/>
  <c r="CA133" i="2"/>
  <c r="BX133" i="2"/>
  <c r="BU133" i="2"/>
  <c r="BN133" i="2"/>
  <c r="BM133" i="2"/>
  <c r="BF133" i="2"/>
  <c r="BG133" i="2" s="1"/>
  <c r="BD133" i="2"/>
  <c r="BE133" i="2" s="1"/>
  <c r="BC133" i="2"/>
  <c r="BB133" i="2"/>
  <c r="BH133" i="2" s="1"/>
  <c r="BA133" i="2"/>
  <c r="AZ133" i="2"/>
  <c r="AV133" i="2"/>
  <c r="AR133" i="2"/>
  <c r="AQ133" i="2"/>
  <c r="AM133" i="2"/>
  <c r="AK133" i="2"/>
  <c r="AJ133" i="2"/>
  <c r="AI133" i="2"/>
  <c r="BK133" i="2" s="1"/>
  <c r="AH133" i="2"/>
  <c r="AG133" i="2"/>
  <c r="H133" i="2"/>
  <c r="CD132" i="2"/>
  <c r="CA132" i="2"/>
  <c r="BX132" i="2"/>
  <c r="BU132" i="2"/>
  <c r="BN132" i="2"/>
  <c r="BM132" i="2"/>
  <c r="BF132" i="2"/>
  <c r="BD132" i="2"/>
  <c r="BE132" i="2" s="1"/>
  <c r="BB132" i="2"/>
  <c r="BC132" i="2" s="1"/>
  <c r="BA132" i="2"/>
  <c r="AZ132" i="2"/>
  <c r="AV132" i="2"/>
  <c r="CR132" i="2" s="1"/>
  <c r="CP132" i="2" s="1"/>
  <c r="AR132" i="2"/>
  <c r="AQ132" i="2"/>
  <c r="AK132" i="2"/>
  <c r="AJ132" i="2"/>
  <c r="AI132" i="2"/>
  <c r="AH132" i="2"/>
  <c r="AG132" i="2"/>
  <c r="H132" i="2"/>
  <c r="CD131" i="2"/>
  <c r="CA131" i="2"/>
  <c r="BX131" i="2"/>
  <c r="BU131" i="2"/>
  <c r="BN131" i="2"/>
  <c r="BM131" i="2"/>
  <c r="BF131" i="2"/>
  <c r="BG131" i="2" s="1"/>
  <c r="BD131" i="2"/>
  <c r="BE131" i="2" s="1"/>
  <c r="BB131" i="2"/>
  <c r="BC131" i="2" s="1"/>
  <c r="BA131" i="2"/>
  <c r="AZ131" i="2"/>
  <c r="AV131" i="2"/>
  <c r="CR131" i="2" s="1"/>
  <c r="CP131" i="2" s="1"/>
  <c r="AR131" i="2"/>
  <c r="AQ131" i="2"/>
  <c r="AK131" i="2"/>
  <c r="AJ131" i="2"/>
  <c r="AI131" i="2"/>
  <c r="AH131" i="2"/>
  <c r="AG131" i="2"/>
  <c r="H131" i="2"/>
  <c r="CD130" i="2"/>
  <c r="CA130" i="2"/>
  <c r="BX130" i="2"/>
  <c r="BU130" i="2"/>
  <c r="BN130" i="2"/>
  <c r="BM130" i="2"/>
  <c r="BF130" i="2"/>
  <c r="BG130" i="2" s="1"/>
  <c r="BD130" i="2"/>
  <c r="BE130" i="2" s="1"/>
  <c r="BB130" i="2"/>
  <c r="BA130" i="2"/>
  <c r="AZ130" i="2"/>
  <c r="AV130" i="2"/>
  <c r="CR130" i="2" s="1"/>
  <c r="CP130" i="2" s="1"/>
  <c r="AR130" i="2"/>
  <c r="AQ130" i="2"/>
  <c r="AK130" i="2"/>
  <c r="AJ130" i="2"/>
  <c r="AI130" i="2"/>
  <c r="AH130" i="2"/>
  <c r="AG130" i="2"/>
  <c r="H130" i="2"/>
  <c r="CD129" i="2"/>
  <c r="CA129" i="2"/>
  <c r="BX129" i="2"/>
  <c r="BU129" i="2"/>
  <c r="BN129" i="2"/>
  <c r="BM129" i="2"/>
  <c r="BF129" i="2"/>
  <c r="BG129" i="2" s="1"/>
  <c r="BD129" i="2"/>
  <c r="BE129" i="2" s="1"/>
  <c r="BC129" i="2"/>
  <c r="BB129" i="2"/>
  <c r="BA129" i="2"/>
  <c r="AZ129" i="2"/>
  <c r="AV129" i="2"/>
  <c r="AR129" i="2"/>
  <c r="AQ129" i="2"/>
  <c r="AK129" i="2"/>
  <c r="AJ129" i="2"/>
  <c r="AI129" i="2"/>
  <c r="AH129" i="2"/>
  <c r="AG129" i="2"/>
  <c r="H129" i="2"/>
  <c r="CD128" i="2"/>
  <c r="CA128" i="2"/>
  <c r="BX128" i="2"/>
  <c r="BU128" i="2"/>
  <c r="BN128" i="2"/>
  <c r="BM128" i="2"/>
  <c r="BF128" i="2"/>
  <c r="BG128" i="2" s="1"/>
  <c r="BD128" i="2"/>
  <c r="BE128" i="2" s="1"/>
  <c r="BB128" i="2"/>
  <c r="BA128" i="2"/>
  <c r="AZ128" i="2"/>
  <c r="AV128" i="2"/>
  <c r="AR128" i="2"/>
  <c r="AQ128" i="2"/>
  <c r="AK128" i="2"/>
  <c r="AJ128" i="2"/>
  <c r="AI128" i="2"/>
  <c r="AH128" i="2"/>
  <c r="AG128" i="2"/>
  <c r="H128" i="2"/>
  <c r="CD127" i="2"/>
  <c r="CA127" i="2"/>
  <c r="BX127" i="2"/>
  <c r="BU127" i="2"/>
  <c r="BN127" i="2"/>
  <c r="BM127" i="2"/>
  <c r="BF127" i="2"/>
  <c r="BD127" i="2"/>
  <c r="BE127" i="2" s="1"/>
  <c r="BB127" i="2"/>
  <c r="BC127" i="2" s="1"/>
  <c r="BA127" i="2"/>
  <c r="AZ127" i="2"/>
  <c r="AV127" i="2"/>
  <c r="CR127" i="2" s="1"/>
  <c r="CP127" i="2" s="1"/>
  <c r="AR127" i="2"/>
  <c r="AQ127" i="2"/>
  <c r="AK127" i="2"/>
  <c r="AJ127" i="2"/>
  <c r="AI127" i="2"/>
  <c r="AH127" i="2"/>
  <c r="AG127" i="2"/>
  <c r="H127" i="2"/>
  <c r="CD126" i="2"/>
  <c r="CA126" i="2"/>
  <c r="BX126" i="2"/>
  <c r="BU126" i="2"/>
  <c r="BN126" i="2"/>
  <c r="BM126" i="2"/>
  <c r="BG126" i="2"/>
  <c r="BF126" i="2"/>
  <c r="BD126" i="2"/>
  <c r="BE126" i="2" s="1"/>
  <c r="BB126" i="2"/>
  <c r="BA126" i="2"/>
  <c r="AZ126" i="2"/>
  <c r="AV126" i="2"/>
  <c r="AR126" i="2"/>
  <c r="AQ126" i="2"/>
  <c r="AK126" i="2"/>
  <c r="AJ126" i="2"/>
  <c r="AI126" i="2"/>
  <c r="AH126" i="2"/>
  <c r="AG126" i="2"/>
  <c r="H126" i="2"/>
  <c r="CO125" i="2"/>
  <c r="CD125" i="2"/>
  <c r="CA125" i="2"/>
  <c r="BX125" i="2"/>
  <c r="BU125" i="2"/>
  <c r="BN125" i="2"/>
  <c r="BM125" i="2"/>
  <c r="BF125" i="2"/>
  <c r="BG125" i="2" s="1"/>
  <c r="BD125" i="2"/>
  <c r="BE125" i="2" s="1"/>
  <c r="BC125" i="2"/>
  <c r="BB125" i="2"/>
  <c r="BA125" i="2"/>
  <c r="AZ125" i="2"/>
  <c r="AV125" i="2"/>
  <c r="CR125" i="2" s="1"/>
  <c r="CP125" i="2" s="1"/>
  <c r="AR125" i="2"/>
  <c r="AQ125" i="2"/>
  <c r="AK125" i="2"/>
  <c r="AJ125" i="2"/>
  <c r="AI125" i="2"/>
  <c r="AM125" i="2" s="1"/>
  <c r="AH125" i="2"/>
  <c r="AG125" i="2"/>
  <c r="H125" i="2"/>
  <c r="BX124" i="2"/>
  <c r="BU124" i="2"/>
  <c r="BN124" i="2"/>
  <c r="BR124" i="2" s="1"/>
  <c r="BM124" i="2"/>
  <c r="BF124" i="2"/>
  <c r="BG124" i="2" s="1"/>
  <c r="BD124" i="2"/>
  <c r="BE124" i="2" s="1"/>
  <c r="BB124" i="2"/>
  <c r="BA124" i="2"/>
  <c r="AZ124" i="2"/>
  <c r="AV124" i="2"/>
  <c r="AR124" i="2"/>
  <c r="AQ124" i="2"/>
  <c r="AK124" i="2"/>
  <c r="AJ124" i="2"/>
  <c r="AI124" i="2"/>
  <c r="AH124" i="2"/>
  <c r="AG124" i="2"/>
  <c r="H124" i="2"/>
  <c r="BX123" i="2"/>
  <c r="BU123" i="2"/>
  <c r="BR123" i="2"/>
  <c r="BN123" i="2"/>
  <c r="BM123" i="2"/>
  <c r="BF123" i="2"/>
  <c r="BD123" i="2"/>
  <c r="BE123" i="2" s="1"/>
  <c r="BB123" i="2"/>
  <c r="BC123" i="2" s="1"/>
  <c r="BA123" i="2"/>
  <c r="AZ123" i="2"/>
  <c r="AV123" i="2"/>
  <c r="AR123" i="2"/>
  <c r="AQ123" i="2"/>
  <c r="AK123" i="2"/>
  <c r="AJ123" i="2"/>
  <c r="AI123" i="2"/>
  <c r="AH123" i="2"/>
  <c r="AG123" i="2"/>
  <c r="H123" i="2"/>
  <c r="CA122" i="2"/>
  <c r="BX122" i="2"/>
  <c r="BU122" i="2"/>
  <c r="BN122" i="2"/>
  <c r="BR122" i="2" s="1"/>
  <c r="BM122" i="2"/>
  <c r="BF122" i="2"/>
  <c r="BG122" i="2" s="1"/>
  <c r="BD122" i="2"/>
  <c r="BE122" i="2" s="1"/>
  <c r="BB122" i="2"/>
  <c r="BH122" i="2" s="1"/>
  <c r="BA122" i="2"/>
  <c r="AZ122" i="2"/>
  <c r="AV122" i="2"/>
  <c r="CR122" i="2" s="1"/>
  <c r="CP122" i="2" s="1"/>
  <c r="AR122" i="2"/>
  <c r="AQ122" i="2"/>
  <c r="AK122" i="2"/>
  <c r="AJ122" i="2"/>
  <c r="AI122" i="2"/>
  <c r="BK122" i="2" s="1"/>
  <c r="AH122" i="2"/>
  <c r="AG122" i="2"/>
  <c r="H122" i="2"/>
  <c r="CA121" i="2"/>
  <c r="BX121" i="2"/>
  <c r="BU121" i="2"/>
  <c r="BN121" i="2"/>
  <c r="BR121" i="2" s="1"/>
  <c r="BM121" i="2"/>
  <c r="BF121" i="2"/>
  <c r="BG121" i="2" s="1"/>
  <c r="BD121" i="2"/>
  <c r="BE121" i="2" s="1"/>
  <c r="BB121" i="2"/>
  <c r="BC121" i="2" s="1"/>
  <c r="BA121" i="2"/>
  <c r="AZ121" i="2"/>
  <c r="AV121" i="2"/>
  <c r="AR121" i="2"/>
  <c r="AQ121" i="2"/>
  <c r="AK121" i="2"/>
  <c r="AJ121" i="2"/>
  <c r="AI121" i="2"/>
  <c r="AH121" i="2"/>
  <c r="AG121" i="2"/>
  <c r="H121" i="2"/>
  <c r="CA120" i="2"/>
  <c r="BX120" i="2"/>
  <c r="BU120" i="2"/>
  <c r="BN120" i="2"/>
  <c r="BR120" i="2" s="1"/>
  <c r="BM120" i="2"/>
  <c r="BF120" i="2"/>
  <c r="BG120" i="2" s="1"/>
  <c r="BD120" i="2"/>
  <c r="BE120" i="2" s="1"/>
  <c r="BB120" i="2"/>
  <c r="BA120" i="2"/>
  <c r="AZ120" i="2"/>
  <c r="AV120" i="2"/>
  <c r="AO120" i="2"/>
  <c r="AR120" i="2" s="1"/>
  <c r="AK120" i="2"/>
  <c r="AJ120" i="2"/>
  <c r="AI120" i="2"/>
  <c r="AH120" i="2"/>
  <c r="AG120" i="2"/>
  <c r="H120" i="2"/>
  <c r="CA119" i="2"/>
  <c r="BX119" i="2"/>
  <c r="BU119" i="2"/>
  <c r="BN119" i="2"/>
  <c r="BR119" i="2" s="1"/>
  <c r="BM119" i="2"/>
  <c r="BF119" i="2"/>
  <c r="BG119" i="2" s="1"/>
  <c r="BD119" i="2"/>
  <c r="BE119" i="2" s="1"/>
  <c r="BB119" i="2"/>
  <c r="BA119" i="2"/>
  <c r="AZ119" i="2"/>
  <c r="AV119" i="2"/>
  <c r="AO119" i="2"/>
  <c r="AR119" i="2" s="1"/>
  <c r="AK119" i="2"/>
  <c r="AJ119" i="2"/>
  <c r="AI119" i="2"/>
  <c r="AH119" i="2"/>
  <c r="AG119" i="2"/>
  <c r="H119" i="2"/>
  <c r="CA118" i="2"/>
  <c r="BX118" i="2"/>
  <c r="BU118" i="2"/>
  <c r="BN118" i="2"/>
  <c r="BR118" i="2" s="1"/>
  <c r="BM118" i="2"/>
  <c r="BF118" i="2"/>
  <c r="BG118" i="2" s="1"/>
  <c r="BD118" i="2"/>
  <c r="BE118" i="2" s="1"/>
  <c r="BB118" i="2"/>
  <c r="BA118" i="2"/>
  <c r="AZ118" i="2"/>
  <c r="AV118" i="2"/>
  <c r="AO118" i="2"/>
  <c r="AR118" i="2" s="1"/>
  <c r="AK118" i="2"/>
  <c r="AJ118" i="2"/>
  <c r="AI118" i="2"/>
  <c r="AH118" i="2"/>
  <c r="AG118" i="2"/>
  <c r="H118" i="2"/>
  <c r="CA117" i="2"/>
  <c r="BX117" i="2"/>
  <c r="BU117" i="2"/>
  <c r="BN117" i="2"/>
  <c r="BR117" i="2" s="1"/>
  <c r="BM117" i="2"/>
  <c r="BF117" i="2"/>
  <c r="BG117" i="2" s="1"/>
  <c r="BD117" i="2"/>
  <c r="BE117" i="2" s="1"/>
  <c r="BB117" i="2"/>
  <c r="BA117" i="2"/>
  <c r="AZ117" i="2"/>
  <c r="AV117" i="2"/>
  <c r="AO117" i="2"/>
  <c r="AR117" i="2" s="1"/>
  <c r="AK117" i="2"/>
  <c r="AJ117" i="2"/>
  <c r="AI117" i="2"/>
  <c r="AH117" i="2"/>
  <c r="AG117" i="2"/>
  <c r="H117" i="2"/>
  <c r="CA116" i="2"/>
  <c r="BX116" i="2"/>
  <c r="BU116" i="2"/>
  <c r="BN116" i="2"/>
  <c r="BR116" i="2" s="1"/>
  <c r="BM116" i="2"/>
  <c r="BF116" i="2"/>
  <c r="BG116" i="2" s="1"/>
  <c r="BD116" i="2"/>
  <c r="BE116" i="2" s="1"/>
  <c r="BB116" i="2"/>
  <c r="BA116" i="2"/>
  <c r="AZ116" i="2"/>
  <c r="AV116" i="2"/>
  <c r="AO116" i="2"/>
  <c r="AR116" i="2" s="1"/>
  <c r="AK116" i="2"/>
  <c r="AJ116" i="2"/>
  <c r="AI116" i="2"/>
  <c r="AH116" i="2"/>
  <c r="AG116" i="2"/>
  <c r="H116" i="2"/>
  <c r="CA115" i="2"/>
  <c r="BX115" i="2"/>
  <c r="BU115" i="2"/>
  <c r="BN115" i="2"/>
  <c r="BR115" i="2" s="1"/>
  <c r="BM115" i="2"/>
  <c r="BF115" i="2"/>
  <c r="BG115" i="2" s="1"/>
  <c r="BD115" i="2"/>
  <c r="BE115" i="2" s="1"/>
  <c r="BB115" i="2"/>
  <c r="BA115" i="2"/>
  <c r="AZ115" i="2"/>
  <c r="AV115" i="2"/>
  <c r="AO115" i="2"/>
  <c r="AR115" i="2" s="1"/>
  <c r="AK115" i="2"/>
  <c r="AJ115" i="2"/>
  <c r="AI115" i="2"/>
  <c r="AH115" i="2"/>
  <c r="AG115" i="2"/>
  <c r="H115" i="2"/>
  <c r="CA114" i="2"/>
  <c r="BX114" i="2"/>
  <c r="BU114" i="2"/>
  <c r="BN114" i="2"/>
  <c r="BR114" i="2" s="1"/>
  <c r="BM114" i="2"/>
  <c r="BF114" i="2"/>
  <c r="BG114" i="2" s="1"/>
  <c r="BD114" i="2"/>
  <c r="BE114" i="2" s="1"/>
  <c r="BB114" i="2"/>
  <c r="BA114" i="2"/>
  <c r="AZ114" i="2"/>
  <c r="AV114" i="2"/>
  <c r="AO114" i="2"/>
  <c r="AR114" i="2" s="1"/>
  <c r="AK114" i="2"/>
  <c r="AJ114" i="2"/>
  <c r="AI114" i="2"/>
  <c r="AH114" i="2"/>
  <c r="AG114" i="2"/>
  <c r="H114" i="2"/>
  <c r="CA113" i="2"/>
  <c r="BX113" i="2"/>
  <c r="BU113" i="2"/>
  <c r="BN113" i="2"/>
  <c r="BR113" i="2" s="1"/>
  <c r="BM113" i="2"/>
  <c r="BF113" i="2"/>
  <c r="BG113" i="2" s="1"/>
  <c r="BD113" i="2"/>
  <c r="BE113" i="2" s="1"/>
  <c r="BB113" i="2"/>
  <c r="BA113" i="2"/>
  <c r="AZ113" i="2"/>
  <c r="AV113" i="2"/>
  <c r="AO113" i="2"/>
  <c r="AR113" i="2" s="1"/>
  <c r="AK113" i="2"/>
  <c r="AJ113" i="2"/>
  <c r="AI113" i="2"/>
  <c r="AH113" i="2"/>
  <c r="AG113" i="2"/>
  <c r="H113" i="2"/>
  <c r="CA112" i="2"/>
  <c r="BX112" i="2"/>
  <c r="BU112" i="2"/>
  <c r="BN112" i="2"/>
  <c r="BR112" i="2" s="1"/>
  <c r="BM112" i="2"/>
  <c r="BF112" i="2"/>
  <c r="BG112" i="2" s="1"/>
  <c r="BD112" i="2"/>
  <c r="BE112" i="2" s="1"/>
  <c r="BB112" i="2"/>
  <c r="BA112" i="2"/>
  <c r="AZ112" i="2"/>
  <c r="AV112" i="2"/>
  <c r="AO112" i="2"/>
  <c r="AR112" i="2" s="1"/>
  <c r="AK112" i="2"/>
  <c r="AJ112" i="2"/>
  <c r="AI112" i="2"/>
  <c r="AH112" i="2"/>
  <c r="AG112" i="2"/>
  <c r="H112" i="2"/>
  <c r="CA111" i="2"/>
  <c r="BX111" i="2"/>
  <c r="BU111" i="2"/>
  <c r="BN111" i="2"/>
  <c r="BR111" i="2" s="1"/>
  <c r="BM111" i="2"/>
  <c r="BF111" i="2"/>
  <c r="BG111" i="2" s="1"/>
  <c r="BD111" i="2"/>
  <c r="BE111" i="2" s="1"/>
  <c r="BB111" i="2"/>
  <c r="BA111" i="2"/>
  <c r="AZ111" i="2"/>
  <c r="AV111" i="2"/>
  <c r="AR111" i="2"/>
  <c r="AQ111" i="2"/>
  <c r="AO111" i="2"/>
  <c r="AK111" i="2"/>
  <c r="AJ111" i="2"/>
  <c r="AI111" i="2"/>
  <c r="BK111" i="2" s="1"/>
  <c r="AH111" i="2"/>
  <c r="AG111" i="2"/>
  <c r="H111" i="2"/>
  <c r="CA110" i="2"/>
  <c r="BX110" i="2"/>
  <c r="BU110" i="2"/>
  <c r="BN110" i="2"/>
  <c r="BR110" i="2" s="1"/>
  <c r="BM110" i="2"/>
  <c r="BK110" i="2"/>
  <c r="BF110" i="2"/>
  <c r="BG110" i="2" s="1"/>
  <c r="BD110" i="2"/>
  <c r="BE110" i="2" s="1"/>
  <c r="BB110" i="2"/>
  <c r="BA110" i="2"/>
  <c r="AZ110" i="2"/>
  <c r="AV110" i="2"/>
  <c r="AR110" i="2"/>
  <c r="AQ110" i="2"/>
  <c r="AK110" i="2"/>
  <c r="AJ110" i="2"/>
  <c r="AI110" i="2"/>
  <c r="AM110" i="2" s="1"/>
  <c r="AH110" i="2"/>
  <c r="AG110" i="2"/>
  <c r="H110" i="2"/>
  <c r="CA109" i="2"/>
  <c r="BX109" i="2"/>
  <c r="BU109" i="2"/>
  <c r="BN109" i="2"/>
  <c r="BR109" i="2" s="1"/>
  <c r="BM109" i="2"/>
  <c r="BQ109" i="2" s="1"/>
  <c r="BF109" i="2"/>
  <c r="BG109" i="2" s="1"/>
  <c r="BD109" i="2"/>
  <c r="BE109" i="2" s="1"/>
  <c r="BB109" i="2"/>
  <c r="BA109" i="2"/>
  <c r="AZ109" i="2"/>
  <c r="CR109" i="2" s="1"/>
  <c r="CP109" i="2" s="1"/>
  <c r="AV109" i="2"/>
  <c r="AR109" i="2"/>
  <c r="AQ109" i="2"/>
  <c r="AK109" i="2"/>
  <c r="AJ109" i="2"/>
  <c r="AI109" i="2"/>
  <c r="AH109" i="2"/>
  <c r="AG109" i="2"/>
  <c r="H109" i="2"/>
  <c r="CA108" i="2"/>
  <c r="BX108" i="2"/>
  <c r="BU108" i="2"/>
  <c r="BN108" i="2"/>
  <c r="BR108" i="2" s="1"/>
  <c r="BM108" i="2"/>
  <c r="BQ108" i="2" s="1"/>
  <c r="BF108" i="2"/>
  <c r="BG108" i="2" s="1"/>
  <c r="BD108" i="2"/>
  <c r="BE108" i="2" s="1"/>
  <c r="BB108" i="2"/>
  <c r="BA108" i="2"/>
  <c r="AZ108" i="2"/>
  <c r="AV108" i="2"/>
  <c r="CR108" i="2" s="1"/>
  <c r="CP108" i="2" s="1"/>
  <c r="AR108" i="2"/>
  <c r="AQ108" i="2"/>
  <c r="AK108" i="2"/>
  <c r="AJ108" i="2"/>
  <c r="AI108" i="2"/>
  <c r="BK108" i="2" s="1"/>
  <c r="CN108" i="2" s="1"/>
  <c r="AH108" i="2"/>
  <c r="AG108" i="2"/>
  <c r="H108" i="2"/>
  <c r="CA107" i="2"/>
  <c r="BX107" i="2"/>
  <c r="BU107" i="2"/>
  <c r="BN107" i="2"/>
  <c r="BR107" i="2" s="1"/>
  <c r="BM107" i="2"/>
  <c r="BQ107" i="2" s="1"/>
  <c r="BF107" i="2"/>
  <c r="BG107" i="2" s="1"/>
  <c r="BD107" i="2"/>
  <c r="BE107" i="2" s="1"/>
  <c r="BB107" i="2"/>
  <c r="BA107" i="2"/>
  <c r="AZ107" i="2"/>
  <c r="AV107" i="2"/>
  <c r="AR107" i="2"/>
  <c r="AQ107" i="2"/>
  <c r="AK107" i="2"/>
  <c r="AJ107" i="2"/>
  <c r="AI107" i="2"/>
  <c r="AM107" i="2" s="1"/>
  <c r="AH107" i="2"/>
  <c r="AG107" i="2"/>
  <c r="H107" i="2"/>
  <c r="CA106" i="2"/>
  <c r="BX106" i="2"/>
  <c r="BU106" i="2"/>
  <c r="BN106" i="2"/>
  <c r="BR106" i="2" s="1"/>
  <c r="BM106" i="2"/>
  <c r="BQ106" i="2" s="1"/>
  <c r="BF106" i="2"/>
  <c r="BG106" i="2" s="1"/>
  <c r="BD106" i="2"/>
  <c r="BE106" i="2" s="1"/>
  <c r="BB106" i="2"/>
  <c r="BA106" i="2"/>
  <c r="AZ106" i="2"/>
  <c r="AV106" i="2"/>
  <c r="AR106" i="2"/>
  <c r="AQ106" i="2"/>
  <c r="AK106" i="2"/>
  <c r="AJ106" i="2"/>
  <c r="AI106" i="2"/>
  <c r="AM106" i="2" s="1"/>
  <c r="AH106" i="2"/>
  <c r="AG106" i="2"/>
  <c r="H106" i="2"/>
  <c r="CA105" i="2"/>
  <c r="BX105" i="2"/>
  <c r="BU105" i="2"/>
  <c r="BN105" i="2"/>
  <c r="BR105" i="2" s="1"/>
  <c r="BM105" i="2"/>
  <c r="BQ105" i="2" s="1"/>
  <c r="BF105" i="2"/>
  <c r="BG105" i="2" s="1"/>
  <c r="BD105" i="2"/>
  <c r="BE105" i="2" s="1"/>
  <c r="BB105" i="2"/>
  <c r="BA105" i="2"/>
  <c r="AZ105" i="2"/>
  <c r="AV105" i="2"/>
  <c r="AR105" i="2"/>
  <c r="AQ105" i="2"/>
  <c r="AK105" i="2"/>
  <c r="AJ105" i="2"/>
  <c r="AI105" i="2"/>
  <c r="AH105" i="2"/>
  <c r="AG105" i="2"/>
  <c r="H105" i="2"/>
  <c r="CA104" i="2"/>
  <c r="BX104" i="2"/>
  <c r="BU104" i="2"/>
  <c r="BN104" i="2"/>
  <c r="BR104" i="2" s="1"/>
  <c r="BM104" i="2"/>
  <c r="BQ104" i="2" s="1"/>
  <c r="BF104" i="2"/>
  <c r="BG104" i="2" s="1"/>
  <c r="BD104" i="2"/>
  <c r="BE104" i="2" s="1"/>
  <c r="BB104" i="2"/>
  <c r="BA104" i="2"/>
  <c r="AZ104" i="2"/>
  <c r="AV104" i="2"/>
  <c r="AR104" i="2"/>
  <c r="AQ104" i="2"/>
  <c r="AK104" i="2"/>
  <c r="AJ104" i="2"/>
  <c r="AI104" i="2"/>
  <c r="AH104" i="2"/>
  <c r="AG104" i="2"/>
  <c r="H104" i="2"/>
  <c r="CA103" i="2"/>
  <c r="BX103" i="2"/>
  <c r="BU103" i="2"/>
  <c r="BN103" i="2"/>
  <c r="BR103" i="2" s="1"/>
  <c r="BM103" i="2"/>
  <c r="BQ103" i="2" s="1"/>
  <c r="BK103" i="2"/>
  <c r="BF103" i="2"/>
  <c r="BG103" i="2" s="1"/>
  <c r="BD103" i="2"/>
  <c r="BE103" i="2" s="1"/>
  <c r="BB103" i="2"/>
  <c r="BA103" i="2"/>
  <c r="AZ103" i="2"/>
  <c r="AV103" i="2"/>
  <c r="AR103" i="2"/>
  <c r="AQ103" i="2"/>
  <c r="AK103" i="2"/>
  <c r="AJ103" i="2"/>
  <c r="AI103" i="2"/>
  <c r="AH103" i="2"/>
  <c r="AG103" i="2"/>
  <c r="H103" i="2"/>
  <c r="CA102" i="2"/>
  <c r="BX102" i="2"/>
  <c r="BU102" i="2"/>
  <c r="BN102" i="2"/>
  <c r="BR102" i="2" s="1"/>
  <c r="BM102" i="2"/>
  <c r="BQ102" i="2" s="1"/>
  <c r="BF102" i="2"/>
  <c r="BG102" i="2" s="1"/>
  <c r="BD102" i="2"/>
  <c r="BE102" i="2" s="1"/>
  <c r="BB102" i="2"/>
  <c r="BA102" i="2"/>
  <c r="AZ102" i="2"/>
  <c r="AV102" i="2"/>
  <c r="AR102" i="2"/>
  <c r="AQ102" i="2"/>
  <c r="AK102" i="2"/>
  <c r="AJ102" i="2"/>
  <c r="AI102" i="2"/>
  <c r="AM102" i="2" s="1"/>
  <c r="AH102" i="2"/>
  <c r="AG102" i="2"/>
  <c r="H102" i="2"/>
  <c r="CA101" i="2"/>
  <c r="BX101" i="2"/>
  <c r="BU101" i="2"/>
  <c r="BN101" i="2"/>
  <c r="BM101" i="2"/>
  <c r="BQ101" i="2" s="1"/>
  <c r="BF101" i="2"/>
  <c r="BG101" i="2" s="1"/>
  <c r="BD101" i="2"/>
  <c r="BE101" i="2" s="1"/>
  <c r="BB101" i="2"/>
  <c r="BA101" i="2"/>
  <c r="AZ101" i="2"/>
  <c r="AV101" i="2"/>
  <c r="CR101" i="2" s="1"/>
  <c r="CP101" i="2" s="1"/>
  <c r="AR101" i="2"/>
  <c r="AQ101" i="2"/>
  <c r="AK101" i="2"/>
  <c r="AJ101" i="2"/>
  <c r="AI101" i="2"/>
  <c r="AH101" i="2"/>
  <c r="AG101" i="2"/>
  <c r="H101" i="2"/>
  <c r="CA100" i="2"/>
  <c r="BX100" i="2"/>
  <c r="BU100" i="2"/>
  <c r="BN100" i="2"/>
  <c r="BR100" i="2" s="1"/>
  <c r="BM100" i="2"/>
  <c r="BQ100" i="2" s="1"/>
  <c r="BF100" i="2"/>
  <c r="BG100" i="2" s="1"/>
  <c r="BD100" i="2"/>
  <c r="BE100" i="2" s="1"/>
  <c r="BB100" i="2"/>
  <c r="BA100" i="2"/>
  <c r="AZ100" i="2"/>
  <c r="AV100" i="2"/>
  <c r="AR100" i="2"/>
  <c r="AQ100" i="2"/>
  <c r="AK100" i="2"/>
  <c r="AJ100" i="2"/>
  <c r="AI100" i="2"/>
  <c r="AH100" i="2"/>
  <c r="AG100" i="2"/>
  <c r="H100" i="2"/>
  <c r="CA99" i="2"/>
  <c r="BX99" i="2"/>
  <c r="BU99" i="2"/>
  <c r="BN99" i="2"/>
  <c r="BR99" i="2" s="1"/>
  <c r="BM99" i="2"/>
  <c r="BQ99" i="2" s="1"/>
  <c r="BF99" i="2"/>
  <c r="BG99" i="2" s="1"/>
  <c r="BD99" i="2"/>
  <c r="BE99" i="2" s="1"/>
  <c r="BB99" i="2"/>
  <c r="BA99" i="2"/>
  <c r="AZ99" i="2"/>
  <c r="AV99" i="2"/>
  <c r="AR99" i="2"/>
  <c r="AQ99" i="2"/>
  <c r="AK99" i="2"/>
  <c r="AJ99" i="2"/>
  <c r="AI99" i="2"/>
  <c r="AH99" i="2"/>
  <c r="AG99" i="2"/>
  <c r="H99" i="2"/>
  <c r="CA98" i="2"/>
  <c r="BX98" i="2"/>
  <c r="BU98" i="2"/>
  <c r="BN98" i="2"/>
  <c r="BR98" i="2" s="1"/>
  <c r="BM98" i="2"/>
  <c r="BQ98" i="2" s="1"/>
  <c r="BF98" i="2"/>
  <c r="BG98" i="2" s="1"/>
  <c r="BD98" i="2"/>
  <c r="BE98" i="2" s="1"/>
  <c r="BB98" i="2"/>
  <c r="BA98" i="2"/>
  <c r="AZ98" i="2"/>
  <c r="AV98" i="2"/>
  <c r="AR98" i="2"/>
  <c r="AQ98" i="2"/>
  <c r="AK98" i="2"/>
  <c r="AJ98" i="2"/>
  <c r="AI98" i="2"/>
  <c r="AH98" i="2"/>
  <c r="AG98" i="2"/>
  <c r="T98" i="2"/>
  <c r="H98" i="2"/>
  <c r="CA97" i="2"/>
  <c r="BX97" i="2"/>
  <c r="BU97" i="2"/>
  <c r="BN97" i="2"/>
  <c r="BR97" i="2" s="1"/>
  <c r="BM97" i="2"/>
  <c r="BQ97" i="2" s="1"/>
  <c r="BF97" i="2"/>
  <c r="BG97" i="2" s="1"/>
  <c r="BD97" i="2"/>
  <c r="BE97" i="2" s="1"/>
  <c r="BB97" i="2"/>
  <c r="BH97" i="2" s="1"/>
  <c r="BA97" i="2"/>
  <c r="AZ97" i="2"/>
  <c r="AV97" i="2"/>
  <c r="CR97" i="2" s="1"/>
  <c r="CP97" i="2" s="1"/>
  <c r="AR97" i="2"/>
  <c r="AQ97" i="2"/>
  <c r="AK97" i="2"/>
  <c r="AJ97" i="2"/>
  <c r="BK97" i="2" s="1"/>
  <c r="CN97" i="2" s="1"/>
  <c r="AI97" i="2"/>
  <c r="AH97" i="2"/>
  <c r="AG97" i="2"/>
  <c r="T97" i="2"/>
  <c r="H97" i="2"/>
  <c r="CA96" i="2"/>
  <c r="BX96" i="2"/>
  <c r="BU96" i="2"/>
  <c r="BR96" i="2"/>
  <c r="BN96" i="2"/>
  <c r="BM96" i="2"/>
  <c r="BQ96" i="2" s="1"/>
  <c r="BF96" i="2"/>
  <c r="BG96" i="2" s="1"/>
  <c r="BD96" i="2"/>
  <c r="BE96" i="2" s="1"/>
  <c r="BB96" i="2"/>
  <c r="BA96" i="2"/>
  <c r="AZ96" i="2"/>
  <c r="AV96" i="2"/>
  <c r="AR96" i="2"/>
  <c r="AQ96" i="2"/>
  <c r="AK96" i="2"/>
  <c r="AJ96" i="2"/>
  <c r="AI96" i="2"/>
  <c r="AH96" i="2"/>
  <c r="AG96" i="2"/>
  <c r="H96" i="2"/>
  <c r="CA95" i="2"/>
  <c r="BX95" i="2"/>
  <c r="BU95" i="2"/>
  <c r="BN95" i="2"/>
  <c r="BR95" i="2" s="1"/>
  <c r="BM95" i="2"/>
  <c r="BQ95" i="2" s="1"/>
  <c r="BF95" i="2"/>
  <c r="BG95" i="2" s="1"/>
  <c r="BD95" i="2"/>
  <c r="BE95" i="2" s="1"/>
  <c r="BB95" i="2"/>
  <c r="BA95" i="2"/>
  <c r="AZ95" i="2"/>
  <c r="AV95" i="2"/>
  <c r="AR95" i="2"/>
  <c r="AQ95" i="2"/>
  <c r="AK95" i="2"/>
  <c r="AJ95" i="2"/>
  <c r="AI95" i="2"/>
  <c r="AH95" i="2"/>
  <c r="AG95" i="2"/>
  <c r="H95" i="2"/>
  <c r="CA94" i="2"/>
  <c r="BX94" i="2"/>
  <c r="BU94" i="2"/>
  <c r="BR94" i="2"/>
  <c r="BN94" i="2"/>
  <c r="BM94" i="2"/>
  <c r="BQ94" i="2" s="1"/>
  <c r="BF94" i="2"/>
  <c r="BG94" i="2" s="1"/>
  <c r="BD94" i="2"/>
  <c r="BE94" i="2" s="1"/>
  <c r="BB94" i="2"/>
  <c r="BA94" i="2"/>
  <c r="AZ94" i="2"/>
  <c r="AV94" i="2"/>
  <c r="AR94" i="2"/>
  <c r="AQ94" i="2"/>
  <c r="AK94" i="2"/>
  <c r="AJ94" i="2"/>
  <c r="AI94" i="2"/>
  <c r="AH94" i="2"/>
  <c r="AG94" i="2"/>
  <c r="H94" i="2"/>
  <c r="BU93" i="2"/>
  <c r="BN93" i="2"/>
  <c r="BR93" i="2" s="1"/>
  <c r="BM93" i="2"/>
  <c r="BF93" i="2"/>
  <c r="BG93" i="2" s="1"/>
  <c r="BD93" i="2"/>
  <c r="BE93" i="2" s="1"/>
  <c r="BB93" i="2"/>
  <c r="BC93" i="2" s="1"/>
  <c r="BA93" i="2"/>
  <c r="AZ93" i="2"/>
  <c r="AV93" i="2"/>
  <c r="AR93" i="2"/>
  <c r="AQ93" i="2"/>
  <c r="AK93" i="2"/>
  <c r="AJ93" i="2"/>
  <c r="AI93" i="2"/>
  <c r="AH93" i="2"/>
  <c r="AG93" i="2"/>
  <c r="H93" i="2"/>
  <c r="BU92" i="2"/>
  <c r="BN92" i="2"/>
  <c r="BR92" i="2" s="1"/>
  <c r="BM92" i="2"/>
  <c r="BF92" i="2"/>
  <c r="BG92" i="2" s="1"/>
  <c r="BD92" i="2"/>
  <c r="BE92" i="2" s="1"/>
  <c r="BB92" i="2"/>
  <c r="BC92" i="2" s="1"/>
  <c r="BA92" i="2"/>
  <c r="AZ92" i="2"/>
  <c r="AV92" i="2"/>
  <c r="CR92" i="2" s="1"/>
  <c r="CP92" i="2" s="1"/>
  <c r="AR92" i="2"/>
  <c r="AQ92" i="2"/>
  <c r="AK92" i="2"/>
  <c r="AJ92" i="2"/>
  <c r="AI92" i="2"/>
  <c r="AH92" i="2"/>
  <c r="AG92" i="2"/>
  <c r="H92" i="2"/>
  <c r="BU91" i="2"/>
  <c r="BN91" i="2"/>
  <c r="BR91" i="2" s="1"/>
  <c r="BM91" i="2"/>
  <c r="BF91" i="2"/>
  <c r="BG91" i="2" s="1"/>
  <c r="BD91" i="2"/>
  <c r="BE91" i="2" s="1"/>
  <c r="BC91" i="2"/>
  <c r="BB91" i="2"/>
  <c r="BA91" i="2"/>
  <c r="AZ91" i="2"/>
  <c r="AV91" i="2"/>
  <c r="AR91" i="2"/>
  <c r="AQ91" i="2"/>
  <c r="AK91" i="2"/>
  <c r="AJ91" i="2"/>
  <c r="AI91" i="2"/>
  <c r="AH91" i="2"/>
  <c r="AG91" i="2"/>
  <c r="H91" i="2"/>
  <c r="BU90" i="2"/>
  <c r="BN90" i="2"/>
  <c r="BR90" i="2" s="1"/>
  <c r="BM90" i="2"/>
  <c r="BF90" i="2"/>
  <c r="BG90" i="2" s="1"/>
  <c r="BE90" i="2"/>
  <c r="BD90" i="2"/>
  <c r="BB90" i="2"/>
  <c r="BC90" i="2" s="1"/>
  <c r="BA90" i="2"/>
  <c r="AZ90" i="2"/>
  <c r="AV90" i="2"/>
  <c r="AR90" i="2"/>
  <c r="AQ90" i="2"/>
  <c r="AK90" i="2"/>
  <c r="AJ90" i="2"/>
  <c r="AI90" i="2"/>
  <c r="AH90" i="2"/>
  <c r="AG90" i="2"/>
  <c r="H90" i="2"/>
  <c r="BU89" i="2"/>
  <c r="BN89" i="2"/>
  <c r="BR89" i="2" s="1"/>
  <c r="BM89" i="2"/>
  <c r="BG89" i="2"/>
  <c r="BF89" i="2"/>
  <c r="BD89" i="2"/>
  <c r="BE89" i="2" s="1"/>
  <c r="BB89" i="2"/>
  <c r="BC89" i="2" s="1"/>
  <c r="BA89" i="2"/>
  <c r="AZ89" i="2"/>
  <c r="CR89" i="2" s="1"/>
  <c r="CP89" i="2" s="1"/>
  <c r="AV89" i="2"/>
  <c r="AR89" i="2"/>
  <c r="AQ89" i="2"/>
  <c r="AK89" i="2"/>
  <c r="AJ89" i="2"/>
  <c r="AI89" i="2"/>
  <c r="AH89" i="2"/>
  <c r="AG89" i="2"/>
  <c r="H89" i="2"/>
  <c r="BU88" i="2"/>
  <c r="BN88" i="2"/>
  <c r="BR88" i="2" s="1"/>
  <c r="BM88" i="2"/>
  <c r="BF88" i="2"/>
  <c r="BG88" i="2" s="1"/>
  <c r="BD88" i="2"/>
  <c r="BE88" i="2" s="1"/>
  <c r="BB88" i="2"/>
  <c r="BC88" i="2" s="1"/>
  <c r="BA88" i="2"/>
  <c r="AZ88" i="2"/>
  <c r="AV88" i="2"/>
  <c r="AR88" i="2"/>
  <c r="AQ88" i="2"/>
  <c r="AK88" i="2"/>
  <c r="AJ88" i="2"/>
  <c r="AI88" i="2"/>
  <c r="AL88" i="2" s="1"/>
  <c r="AH88" i="2"/>
  <c r="AG88" i="2"/>
  <c r="H88" i="2"/>
  <c r="BU87" i="2"/>
  <c r="BN87" i="2"/>
  <c r="BR87" i="2" s="1"/>
  <c r="BM87" i="2"/>
  <c r="BF87" i="2"/>
  <c r="BG87" i="2" s="1"/>
  <c r="BD87" i="2"/>
  <c r="BE87" i="2" s="1"/>
  <c r="BB87" i="2"/>
  <c r="BA87" i="2"/>
  <c r="AZ87" i="2"/>
  <c r="AV87" i="2"/>
  <c r="CR87" i="2" s="1"/>
  <c r="CP87" i="2" s="1"/>
  <c r="AR87" i="2"/>
  <c r="AQ87" i="2"/>
  <c r="AK87" i="2"/>
  <c r="AJ87" i="2"/>
  <c r="AI87" i="2"/>
  <c r="AH87" i="2"/>
  <c r="AG87" i="2"/>
  <c r="H87" i="2"/>
  <c r="BU86" i="2"/>
  <c r="BR86" i="2"/>
  <c r="BN86" i="2"/>
  <c r="BM86" i="2"/>
  <c r="BF86" i="2"/>
  <c r="BG86" i="2" s="1"/>
  <c r="BD86" i="2"/>
  <c r="BE86" i="2" s="1"/>
  <c r="BB86" i="2"/>
  <c r="BH86" i="2" s="1"/>
  <c r="BA86" i="2"/>
  <c r="AZ86" i="2"/>
  <c r="AV86" i="2"/>
  <c r="AR86" i="2"/>
  <c r="AQ86" i="2"/>
  <c r="AK86" i="2"/>
  <c r="AJ86" i="2"/>
  <c r="AI86" i="2"/>
  <c r="AH86" i="2"/>
  <c r="AG86" i="2"/>
  <c r="H86" i="2"/>
  <c r="BU85" i="2"/>
  <c r="BN85" i="2"/>
  <c r="BR85" i="2" s="1"/>
  <c r="BM85" i="2"/>
  <c r="BF85" i="2"/>
  <c r="BG85" i="2" s="1"/>
  <c r="BD85" i="2"/>
  <c r="BE85" i="2" s="1"/>
  <c r="BB85" i="2"/>
  <c r="BC85" i="2" s="1"/>
  <c r="BA85" i="2"/>
  <c r="AZ85" i="2"/>
  <c r="CR85" i="2" s="1"/>
  <c r="CP85" i="2" s="1"/>
  <c r="AV85" i="2"/>
  <c r="AR85" i="2"/>
  <c r="AQ85" i="2"/>
  <c r="AK85" i="2"/>
  <c r="BK85" i="2" s="1"/>
  <c r="CN85" i="2" s="1"/>
  <c r="AJ85" i="2"/>
  <c r="AI85" i="2"/>
  <c r="AM85" i="2" s="1"/>
  <c r="AH85" i="2"/>
  <c r="AG85" i="2"/>
  <c r="H85" i="2"/>
  <c r="BU84" i="2"/>
  <c r="BN84" i="2"/>
  <c r="BR84" i="2" s="1"/>
  <c r="BM84" i="2"/>
  <c r="BF84" i="2"/>
  <c r="BG84" i="2" s="1"/>
  <c r="BE84" i="2"/>
  <c r="BD84" i="2"/>
  <c r="BB84" i="2"/>
  <c r="BC84" i="2" s="1"/>
  <c r="BA84" i="2"/>
  <c r="AZ84" i="2"/>
  <c r="AV84" i="2"/>
  <c r="CR84" i="2" s="1"/>
  <c r="CP84" i="2" s="1"/>
  <c r="AR84" i="2"/>
  <c r="AQ84" i="2"/>
  <c r="AK84" i="2"/>
  <c r="AJ84" i="2"/>
  <c r="AL84" i="2" s="1"/>
  <c r="AI84" i="2"/>
  <c r="AH84" i="2"/>
  <c r="AG84" i="2"/>
  <c r="H84" i="2"/>
  <c r="BU83" i="2"/>
  <c r="BR83" i="2"/>
  <c r="BN83" i="2"/>
  <c r="BM83" i="2"/>
  <c r="BF83" i="2"/>
  <c r="BG83" i="2" s="1"/>
  <c r="BD83" i="2"/>
  <c r="BE83" i="2" s="1"/>
  <c r="BB83" i="2"/>
  <c r="BC83" i="2" s="1"/>
  <c r="BA83" i="2"/>
  <c r="AZ83" i="2"/>
  <c r="AV83" i="2"/>
  <c r="CR83" i="2" s="1"/>
  <c r="CP83" i="2" s="1"/>
  <c r="AR83" i="2"/>
  <c r="AQ83" i="2"/>
  <c r="AK83" i="2"/>
  <c r="AJ83" i="2"/>
  <c r="AI83" i="2"/>
  <c r="AH83" i="2"/>
  <c r="AG83" i="2"/>
  <c r="H83" i="2"/>
  <c r="BU82" i="2"/>
  <c r="BN82" i="2"/>
  <c r="BR82" i="2" s="1"/>
  <c r="BM82" i="2"/>
  <c r="BF82" i="2"/>
  <c r="BG82" i="2" s="1"/>
  <c r="BD82" i="2"/>
  <c r="BE82" i="2" s="1"/>
  <c r="BB82" i="2"/>
  <c r="BA82" i="2"/>
  <c r="AZ82" i="2"/>
  <c r="AV82" i="2"/>
  <c r="AR82" i="2"/>
  <c r="AQ82" i="2"/>
  <c r="AK82" i="2"/>
  <c r="AJ82" i="2"/>
  <c r="AI82" i="2"/>
  <c r="AM82" i="2" s="1"/>
  <c r="AH82" i="2"/>
  <c r="AG82" i="2"/>
  <c r="H82" i="2"/>
  <c r="BU81" i="2"/>
  <c r="BN81" i="2"/>
  <c r="BR81" i="2" s="1"/>
  <c r="BM81" i="2"/>
  <c r="BF81" i="2"/>
  <c r="BG81" i="2" s="1"/>
  <c r="BD81" i="2"/>
  <c r="BE81" i="2" s="1"/>
  <c r="BB81" i="2"/>
  <c r="BC81" i="2" s="1"/>
  <c r="BI81" i="2" s="1"/>
  <c r="BA81" i="2"/>
  <c r="AZ81" i="2"/>
  <c r="AV81" i="2"/>
  <c r="AR81" i="2"/>
  <c r="AQ81" i="2"/>
  <c r="AK81" i="2"/>
  <c r="AJ81" i="2"/>
  <c r="AI81" i="2"/>
  <c r="AH81" i="2"/>
  <c r="AG81" i="2"/>
  <c r="H81" i="2"/>
  <c r="BU80" i="2"/>
  <c r="BN80" i="2"/>
  <c r="BR80" i="2" s="1"/>
  <c r="BM80" i="2"/>
  <c r="BF80" i="2"/>
  <c r="BD80" i="2"/>
  <c r="BE80" i="2" s="1"/>
  <c r="BC80" i="2"/>
  <c r="BB80" i="2"/>
  <c r="BA80" i="2"/>
  <c r="AZ80" i="2"/>
  <c r="AV80" i="2"/>
  <c r="AR80" i="2"/>
  <c r="AQ80" i="2"/>
  <c r="AK80" i="2"/>
  <c r="AJ80" i="2"/>
  <c r="AI80" i="2"/>
  <c r="AH80" i="2"/>
  <c r="AG80" i="2"/>
  <c r="H80" i="2"/>
  <c r="BU79" i="2"/>
  <c r="BR79" i="2"/>
  <c r="BN79" i="2"/>
  <c r="BM79" i="2"/>
  <c r="BF79" i="2"/>
  <c r="BG79" i="2" s="1"/>
  <c r="BE79" i="2"/>
  <c r="BD79" i="2"/>
  <c r="BB79" i="2"/>
  <c r="BH79" i="2" s="1"/>
  <c r="BA79" i="2"/>
  <c r="AZ79" i="2"/>
  <c r="AV79" i="2"/>
  <c r="CR79" i="2" s="1"/>
  <c r="CP79" i="2" s="1"/>
  <c r="AR79" i="2"/>
  <c r="AQ79" i="2"/>
  <c r="AK79" i="2"/>
  <c r="AJ79" i="2"/>
  <c r="AI79" i="2"/>
  <c r="AH79" i="2"/>
  <c r="AG79" i="2"/>
  <c r="H79" i="2"/>
  <c r="BU78" i="2"/>
  <c r="BR78" i="2"/>
  <c r="BN78" i="2"/>
  <c r="BM78" i="2"/>
  <c r="BF78" i="2"/>
  <c r="BG78" i="2" s="1"/>
  <c r="BD78" i="2"/>
  <c r="BE78" i="2" s="1"/>
  <c r="BB78" i="2"/>
  <c r="BC78" i="2" s="1"/>
  <c r="BI78" i="2" s="1"/>
  <c r="BA78" i="2"/>
  <c r="AZ78" i="2"/>
  <c r="AV78" i="2"/>
  <c r="AR78" i="2"/>
  <c r="AQ78" i="2"/>
  <c r="AK78" i="2"/>
  <c r="AJ78" i="2"/>
  <c r="AI78" i="2"/>
  <c r="AH78" i="2"/>
  <c r="AG78" i="2"/>
  <c r="H78" i="2"/>
  <c r="BN77" i="2"/>
  <c r="BR77" i="2" s="1"/>
  <c r="BM77" i="2"/>
  <c r="BQ77" i="2" s="1"/>
  <c r="BF77" i="2"/>
  <c r="BG77" i="2" s="1"/>
  <c r="BE77" i="2"/>
  <c r="BD77" i="2"/>
  <c r="BB77" i="2"/>
  <c r="BC77" i="2" s="1"/>
  <c r="BI77" i="2" s="1"/>
  <c r="BA77" i="2"/>
  <c r="AZ77" i="2"/>
  <c r="AV77" i="2"/>
  <c r="CR77" i="2" s="1"/>
  <c r="CP77" i="2" s="1"/>
  <c r="AR77" i="2"/>
  <c r="AQ77" i="2"/>
  <c r="AK77" i="2"/>
  <c r="AJ77" i="2"/>
  <c r="AI77" i="2"/>
  <c r="AH77" i="2"/>
  <c r="AG77" i="2"/>
  <c r="H77" i="2"/>
  <c r="BQ76" i="2"/>
  <c r="BN76" i="2"/>
  <c r="BR76" i="2" s="1"/>
  <c r="BM76" i="2"/>
  <c r="BF76" i="2"/>
  <c r="BG76" i="2" s="1"/>
  <c r="BD76" i="2"/>
  <c r="BB76" i="2"/>
  <c r="BC76" i="2" s="1"/>
  <c r="BA76" i="2"/>
  <c r="AZ76" i="2"/>
  <c r="AV76" i="2"/>
  <c r="CR76" i="2" s="1"/>
  <c r="CP76" i="2" s="1"/>
  <c r="AR76" i="2"/>
  <c r="AQ76" i="2"/>
  <c r="AK76" i="2"/>
  <c r="AJ76" i="2"/>
  <c r="AI76" i="2"/>
  <c r="AH76" i="2"/>
  <c r="AG76" i="2"/>
  <c r="H76" i="2"/>
  <c r="BR75" i="2"/>
  <c r="BN75" i="2"/>
  <c r="BM75" i="2"/>
  <c r="BQ75" i="2" s="1"/>
  <c r="BG75" i="2"/>
  <c r="BF75" i="2"/>
  <c r="BD75" i="2"/>
  <c r="BB75" i="2"/>
  <c r="BC75" i="2" s="1"/>
  <c r="BA75" i="2"/>
  <c r="AZ75" i="2"/>
  <c r="AV75" i="2"/>
  <c r="AR75" i="2"/>
  <c r="AQ75" i="2"/>
  <c r="AK75" i="2"/>
  <c r="AJ75" i="2"/>
  <c r="AI75" i="2"/>
  <c r="AH75" i="2"/>
  <c r="AG75" i="2"/>
  <c r="H75" i="2"/>
  <c r="BP74" i="2"/>
  <c r="BO74" i="2"/>
  <c r="BN74" i="2"/>
  <c r="BR74" i="2" s="1"/>
  <c r="BM74" i="2"/>
  <c r="BQ74" i="2" s="1"/>
  <c r="BF74" i="2"/>
  <c r="BG74" i="2" s="1"/>
  <c r="BD74" i="2"/>
  <c r="BE74" i="2" s="1"/>
  <c r="BB74" i="2"/>
  <c r="BA74" i="2"/>
  <c r="AZ74" i="2"/>
  <c r="AV74" i="2"/>
  <c r="AR74" i="2"/>
  <c r="AQ74" i="2"/>
  <c r="AK74" i="2"/>
  <c r="AL74" i="2" s="1"/>
  <c r="CQ74" i="2" s="1"/>
  <c r="AJ74" i="2"/>
  <c r="AI74" i="2"/>
  <c r="AH74" i="2"/>
  <c r="AG74" i="2"/>
  <c r="H74" i="2"/>
  <c r="BP73" i="2"/>
  <c r="BR73" i="2" s="1"/>
  <c r="BO73" i="2"/>
  <c r="BN73" i="2"/>
  <c r="BM73" i="2"/>
  <c r="BF73" i="2"/>
  <c r="BG73" i="2" s="1"/>
  <c r="BD73" i="2"/>
  <c r="BE73" i="2" s="1"/>
  <c r="BB73" i="2"/>
  <c r="BC73" i="2" s="1"/>
  <c r="BA73" i="2"/>
  <c r="AZ73" i="2"/>
  <c r="CR73" i="2" s="1"/>
  <c r="CP73" i="2" s="1"/>
  <c r="AV73" i="2"/>
  <c r="AQ73" i="2"/>
  <c r="AK73" i="2"/>
  <c r="AJ73" i="2"/>
  <c r="AI73" i="2"/>
  <c r="AH73" i="2"/>
  <c r="AG73" i="2"/>
  <c r="AC73" i="2"/>
  <c r="AB73" i="2"/>
  <c r="AR73" i="2" s="1"/>
  <c r="H73" i="2"/>
  <c r="BP72" i="2"/>
  <c r="BO72" i="2"/>
  <c r="BN72" i="2"/>
  <c r="BR72" i="2" s="1"/>
  <c r="BM72" i="2"/>
  <c r="BQ72" i="2" s="1"/>
  <c r="BF72" i="2"/>
  <c r="BD72" i="2"/>
  <c r="BE72" i="2" s="1"/>
  <c r="BB72" i="2"/>
  <c r="BC72" i="2" s="1"/>
  <c r="AZ72" i="2"/>
  <c r="AV72" i="2"/>
  <c r="AQ72" i="2"/>
  <c r="AK72" i="2"/>
  <c r="AJ72" i="2"/>
  <c r="AI72" i="2"/>
  <c r="AH72" i="2"/>
  <c r="AG72" i="2"/>
  <c r="AC72" i="2"/>
  <c r="AB72" i="2"/>
  <c r="AR72" i="2" s="1"/>
  <c r="H72" i="2"/>
  <c r="BP71" i="2"/>
  <c r="BO71" i="2"/>
  <c r="BN71" i="2"/>
  <c r="BM71" i="2"/>
  <c r="BQ71" i="2" s="1"/>
  <c r="BG71" i="2"/>
  <c r="BF71" i="2"/>
  <c r="BD71" i="2"/>
  <c r="BB71" i="2"/>
  <c r="BC71" i="2" s="1"/>
  <c r="AZ71" i="2"/>
  <c r="AV71" i="2"/>
  <c r="AQ71" i="2"/>
  <c r="AK71" i="2"/>
  <c r="AJ71" i="2"/>
  <c r="AI71" i="2"/>
  <c r="AH71" i="2"/>
  <c r="AG71" i="2"/>
  <c r="AC71" i="2"/>
  <c r="AB71" i="2"/>
  <c r="AR71" i="2" s="1"/>
  <c r="H71" i="2"/>
  <c r="BP70" i="2"/>
  <c r="BO70" i="2"/>
  <c r="BN70" i="2"/>
  <c r="BM70" i="2"/>
  <c r="BF70" i="2"/>
  <c r="BD70" i="2"/>
  <c r="BB70" i="2"/>
  <c r="BA70" i="2"/>
  <c r="AZ70" i="2"/>
  <c r="AV70" i="2"/>
  <c r="CR70" i="2" s="1"/>
  <c r="CP70" i="2" s="1"/>
  <c r="AQ70" i="2"/>
  <c r="AK70" i="2"/>
  <c r="AJ70" i="2"/>
  <c r="AI70" i="2"/>
  <c r="AG70" i="2"/>
  <c r="AC70" i="2"/>
  <c r="AB70" i="2"/>
  <c r="H70" i="2"/>
  <c r="BP69" i="2"/>
  <c r="BO69" i="2"/>
  <c r="BN69" i="2"/>
  <c r="BM69" i="2"/>
  <c r="BF69" i="2"/>
  <c r="BG69" i="2" s="1"/>
  <c r="BD69" i="2"/>
  <c r="BE69" i="2" s="1"/>
  <c r="BC69" i="2"/>
  <c r="BB69" i="2"/>
  <c r="AZ69" i="2"/>
  <c r="AV69" i="2"/>
  <c r="AQ69" i="2"/>
  <c r="AK69" i="2"/>
  <c r="AJ69" i="2"/>
  <c r="AM69" i="2" s="1"/>
  <c r="AI69" i="2"/>
  <c r="AH69" i="2"/>
  <c r="AG69" i="2"/>
  <c r="AC69" i="2"/>
  <c r="AB69" i="2"/>
  <c r="BA69" i="2" s="1"/>
  <c r="H69" i="2"/>
  <c r="BP68" i="2"/>
  <c r="BO68" i="2"/>
  <c r="BQ68" i="2" s="1"/>
  <c r="BN68" i="2"/>
  <c r="BM68" i="2"/>
  <c r="BF68" i="2"/>
  <c r="BG68" i="2" s="1"/>
  <c r="BD68" i="2"/>
  <c r="BB68" i="2"/>
  <c r="BC68" i="2" s="1"/>
  <c r="AZ68" i="2"/>
  <c r="AV68" i="2"/>
  <c r="CR68" i="2" s="1"/>
  <c r="CP68" i="2" s="1"/>
  <c r="AQ68" i="2"/>
  <c r="AK68" i="2"/>
  <c r="AJ68" i="2"/>
  <c r="AI68" i="2"/>
  <c r="AH68" i="2"/>
  <c r="AG68" i="2"/>
  <c r="AC68" i="2"/>
  <c r="BA68" i="2" s="1"/>
  <c r="AB68" i="2"/>
  <c r="AR68" i="2" s="1"/>
  <c r="H68" i="2"/>
  <c r="BP67" i="2"/>
  <c r="BR67" i="2" s="1"/>
  <c r="BO67" i="2"/>
  <c r="BN67" i="2"/>
  <c r="BM67" i="2"/>
  <c r="BQ67" i="2" s="1"/>
  <c r="BF67" i="2"/>
  <c r="BG67" i="2" s="1"/>
  <c r="BD67" i="2"/>
  <c r="BB67" i="2"/>
  <c r="BC67" i="2" s="1"/>
  <c r="AZ67" i="2"/>
  <c r="AV67" i="2"/>
  <c r="AR67" i="2"/>
  <c r="AQ67" i="2"/>
  <c r="AK67" i="2"/>
  <c r="AJ67" i="2"/>
  <c r="AI67" i="2"/>
  <c r="AG67" i="2"/>
  <c r="AC67" i="2"/>
  <c r="AH67" i="2" s="1"/>
  <c r="AB67" i="2"/>
  <c r="H67" i="2"/>
  <c r="BP66" i="2"/>
  <c r="BO66" i="2"/>
  <c r="BN66" i="2"/>
  <c r="BR66" i="2" s="1"/>
  <c r="BM66" i="2"/>
  <c r="BQ66" i="2" s="1"/>
  <c r="BF66" i="2"/>
  <c r="BD66" i="2"/>
  <c r="BE66" i="2" s="1"/>
  <c r="BB66" i="2"/>
  <c r="BC66" i="2" s="1"/>
  <c r="AZ66" i="2"/>
  <c r="AV66" i="2"/>
  <c r="AR66" i="2"/>
  <c r="AQ66" i="2"/>
  <c r="AK66" i="2"/>
  <c r="AJ66" i="2"/>
  <c r="AI66" i="2"/>
  <c r="AH66" i="2"/>
  <c r="AG66" i="2"/>
  <c r="AC66" i="2"/>
  <c r="AB66" i="2"/>
  <c r="BA66" i="2" s="1"/>
  <c r="H66" i="2"/>
  <c r="BR65" i="2"/>
  <c r="BP65" i="2"/>
  <c r="BO65" i="2"/>
  <c r="BN65" i="2"/>
  <c r="BM65" i="2"/>
  <c r="BQ65" i="2" s="1"/>
  <c r="BF65" i="2"/>
  <c r="BD65" i="2"/>
  <c r="BE65" i="2" s="1"/>
  <c r="BB65" i="2"/>
  <c r="AZ65" i="2"/>
  <c r="AV65" i="2"/>
  <c r="CR65" i="2" s="1"/>
  <c r="CP65" i="2" s="1"/>
  <c r="AQ65" i="2"/>
  <c r="AK65" i="2"/>
  <c r="AJ65" i="2"/>
  <c r="AI65" i="2"/>
  <c r="AG65" i="2"/>
  <c r="AC65" i="2"/>
  <c r="AB65" i="2"/>
  <c r="H65" i="2"/>
  <c r="BP64" i="2"/>
  <c r="BO64" i="2"/>
  <c r="BN64" i="2"/>
  <c r="BR64" i="2" s="1"/>
  <c r="BM64" i="2"/>
  <c r="BQ64" i="2" s="1"/>
  <c r="BF64" i="2"/>
  <c r="BG64" i="2" s="1"/>
  <c r="BD64" i="2"/>
  <c r="BH64" i="2" s="1"/>
  <c r="BB64" i="2"/>
  <c r="BC64" i="2" s="1"/>
  <c r="AZ64" i="2"/>
  <c r="AV64" i="2"/>
  <c r="AQ64" i="2"/>
  <c r="AK64" i="2"/>
  <c r="AJ64" i="2"/>
  <c r="AI64" i="2"/>
  <c r="AM64" i="2" s="1"/>
  <c r="AG64" i="2"/>
  <c r="AC64" i="2"/>
  <c r="AB64" i="2"/>
  <c r="AH64" i="2" s="1"/>
  <c r="H64" i="2"/>
  <c r="BP63" i="2"/>
  <c r="BO63" i="2"/>
  <c r="BN63" i="2"/>
  <c r="BR63" i="2" s="1"/>
  <c r="BM63" i="2"/>
  <c r="BQ63" i="2" s="1"/>
  <c r="BF63" i="2"/>
  <c r="BG63" i="2" s="1"/>
  <c r="BD63" i="2"/>
  <c r="BB63" i="2"/>
  <c r="BC63" i="2" s="1"/>
  <c r="AZ63" i="2"/>
  <c r="AV63" i="2"/>
  <c r="AQ63" i="2"/>
  <c r="AK63" i="2"/>
  <c r="AJ63" i="2"/>
  <c r="AI63" i="2"/>
  <c r="AM63" i="2" s="1"/>
  <c r="AG63" i="2"/>
  <c r="AC63" i="2"/>
  <c r="BE63" i="2" s="1"/>
  <c r="AB63" i="2"/>
  <c r="AH63" i="2" s="1"/>
  <c r="H63" i="2"/>
  <c r="BP62" i="2"/>
  <c r="BO62" i="2"/>
  <c r="BN62" i="2"/>
  <c r="BR62" i="2" s="1"/>
  <c r="BM62" i="2"/>
  <c r="BQ62" i="2" s="1"/>
  <c r="BF62" i="2"/>
  <c r="BD62" i="2"/>
  <c r="BE62" i="2" s="1"/>
  <c r="BB62" i="2"/>
  <c r="AZ62" i="2"/>
  <c r="AV62" i="2"/>
  <c r="AR62" i="2"/>
  <c r="AQ62" i="2"/>
  <c r="AK62" i="2"/>
  <c r="AJ62" i="2"/>
  <c r="AL62" i="2" s="1"/>
  <c r="CQ62" i="2" s="1"/>
  <c r="AI62" i="2"/>
  <c r="AH62" i="2"/>
  <c r="AG62" i="2"/>
  <c r="AC62" i="2"/>
  <c r="AB62" i="2"/>
  <c r="H62" i="2"/>
  <c r="BP61" i="2"/>
  <c r="BO61" i="2"/>
  <c r="BN61" i="2"/>
  <c r="BR61" i="2" s="1"/>
  <c r="BM61" i="2"/>
  <c r="BQ61" i="2" s="1"/>
  <c r="BF61" i="2"/>
  <c r="BD61" i="2"/>
  <c r="BE61" i="2" s="1"/>
  <c r="BB61" i="2"/>
  <c r="AZ61" i="2"/>
  <c r="AV61" i="2"/>
  <c r="CO61" i="2" s="1"/>
  <c r="AR61" i="2"/>
  <c r="AQ61" i="2"/>
  <c r="AK61" i="2"/>
  <c r="AJ61" i="2"/>
  <c r="AI61" i="2"/>
  <c r="AH61" i="2"/>
  <c r="AG61" i="2"/>
  <c r="AC61" i="2"/>
  <c r="BG61" i="2" s="1"/>
  <c r="AB61" i="2"/>
  <c r="H61" i="2"/>
  <c r="BN60" i="2"/>
  <c r="BM60" i="2"/>
  <c r="BF60" i="2"/>
  <c r="BG60" i="2" s="1"/>
  <c r="BE60" i="2"/>
  <c r="BD60" i="2"/>
  <c r="BB60" i="2"/>
  <c r="BC60" i="2" s="1"/>
  <c r="BA60" i="2"/>
  <c r="AZ60" i="2"/>
  <c r="AV60" i="2"/>
  <c r="CR60" i="2" s="1"/>
  <c r="CP60" i="2" s="1"/>
  <c r="AR60" i="2"/>
  <c r="AQ60" i="2"/>
  <c r="AK60" i="2"/>
  <c r="AM60" i="2" s="1"/>
  <c r="AJ60" i="2"/>
  <c r="AI60" i="2"/>
  <c r="BK60" i="2" s="1"/>
  <c r="CN60" i="2" s="1"/>
  <c r="AH60" i="2"/>
  <c r="AG60" i="2"/>
  <c r="H60" i="2"/>
  <c r="BN59" i="2"/>
  <c r="BM59" i="2"/>
  <c r="BF59" i="2"/>
  <c r="BG59" i="2" s="1"/>
  <c r="BD59" i="2"/>
  <c r="BE59" i="2" s="1"/>
  <c r="BB59" i="2"/>
  <c r="BC59" i="2" s="1"/>
  <c r="BA59" i="2"/>
  <c r="AZ59" i="2"/>
  <c r="AV59" i="2"/>
  <c r="CR59" i="2" s="1"/>
  <c r="CP59" i="2" s="1"/>
  <c r="AR59" i="2"/>
  <c r="AQ59" i="2"/>
  <c r="AK59" i="2"/>
  <c r="AL59" i="2" s="1"/>
  <c r="CQ59" i="2" s="1"/>
  <c r="AJ59" i="2"/>
  <c r="AI59" i="2"/>
  <c r="AH59" i="2"/>
  <c r="AG59" i="2"/>
  <c r="W59" i="2"/>
  <c r="H59" i="2"/>
  <c r="BN58" i="2"/>
  <c r="BM58" i="2"/>
  <c r="BF58" i="2"/>
  <c r="BG58" i="2" s="1"/>
  <c r="BD58" i="2"/>
  <c r="BE58" i="2" s="1"/>
  <c r="BB58" i="2"/>
  <c r="BA58" i="2"/>
  <c r="AZ58" i="2"/>
  <c r="AV58" i="2"/>
  <c r="AR58" i="2"/>
  <c r="AQ58" i="2"/>
  <c r="AK58" i="2"/>
  <c r="AJ58" i="2"/>
  <c r="AI58" i="2"/>
  <c r="AH58" i="2"/>
  <c r="AG58" i="2"/>
  <c r="H58" i="2"/>
  <c r="BN57" i="2"/>
  <c r="BM57" i="2"/>
  <c r="BF57" i="2"/>
  <c r="BD57" i="2"/>
  <c r="BE57" i="2" s="1"/>
  <c r="BB57" i="2"/>
  <c r="BC57" i="2" s="1"/>
  <c r="BA57" i="2"/>
  <c r="AZ57" i="2"/>
  <c r="AV57" i="2"/>
  <c r="AR57" i="2"/>
  <c r="AQ57" i="2"/>
  <c r="AK57" i="2"/>
  <c r="AJ57" i="2"/>
  <c r="AI57" i="2"/>
  <c r="AH57" i="2"/>
  <c r="AG57" i="2"/>
  <c r="H57" i="2"/>
  <c r="CR56" i="2"/>
  <c r="CP56" i="2" s="1"/>
  <c r="BN56" i="2"/>
  <c r="BM56" i="2"/>
  <c r="BF56" i="2"/>
  <c r="BG56" i="2" s="1"/>
  <c r="BD56" i="2"/>
  <c r="BE56" i="2" s="1"/>
  <c r="BB56" i="2"/>
  <c r="BC56" i="2" s="1"/>
  <c r="BA56" i="2"/>
  <c r="AZ56" i="2"/>
  <c r="AV56" i="2"/>
  <c r="AR56" i="2"/>
  <c r="AQ56" i="2"/>
  <c r="AK56" i="2"/>
  <c r="AJ56" i="2"/>
  <c r="AI56" i="2"/>
  <c r="AH56" i="2"/>
  <c r="AG56" i="2"/>
  <c r="W56" i="2"/>
  <c r="H56" i="2"/>
  <c r="BN55" i="2"/>
  <c r="BM55" i="2"/>
  <c r="BF55" i="2"/>
  <c r="BG55" i="2" s="1"/>
  <c r="BD55" i="2"/>
  <c r="BE55" i="2" s="1"/>
  <c r="BB55" i="2"/>
  <c r="BA55" i="2"/>
  <c r="AZ55" i="2"/>
  <c r="AV55" i="2"/>
  <c r="CR55" i="2" s="1"/>
  <c r="CP55" i="2" s="1"/>
  <c r="AR55" i="2"/>
  <c r="AQ55" i="2"/>
  <c r="AK55" i="2"/>
  <c r="AJ55" i="2"/>
  <c r="BK55" i="2" s="1"/>
  <c r="CN55" i="2" s="1"/>
  <c r="AI55" i="2"/>
  <c r="AH55" i="2"/>
  <c r="AG55" i="2"/>
  <c r="W55" i="2"/>
  <c r="H55" i="2"/>
  <c r="BN54" i="2"/>
  <c r="BM54" i="2"/>
  <c r="BF54" i="2"/>
  <c r="BG54" i="2" s="1"/>
  <c r="BD54" i="2"/>
  <c r="BB54" i="2"/>
  <c r="BC54" i="2" s="1"/>
  <c r="BA54" i="2"/>
  <c r="AZ54" i="2"/>
  <c r="AV54" i="2"/>
  <c r="AR54" i="2"/>
  <c r="AQ54" i="2"/>
  <c r="AK54" i="2"/>
  <c r="AJ54" i="2"/>
  <c r="AI54" i="2"/>
  <c r="AH54" i="2"/>
  <c r="AG54" i="2"/>
  <c r="W54" i="2"/>
  <c r="H54" i="2"/>
  <c r="CR53" i="2"/>
  <c r="CP53" i="2"/>
  <c r="BN53" i="2"/>
  <c r="BM53" i="2"/>
  <c r="BF53" i="2"/>
  <c r="BG53" i="2" s="1"/>
  <c r="BD53" i="2"/>
  <c r="BE53" i="2" s="1"/>
  <c r="BC53" i="2"/>
  <c r="BB53" i="2"/>
  <c r="BA53" i="2"/>
  <c r="AZ53" i="2"/>
  <c r="AV53" i="2"/>
  <c r="CO53" i="2" s="1"/>
  <c r="AR53" i="2"/>
  <c r="AQ53" i="2"/>
  <c r="AK53" i="2"/>
  <c r="AJ53" i="2"/>
  <c r="AI53" i="2"/>
  <c r="AH53" i="2"/>
  <c r="AG53" i="2"/>
  <c r="W53" i="2"/>
  <c r="H53" i="2"/>
  <c r="CP52" i="2"/>
  <c r="BN52" i="2"/>
  <c r="BM52" i="2"/>
  <c r="BF52" i="2"/>
  <c r="BD52" i="2"/>
  <c r="BE52" i="2" s="1"/>
  <c r="BB52" i="2"/>
  <c r="BC52" i="2" s="1"/>
  <c r="BA52" i="2"/>
  <c r="AZ52" i="2"/>
  <c r="AV52" i="2"/>
  <c r="AR52" i="2"/>
  <c r="AQ52" i="2"/>
  <c r="AK52" i="2"/>
  <c r="AJ52" i="2"/>
  <c r="AI52" i="2"/>
  <c r="AH52" i="2"/>
  <c r="AG52" i="2"/>
  <c r="Z52" i="2"/>
  <c r="H52" i="2"/>
  <c r="CP51" i="2"/>
  <c r="BN51" i="2"/>
  <c r="BM51" i="2"/>
  <c r="BF51" i="2"/>
  <c r="BG51" i="2" s="1"/>
  <c r="BD51" i="2"/>
  <c r="BE51" i="2" s="1"/>
  <c r="BB51" i="2"/>
  <c r="BA51" i="2"/>
  <c r="AZ51" i="2"/>
  <c r="AV51" i="2"/>
  <c r="AR51" i="2"/>
  <c r="AQ51" i="2"/>
  <c r="AK51" i="2"/>
  <c r="AJ51" i="2"/>
  <c r="AI51" i="2"/>
  <c r="AH51" i="2"/>
  <c r="AG51" i="2"/>
  <c r="H51" i="2"/>
  <c r="CP50" i="2"/>
  <c r="CO50" i="2"/>
  <c r="CO49" i="2" s="1"/>
  <c r="CO48" i="2" s="1"/>
  <c r="CO47" i="2" s="1"/>
  <c r="CO46" i="2" s="1"/>
  <c r="BN50" i="2"/>
  <c r="BM50" i="2"/>
  <c r="BG50" i="2"/>
  <c r="BF50" i="2"/>
  <c r="BD50" i="2"/>
  <c r="BE50" i="2" s="1"/>
  <c r="BB50" i="2"/>
  <c r="BC50" i="2" s="1"/>
  <c r="BA50" i="2"/>
  <c r="AZ50" i="2"/>
  <c r="AV50" i="2"/>
  <c r="AR50" i="2"/>
  <c r="AQ50" i="2"/>
  <c r="AK50" i="2"/>
  <c r="BK50" i="2" s="1"/>
  <c r="CN50" i="2" s="1"/>
  <c r="AJ50" i="2"/>
  <c r="AI50" i="2"/>
  <c r="AH50" i="2"/>
  <c r="AG50" i="2"/>
  <c r="H50" i="2"/>
  <c r="CP49" i="2"/>
  <c r="BN49" i="2"/>
  <c r="BM49" i="2"/>
  <c r="BF49" i="2"/>
  <c r="BG49" i="2" s="1"/>
  <c r="BD49" i="2"/>
  <c r="BE49" i="2" s="1"/>
  <c r="BB49" i="2"/>
  <c r="BC49" i="2" s="1"/>
  <c r="BI49" i="2" s="1"/>
  <c r="BA49" i="2"/>
  <c r="AZ49" i="2"/>
  <c r="AV49" i="2"/>
  <c r="AR49" i="2"/>
  <c r="AQ49" i="2"/>
  <c r="AK49" i="2"/>
  <c r="AJ49" i="2"/>
  <c r="AI49" i="2"/>
  <c r="AH49" i="2"/>
  <c r="AG49" i="2"/>
  <c r="H49" i="2"/>
  <c r="CP48" i="2"/>
  <c r="BN48" i="2"/>
  <c r="BM48" i="2"/>
  <c r="BF48" i="2"/>
  <c r="BG48" i="2" s="1"/>
  <c r="BD48" i="2"/>
  <c r="BE48" i="2" s="1"/>
  <c r="BB48" i="2"/>
  <c r="BC48" i="2" s="1"/>
  <c r="BA48" i="2"/>
  <c r="AZ48" i="2"/>
  <c r="AV48" i="2"/>
  <c r="AR48" i="2"/>
  <c r="AQ48" i="2"/>
  <c r="AK48" i="2"/>
  <c r="AJ48" i="2"/>
  <c r="AI48" i="2"/>
  <c r="AH48" i="2"/>
  <c r="AG48" i="2"/>
  <c r="H48" i="2"/>
  <c r="CP47" i="2"/>
  <c r="BN47" i="2"/>
  <c r="BM47" i="2"/>
  <c r="BF47" i="2"/>
  <c r="BG47" i="2" s="1"/>
  <c r="BD47" i="2"/>
  <c r="BE47" i="2" s="1"/>
  <c r="BB47" i="2"/>
  <c r="BC47" i="2" s="1"/>
  <c r="BA47" i="2"/>
  <c r="AZ47" i="2"/>
  <c r="AV47" i="2"/>
  <c r="AR47" i="2"/>
  <c r="AQ47" i="2"/>
  <c r="AK47" i="2"/>
  <c r="AJ47" i="2"/>
  <c r="AI47" i="2"/>
  <c r="AH47" i="2"/>
  <c r="AG47" i="2"/>
  <c r="H47" i="2"/>
  <c r="CP46" i="2"/>
  <c r="BN46" i="2"/>
  <c r="BM46" i="2"/>
  <c r="BF46" i="2"/>
  <c r="BG46" i="2" s="1"/>
  <c r="BD46" i="2"/>
  <c r="BE46" i="2" s="1"/>
  <c r="BB46" i="2"/>
  <c r="BC46" i="2" s="1"/>
  <c r="BA46" i="2"/>
  <c r="AZ46" i="2"/>
  <c r="AV46" i="2"/>
  <c r="AR46" i="2"/>
  <c r="AQ46" i="2"/>
  <c r="AK46" i="2"/>
  <c r="AJ46" i="2"/>
  <c r="AI46" i="2"/>
  <c r="AH46" i="2"/>
  <c r="AG46" i="2"/>
  <c r="H46" i="2"/>
  <c r="BN45" i="2"/>
  <c r="BM45" i="2"/>
  <c r="BF45" i="2"/>
  <c r="BG45" i="2" s="1"/>
  <c r="BD45" i="2"/>
  <c r="BE45" i="2" s="1"/>
  <c r="BB45" i="2"/>
  <c r="BA45" i="2"/>
  <c r="AZ45" i="2"/>
  <c r="AV45" i="2"/>
  <c r="AR45" i="2"/>
  <c r="AQ45" i="2"/>
  <c r="AK45" i="2"/>
  <c r="AJ45" i="2"/>
  <c r="AI45" i="2"/>
  <c r="AH45" i="2"/>
  <c r="AG45" i="2"/>
  <c r="H45" i="2"/>
  <c r="CP44" i="2"/>
  <c r="BN44" i="2"/>
  <c r="BM44" i="2"/>
  <c r="BF44" i="2"/>
  <c r="BG44" i="2" s="1"/>
  <c r="BD44" i="2"/>
  <c r="BB44" i="2"/>
  <c r="BC44" i="2" s="1"/>
  <c r="BA44" i="2"/>
  <c r="AZ44" i="2"/>
  <c r="AV44" i="2"/>
  <c r="AR44" i="2"/>
  <c r="AQ44" i="2"/>
  <c r="AK44" i="2"/>
  <c r="AJ44" i="2"/>
  <c r="AI44" i="2"/>
  <c r="AH44" i="2"/>
  <c r="AG44" i="2"/>
  <c r="H44" i="2"/>
  <c r="CP43" i="2"/>
  <c r="BN43" i="2"/>
  <c r="BM43" i="2"/>
  <c r="BG43" i="2"/>
  <c r="BF43" i="2"/>
  <c r="BD43" i="2"/>
  <c r="BE43" i="2" s="1"/>
  <c r="BB43" i="2"/>
  <c r="BA43" i="2"/>
  <c r="AZ43" i="2"/>
  <c r="AV43" i="2"/>
  <c r="AR43" i="2"/>
  <c r="AQ43" i="2"/>
  <c r="AK43" i="2"/>
  <c r="AJ43" i="2"/>
  <c r="AI43" i="2"/>
  <c r="AH43" i="2"/>
  <c r="AG43" i="2"/>
  <c r="H43" i="2"/>
  <c r="CP42" i="2"/>
  <c r="BN42" i="2"/>
  <c r="BM42" i="2"/>
  <c r="BF42" i="2"/>
  <c r="BG42" i="2" s="1"/>
  <c r="BD42" i="2"/>
  <c r="BE42" i="2" s="1"/>
  <c r="BB42" i="2"/>
  <c r="BA42" i="2"/>
  <c r="AZ42" i="2"/>
  <c r="AV42" i="2"/>
  <c r="AR42" i="2"/>
  <c r="AQ42" i="2"/>
  <c r="AK42" i="2"/>
  <c r="AJ42" i="2"/>
  <c r="AI42" i="2"/>
  <c r="AH42" i="2"/>
  <c r="AG42" i="2"/>
  <c r="H42" i="2"/>
  <c r="CP41" i="2"/>
  <c r="BN41" i="2"/>
  <c r="BM41" i="2"/>
  <c r="BF41" i="2"/>
  <c r="BG41" i="2" s="1"/>
  <c r="BD41" i="2"/>
  <c r="BE41" i="2" s="1"/>
  <c r="BB41" i="2"/>
  <c r="BA41" i="2"/>
  <c r="AZ41" i="2"/>
  <c r="AV41" i="2"/>
  <c r="AR41" i="2"/>
  <c r="AQ41" i="2"/>
  <c r="AK41" i="2"/>
  <c r="AJ41" i="2"/>
  <c r="AI41" i="2"/>
  <c r="AH41" i="2"/>
  <c r="AG41" i="2"/>
  <c r="H41" i="2"/>
  <c r="CP40" i="2"/>
  <c r="BN40" i="2"/>
  <c r="BM40" i="2"/>
  <c r="BF40" i="2"/>
  <c r="BG40" i="2" s="1"/>
  <c r="BD40" i="2"/>
  <c r="BE40" i="2" s="1"/>
  <c r="BB40" i="2"/>
  <c r="BA40" i="2"/>
  <c r="AZ40" i="2"/>
  <c r="AV40" i="2"/>
  <c r="AR40" i="2"/>
  <c r="AQ40" i="2"/>
  <c r="AK40" i="2"/>
  <c r="AJ40" i="2"/>
  <c r="AI40" i="2"/>
  <c r="AH40" i="2"/>
  <c r="AG40" i="2"/>
  <c r="H40" i="2"/>
  <c r="CP39" i="2"/>
  <c r="BN39" i="2"/>
  <c r="BM39" i="2"/>
  <c r="BG39" i="2"/>
  <c r="BF39" i="2"/>
  <c r="BD39" i="2"/>
  <c r="BE39" i="2" s="1"/>
  <c r="BB39" i="2"/>
  <c r="BA39" i="2"/>
  <c r="AZ39" i="2"/>
  <c r="AV39" i="2"/>
  <c r="AR39" i="2"/>
  <c r="AQ39" i="2"/>
  <c r="AK39" i="2"/>
  <c r="AJ39" i="2"/>
  <c r="AI39" i="2"/>
  <c r="AH39" i="2"/>
  <c r="AG39" i="2"/>
  <c r="H39" i="2"/>
  <c r="CP38" i="2"/>
  <c r="BN38" i="2"/>
  <c r="BM38" i="2"/>
  <c r="BF38" i="2"/>
  <c r="BG38" i="2" s="1"/>
  <c r="BD38" i="2"/>
  <c r="BB38" i="2"/>
  <c r="BC38" i="2" s="1"/>
  <c r="BA38" i="2"/>
  <c r="AZ38" i="2"/>
  <c r="AV38" i="2"/>
  <c r="AR38" i="2"/>
  <c r="AQ38" i="2"/>
  <c r="AM38" i="2"/>
  <c r="AK38" i="2"/>
  <c r="AJ38" i="2"/>
  <c r="AI38" i="2"/>
  <c r="AH38" i="2"/>
  <c r="AG38" i="2"/>
  <c r="H38" i="2"/>
  <c r="CP37" i="2"/>
  <c r="BN37" i="2"/>
  <c r="BM37" i="2"/>
  <c r="BF37" i="2"/>
  <c r="BG37" i="2" s="1"/>
  <c r="BD37" i="2"/>
  <c r="BE37" i="2" s="1"/>
  <c r="BB37" i="2"/>
  <c r="BA37" i="2"/>
  <c r="AZ37" i="2"/>
  <c r="AV37" i="2"/>
  <c r="AR37" i="2"/>
  <c r="AQ37" i="2"/>
  <c r="AK37" i="2"/>
  <c r="AJ37" i="2"/>
  <c r="AI37" i="2"/>
  <c r="AH37" i="2"/>
  <c r="AG37" i="2"/>
  <c r="H37" i="2"/>
  <c r="CP36" i="2"/>
  <c r="BN36" i="2"/>
  <c r="BM36" i="2"/>
  <c r="BG36" i="2"/>
  <c r="BF36" i="2"/>
  <c r="BD36" i="2"/>
  <c r="BE36" i="2" s="1"/>
  <c r="BB36" i="2"/>
  <c r="BC36" i="2" s="1"/>
  <c r="BA36" i="2"/>
  <c r="AZ36" i="2"/>
  <c r="AV36" i="2"/>
  <c r="AR36" i="2"/>
  <c r="AQ36" i="2"/>
  <c r="AK36" i="2"/>
  <c r="AJ36" i="2"/>
  <c r="AI36" i="2"/>
  <c r="AH36" i="2"/>
  <c r="AG36" i="2"/>
  <c r="H36" i="2"/>
  <c r="CP35" i="2"/>
  <c r="BN35" i="2"/>
  <c r="BM35" i="2"/>
  <c r="BF35" i="2"/>
  <c r="BG35" i="2" s="1"/>
  <c r="BD35" i="2"/>
  <c r="BE35" i="2" s="1"/>
  <c r="BB35" i="2"/>
  <c r="BA35" i="2"/>
  <c r="AZ35" i="2"/>
  <c r="AV35" i="2"/>
  <c r="AR35" i="2"/>
  <c r="AQ35" i="2"/>
  <c r="AK35" i="2"/>
  <c r="AJ35" i="2"/>
  <c r="AI35" i="2"/>
  <c r="AH35" i="2"/>
  <c r="AG35" i="2"/>
  <c r="H35" i="2"/>
  <c r="CP34" i="2"/>
  <c r="BN34" i="2"/>
  <c r="BM34" i="2"/>
  <c r="BF34" i="2"/>
  <c r="BD34" i="2"/>
  <c r="BE34" i="2" s="1"/>
  <c r="BB34" i="2"/>
  <c r="BC34" i="2" s="1"/>
  <c r="BA34" i="2"/>
  <c r="AZ34" i="2"/>
  <c r="AV34" i="2"/>
  <c r="AR34" i="2"/>
  <c r="AQ34" i="2"/>
  <c r="AK34" i="2"/>
  <c r="AJ34" i="2"/>
  <c r="AI34" i="2"/>
  <c r="AH34" i="2"/>
  <c r="AG34" i="2"/>
  <c r="H34" i="2"/>
  <c r="CP33" i="2"/>
  <c r="BN33" i="2"/>
  <c r="BM33" i="2"/>
  <c r="BF33" i="2"/>
  <c r="BG33" i="2" s="1"/>
  <c r="BD33" i="2"/>
  <c r="BE33" i="2" s="1"/>
  <c r="BB33" i="2"/>
  <c r="BC33" i="2" s="1"/>
  <c r="BA33" i="2"/>
  <c r="AZ33" i="2"/>
  <c r="AV33" i="2"/>
  <c r="AR33" i="2"/>
  <c r="AQ33" i="2"/>
  <c r="AK33" i="2"/>
  <c r="AJ33" i="2"/>
  <c r="AI33" i="2"/>
  <c r="AH33" i="2"/>
  <c r="AG33" i="2"/>
  <c r="H33" i="2"/>
  <c r="CP32" i="2"/>
  <c r="BN32" i="2"/>
  <c r="BM32" i="2"/>
  <c r="BF32" i="2"/>
  <c r="BG32" i="2" s="1"/>
  <c r="BD32" i="2"/>
  <c r="BE32" i="2" s="1"/>
  <c r="BB32" i="2"/>
  <c r="BC32" i="2" s="1"/>
  <c r="BA32" i="2"/>
  <c r="AZ32" i="2"/>
  <c r="AV32" i="2"/>
  <c r="AR32" i="2"/>
  <c r="AQ32" i="2"/>
  <c r="AK32" i="2"/>
  <c r="AJ32" i="2"/>
  <c r="AI32" i="2"/>
  <c r="AH32" i="2"/>
  <c r="AG32" i="2"/>
  <c r="H32" i="2"/>
  <c r="CP31" i="2"/>
  <c r="BN31" i="2"/>
  <c r="BM31" i="2"/>
  <c r="BF31" i="2"/>
  <c r="BG31" i="2" s="1"/>
  <c r="BD31" i="2"/>
  <c r="BE31" i="2" s="1"/>
  <c r="BB31" i="2"/>
  <c r="BC31" i="2" s="1"/>
  <c r="BA31" i="2"/>
  <c r="AZ31" i="2"/>
  <c r="AV31" i="2"/>
  <c r="CO31" i="2" s="1"/>
  <c r="AR31" i="2"/>
  <c r="AQ31" i="2"/>
  <c r="AK31" i="2"/>
  <c r="AJ31" i="2"/>
  <c r="AI31" i="2"/>
  <c r="AH31" i="2"/>
  <c r="AG31" i="2"/>
  <c r="H31" i="2"/>
  <c r="CP30" i="2"/>
  <c r="BN30" i="2"/>
  <c r="BM30" i="2"/>
  <c r="BF30" i="2"/>
  <c r="BG30" i="2" s="1"/>
  <c r="BD30" i="2"/>
  <c r="BE30" i="2" s="1"/>
  <c r="BB30" i="2"/>
  <c r="BA30" i="2"/>
  <c r="AZ30" i="2"/>
  <c r="AV30" i="2"/>
  <c r="AR30" i="2"/>
  <c r="AQ30" i="2"/>
  <c r="AK30" i="2"/>
  <c r="AJ30" i="2"/>
  <c r="AI30" i="2"/>
  <c r="AH30" i="2"/>
  <c r="AG30" i="2"/>
  <c r="H30" i="2"/>
  <c r="CP29" i="2"/>
  <c r="BN29" i="2"/>
  <c r="BM29" i="2"/>
  <c r="BF29" i="2"/>
  <c r="BG29" i="2" s="1"/>
  <c r="BD29" i="2"/>
  <c r="BE29" i="2" s="1"/>
  <c r="BB29" i="2"/>
  <c r="BH29" i="2" s="1"/>
  <c r="BA29" i="2"/>
  <c r="AZ29" i="2"/>
  <c r="AV29" i="2"/>
  <c r="AR29" i="2"/>
  <c r="AQ29" i="2"/>
  <c r="AK29" i="2"/>
  <c r="AJ29" i="2"/>
  <c r="AI29" i="2"/>
  <c r="AH29" i="2"/>
  <c r="AG29" i="2"/>
  <c r="H29" i="2"/>
  <c r="BF28" i="2"/>
  <c r="BG28" i="2" s="1"/>
  <c r="BD28" i="2"/>
  <c r="BE28" i="2" s="1"/>
  <c r="BB28" i="2"/>
  <c r="BC28" i="2" s="1"/>
  <c r="AR28" i="2"/>
  <c r="AQ28" i="2"/>
  <c r="AK28" i="2"/>
  <c r="AJ28" i="2"/>
  <c r="AI28" i="2"/>
  <c r="AH28" i="2"/>
  <c r="AG28" i="2"/>
  <c r="AC28" i="2"/>
  <c r="AB28" i="2"/>
  <c r="Z28" i="2"/>
  <c r="H28" i="2"/>
  <c r="BN27" i="2"/>
  <c r="BM27" i="2"/>
  <c r="BF27" i="2"/>
  <c r="BG27" i="2" s="1"/>
  <c r="BD27" i="2"/>
  <c r="BE27" i="2" s="1"/>
  <c r="BB27" i="2"/>
  <c r="AZ27" i="2"/>
  <c r="AQ27" i="2"/>
  <c r="AK27" i="2"/>
  <c r="AJ27" i="2"/>
  <c r="AI27" i="2"/>
  <c r="AH27" i="2"/>
  <c r="AG27" i="2"/>
  <c r="AC27" i="2"/>
  <c r="BA27" i="2" s="1"/>
  <c r="AB27" i="2"/>
  <c r="Z27" i="2"/>
  <c r="T27" i="2"/>
  <c r="H27" i="2"/>
  <c r="CP26" i="2"/>
  <c r="BN26" i="2"/>
  <c r="BM26" i="2"/>
  <c r="BG26" i="2"/>
  <c r="BF26" i="2"/>
  <c r="BD26" i="2"/>
  <c r="BE26" i="2" s="1"/>
  <c r="BB26" i="2"/>
  <c r="BA26" i="2"/>
  <c r="AZ26" i="2"/>
  <c r="AV26" i="2"/>
  <c r="AR26" i="2"/>
  <c r="AQ26" i="2"/>
  <c r="AK26" i="2"/>
  <c r="AJ26" i="2"/>
  <c r="AI26" i="2"/>
  <c r="AH26" i="2"/>
  <c r="AG26" i="2"/>
  <c r="H26" i="2"/>
  <c r="CP25" i="2"/>
  <c r="BN25" i="2"/>
  <c r="BM25" i="2"/>
  <c r="BF25" i="2"/>
  <c r="BG25" i="2" s="1"/>
  <c r="BD25" i="2"/>
  <c r="BE25" i="2" s="1"/>
  <c r="BB25" i="2"/>
  <c r="BC25" i="2" s="1"/>
  <c r="AZ25" i="2"/>
  <c r="AV25" i="2"/>
  <c r="AR25" i="2"/>
  <c r="AQ25" i="2"/>
  <c r="AK25" i="2"/>
  <c r="AJ25" i="2"/>
  <c r="AI25" i="2"/>
  <c r="AG25" i="2"/>
  <c r="AC25" i="2"/>
  <c r="BA25" i="2" s="1"/>
  <c r="AB25" i="2"/>
  <c r="AH25" i="2" s="1"/>
  <c r="H25" i="2"/>
  <c r="CP24" i="2"/>
  <c r="BN24" i="2"/>
  <c r="BM24" i="2"/>
  <c r="BF24" i="2"/>
  <c r="BG24" i="2" s="1"/>
  <c r="BD24" i="2"/>
  <c r="BE24" i="2" s="1"/>
  <c r="BB24" i="2"/>
  <c r="BA24" i="2"/>
  <c r="AZ24" i="2"/>
  <c r="AV24" i="2"/>
  <c r="AR24" i="2"/>
  <c r="AQ24" i="2"/>
  <c r="AK24" i="2"/>
  <c r="AJ24" i="2"/>
  <c r="AI24" i="2"/>
  <c r="AH24" i="2"/>
  <c r="AG24" i="2"/>
  <c r="H24" i="2"/>
  <c r="CP23" i="2"/>
  <c r="BN23" i="2"/>
  <c r="BM23" i="2"/>
  <c r="BF23" i="2"/>
  <c r="BG23" i="2" s="1"/>
  <c r="BD23" i="2"/>
  <c r="BE23" i="2" s="1"/>
  <c r="BB23" i="2"/>
  <c r="BC23" i="2" s="1"/>
  <c r="BA23" i="2"/>
  <c r="AZ23" i="2"/>
  <c r="AV23" i="2"/>
  <c r="AR23" i="2"/>
  <c r="AQ23" i="2"/>
  <c r="AK23" i="2"/>
  <c r="AJ23" i="2"/>
  <c r="AI23" i="2"/>
  <c r="AH23" i="2"/>
  <c r="AG23" i="2"/>
  <c r="H23" i="2"/>
  <c r="CP22" i="2"/>
  <c r="BN22" i="2"/>
  <c r="BM22" i="2"/>
  <c r="BF22" i="2"/>
  <c r="BG22" i="2" s="1"/>
  <c r="BD22" i="2"/>
  <c r="BE22" i="2" s="1"/>
  <c r="BB22" i="2"/>
  <c r="BH22" i="2" s="1"/>
  <c r="BA22" i="2"/>
  <c r="AZ22" i="2"/>
  <c r="AV22" i="2"/>
  <c r="AR22" i="2"/>
  <c r="AQ22" i="2"/>
  <c r="AL22" i="2"/>
  <c r="CQ22" i="2" s="1"/>
  <c r="AK22" i="2"/>
  <c r="AJ22" i="2"/>
  <c r="AI22" i="2"/>
  <c r="AH22" i="2"/>
  <c r="AG22" i="2"/>
  <c r="H22" i="2"/>
  <c r="CP21" i="2"/>
  <c r="BN21" i="2"/>
  <c r="BM21" i="2"/>
  <c r="BF21" i="2"/>
  <c r="BG21" i="2" s="1"/>
  <c r="BD21" i="2"/>
  <c r="BE21" i="2" s="1"/>
  <c r="BB21" i="2"/>
  <c r="BC21" i="2" s="1"/>
  <c r="BA21" i="2"/>
  <c r="AZ21" i="2"/>
  <c r="AV21" i="2"/>
  <c r="AR21" i="2"/>
  <c r="AQ21" i="2"/>
  <c r="AK21" i="2"/>
  <c r="AJ21" i="2"/>
  <c r="AI21" i="2"/>
  <c r="AH21" i="2"/>
  <c r="AG21" i="2"/>
  <c r="H21" i="2"/>
  <c r="CP20" i="2"/>
  <c r="BN20" i="2"/>
  <c r="BM20" i="2"/>
  <c r="BF20" i="2"/>
  <c r="BG20" i="2" s="1"/>
  <c r="BD20" i="2"/>
  <c r="BE20" i="2" s="1"/>
  <c r="BC20" i="2"/>
  <c r="BB20" i="2"/>
  <c r="BA20" i="2"/>
  <c r="AZ20" i="2"/>
  <c r="AV20" i="2"/>
  <c r="AR20" i="2"/>
  <c r="AQ20" i="2"/>
  <c r="AK20" i="2"/>
  <c r="AJ20" i="2"/>
  <c r="AI20" i="2"/>
  <c r="AL20" i="2" s="1"/>
  <c r="AH20" i="2"/>
  <c r="AG20" i="2"/>
  <c r="H20" i="2"/>
  <c r="CP19" i="2"/>
  <c r="BN19" i="2"/>
  <c r="BM19" i="2"/>
  <c r="BF19" i="2"/>
  <c r="BG19" i="2" s="1"/>
  <c r="BD19" i="2"/>
  <c r="BE19" i="2" s="1"/>
  <c r="BB19" i="2"/>
  <c r="BA19" i="2"/>
  <c r="AZ19" i="2"/>
  <c r="AV19" i="2"/>
  <c r="AR19" i="2"/>
  <c r="AQ19" i="2"/>
  <c r="AK19" i="2"/>
  <c r="AJ19" i="2"/>
  <c r="AL19" i="2" s="1"/>
  <c r="CQ19" i="2" s="1"/>
  <c r="AI19" i="2"/>
  <c r="AH19" i="2"/>
  <c r="AG19" i="2"/>
  <c r="H19" i="2"/>
  <c r="CP18" i="2"/>
  <c r="BN18" i="2"/>
  <c r="BM18" i="2"/>
  <c r="BF18" i="2"/>
  <c r="BG18" i="2" s="1"/>
  <c r="BD18" i="2"/>
  <c r="BE18" i="2" s="1"/>
  <c r="BB18" i="2"/>
  <c r="BA18" i="2"/>
  <c r="AZ18" i="2"/>
  <c r="AV18" i="2"/>
  <c r="AR18" i="2"/>
  <c r="AQ18" i="2"/>
  <c r="AK18" i="2"/>
  <c r="AJ18" i="2"/>
  <c r="AI18" i="2"/>
  <c r="AH18" i="2"/>
  <c r="AG18" i="2"/>
  <c r="H18" i="2"/>
  <c r="CP17" i="2"/>
  <c r="BN17" i="2"/>
  <c r="BM17" i="2"/>
  <c r="BF17" i="2"/>
  <c r="BD17" i="2"/>
  <c r="BE17" i="2" s="1"/>
  <c r="BB17" i="2"/>
  <c r="BC17" i="2" s="1"/>
  <c r="BA17" i="2"/>
  <c r="AZ17" i="2"/>
  <c r="AV17" i="2"/>
  <c r="AR17" i="2"/>
  <c r="AQ17" i="2"/>
  <c r="AK17" i="2"/>
  <c r="AJ17" i="2"/>
  <c r="AI17" i="2"/>
  <c r="AH17" i="2"/>
  <c r="AG17" i="2"/>
  <c r="H17" i="2"/>
  <c r="CP16" i="2"/>
  <c r="BN16" i="2"/>
  <c r="BM16" i="2"/>
  <c r="BF16" i="2"/>
  <c r="BG16" i="2" s="1"/>
  <c r="BD16" i="2"/>
  <c r="BE16" i="2" s="1"/>
  <c r="BB16" i="2"/>
  <c r="BA16" i="2"/>
  <c r="AZ16" i="2"/>
  <c r="AV16" i="2"/>
  <c r="AR16" i="2"/>
  <c r="AQ16" i="2"/>
  <c r="AK16" i="2"/>
  <c r="AJ16" i="2"/>
  <c r="AI16" i="2"/>
  <c r="AH16" i="2"/>
  <c r="AG16" i="2"/>
  <c r="H16" i="2"/>
  <c r="CP15" i="2"/>
  <c r="BN15" i="2"/>
  <c r="BM15" i="2"/>
  <c r="BF15" i="2"/>
  <c r="BG15" i="2" s="1"/>
  <c r="BD15" i="2"/>
  <c r="BE15" i="2" s="1"/>
  <c r="BB15" i="2"/>
  <c r="BC15" i="2" s="1"/>
  <c r="BI15" i="2" s="1"/>
  <c r="BA15" i="2"/>
  <c r="AZ15" i="2"/>
  <c r="AV15" i="2"/>
  <c r="AR15" i="2"/>
  <c r="AQ15" i="2"/>
  <c r="AK15" i="2"/>
  <c r="AJ15" i="2"/>
  <c r="BK15" i="2" s="1"/>
  <c r="CN15" i="2" s="1"/>
  <c r="AI15" i="2"/>
  <c r="AH15" i="2"/>
  <c r="AG15" i="2"/>
  <c r="H15" i="2"/>
  <c r="CP14" i="2"/>
  <c r="BN14" i="2"/>
  <c r="BM14" i="2"/>
  <c r="BF14" i="2"/>
  <c r="BG14" i="2" s="1"/>
  <c r="BD14" i="2"/>
  <c r="BE14" i="2" s="1"/>
  <c r="BB14" i="2"/>
  <c r="BA14" i="2"/>
  <c r="AZ14" i="2"/>
  <c r="AV14" i="2"/>
  <c r="AR14" i="2"/>
  <c r="AQ14" i="2"/>
  <c r="AK14" i="2"/>
  <c r="AJ14" i="2"/>
  <c r="AI14" i="2"/>
  <c r="AH14" i="2"/>
  <c r="AG14" i="2"/>
  <c r="H14" i="2"/>
  <c r="CP13" i="2"/>
  <c r="BN13" i="2"/>
  <c r="BM13" i="2"/>
  <c r="BF13" i="2"/>
  <c r="BD13" i="2"/>
  <c r="BE13" i="2" s="1"/>
  <c r="BB13" i="2"/>
  <c r="BC13" i="2" s="1"/>
  <c r="BA13" i="2"/>
  <c r="AZ13" i="2"/>
  <c r="AV13" i="2"/>
  <c r="AR13" i="2"/>
  <c r="AQ13" i="2"/>
  <c r="AK13" i="2"/>
  <c r="AJ13" i="2"/>
  <c r="AI13" i="2"/>
  <c r="AH13" i="2"/>
  <c r="AG13" i="2"/>
  <c r="P13" i="2"/>
  <c r="H13" i="2"/>
  <c r="CP12" i="2"/>
  <c r="BN12" i="2"/>
  <c r="BM12" i="2"/>
  <c r="BF12" i="2"/>
  <c r="BG12" i="2" s="1"/>
  <c r="BD12" i="2"/>
  <c r="BE12" i="2" s="1"/>
  <c r="BC12" i="2"/>
  <c r="BB12" i="2"/>
  <c r="BH12" i="2" s="1"/>
  <c r="BA12" i="2"/>
  <c r="AZ12" i="2"/>
  <c r="AV12" i="2"/>
  <c r="AR12" i="2"/>
  <c r="AQ12" i="2"/>
  <c r="AK12" i="2"/>
  <c r="AJ12" i="2"/>
  <c r="AI12" i="2"/>
  <c r="AH12" i="2"/>
  <c r="AG12" i="2"/>
  <c r="H12" i="2"/>
  <c r="CP11" i="2"/>
  <c r="BN11" i="2"/>
  <c r="BM11" i="2"/>
  <c r="BF11" i="2"/>
  <c r="BG11" i="2" s="1"/>
  <c r="BD11" i="2"/>
  <c r="BE11" i="2" s="1"/>
  <c r="BB11" i="2"/>
  <c r="BA11" i="2"/>
  <c r="AZ11" i="2"/>
  <c r="AV11" i="2"/>
  <c r="AR11" i="2"/>
  <c r="AQ11" i="2"/>
  <c r="AK11" i="2"/>
  <c r="AJ11" i="2"/>
  <c r="AI11" i="2"/>
  <c r="AM11" i="2" s="1"/>
  <c r="AH11" i="2"/>
  <c r="AG11" i="2"/>
  <c r="H11" i="2"/>
  <c r="CP10" i="2"/>
  <c r="BN10" i="2"/>
  <c r="BM10" i="2"/>
  <c r="BF10" i="2"/>
  <c r="BG10" i="2" s="1"/>
  <c r="BD10" i="2"/>
  <c r="BE10" i="2" s="1"/>
  <c r="BB10" i="2"/>
  <c r="BA10" i="2"/>
  <c r="AZ10" i="2"/>
  <c r="AV10" i="2"/>
  <c r="AR10" i="2"/>
  <c r="AQ10" i="2"/>
  <c r="AK10" i="2"/>
  <c r="AJ10" i="2"/>
  <c r="AI10" i="2"/>
  <c r="AH10" i="2"/>
  <c r="AG10" i="2"/>
  <c r="H10" i="2"/>
  <c r="CP9" i="2"/>
  <c r="BN9" i="2"/>
  <c r="BM9" i="2"/>
  <c r="BF9" i="2"/>
  <c r="BG9" i="2" s="1"/>
  <c r="BD9" i="2"/>
  <c r="BE9" i="2" s="1"/>
  <c r="BB9" i="2"/>
  <c r="BC9" i="2" s="1"/>
  <c r="BA9" i="2"/>
  <c r="AZ9" i="2"/>
  <c r="AV9" i="2"/>
  <c r="AR9" i="2"/>
  <c r="AQ9" i="2"/>
  <c r="AK9" i="2"/>
  <c r="AJ9" i="2"/>
  <c r="AI9" i="2"/>
  <c r="AH9" i="2"/>
  <c r="AG9" i="2"/>
  <c r="H9" i="2"/>
  <c r="CP8" i="2"/>
  <c r="BN8" i="2"/>
  <c r="BM8" i="2"/>
  <c r="BF8" i="2"/>
  <c r="BG8" i="2" s="1"/>
  <c r="BD8" i="2"/>
  <c r="BE8" i="2" s="1"/>
  <c r="BB8" i="2"/>
  <c r="BA8" i="2"/>
  <c r="AZ8" i="2"/>
  <c r="AV8" i="2"/>
  <c r="AR8" i="2"/>
  <c r="AQ8" i="2"/>
  <c r="AK8" i="2"/>
  <c r="AJ8" i="2"/>
  <c r="AI8" i="2"/>
  <c r="BK8" i="2" s="1"/>
  <c r="CN8" i="2" s="1"/>
  <c r="AH8" i="2"/>
  <c r="AG8" i="2"/>
  <c r="T8" i="2"/>
  <c r="H8" i="2"/>
  <c r="CP7" i="2"/>
  <c r="BN7" i="2"/>
  <c r="BM7" i="2"/>
  <c r="BG7" i="2"/>
  <c r="BF7" i="2"/>
  <c r="BD7" i="2"/>
  <c r="BE7" i="2" s="1"/>
  <c r="BB7" i="2"/>
  <c r="BH7" i="2" s="1"/>
  <c r="BA7" i="2"/>
  <c r="AZ7" i="2"/>
  <c r="AV7" i="2"/>
  <c r="AR7" i="2"/>
  <c r="AQ7" i="2"/>
  <c r="AK7" i="2"/>
  <c r="AJ7" i="2"/>
  <c r="AI7" i="2"/>
  <c r="AL7" i="2" s="1"/>
  <c r="CQ7" i="2" s="1"/>
  <c r="AH7" i="2"/>
  <c r="AG7" i="2"/>
  <c r="H7" i="2"/>
  <c r="CP6" i="2"/>
  <c r="BN6" i="2"/>
  <c r="BM6" i="2"/>
  <c r="BF6" i="2"/>
  <c r="BG6" i="2" s="1"/>
  <c r="BD6" i="2"/>
  <c r="BE6" i="2" s="1"/>
  <c r="BB6" i="2"/>
  <c r="BA6" i="2"/>
  <c r="AZ6" i="2"/>
  <c r="AV6" i="2"/>
  <c r="AR6" i="2"/>
  <c r="AQ6" i="2"/>
  <c r="AK6" i="2"/>
  <c r="AJ6" i="2"/>
  <c r="AI6" i="2"/>
  <c r="AM6" i="2" s="1"/>
  <c r="AH6" i="2"/>
  <c r="AG6" i="2"/>
  <c r="T6" i="2"/>
  <c r="H6" i="2"/>
  <c r="CP5" i="2"/>
  <c r="BN5" i="2"/>
  <c r="BM5" i="2"/>
  <c r="BF5" i="2"/>
  <c r="BG5" i="2" s="1"/>
  <c r="BD5" i="2"/>
  <c r="BE5" i="2" s="1"/>
  <c r="BB5" i="2"/>
  <c r="BC5" i="2" s="1"/>
  <c r="BA5" i="2"/>
  <c r="AZ5" i="2"/>
  <c r="AV5" i="2"/>
  <c r="AR5" i="2"/>
  <c r="AQ5" i="2"/>
  <c r="AK5" i="2"/>
  <c r="AJ5" i="2"/>
  <c r="AI5" i="2"/>
  <c r="BK5" i="2" s="1"/>
  <c r="CN5" i="2" s="1"/>
  <c r="AH5" i="2"/>
  <c r="AG5" i="2"/>
  <c r="H5" i="2"/>
  <c r="CP4" i="2"/>
  <c r="BN4" i="2"/>
  <c r="BM4" i="2"/>
  <c r="BF4" i="2"/>
  <c r="BG4" i="2" s="1"/>
  <c r="BD4" i="2"/>
  <c r="BE4" i="2" s="1"/>
  <c r="BB4" i="2"/>
  <c r="BC4" i="2" s="1"/>
  <c r="BA4" i="2"/>
  <c r="AZ4" i="2"/>
  <c r="AV4" i="2"/>
  <c r="AR4" i="2"/>
  <c r="AQ4" i="2"/>
  <c r="AK4" i="2"/>
  <c r="AJ4" i="2"/>
  <c r="AI4" i="2"/>
  <c r="AH4" i="2"/>
  <c r="AG4" i="2"/>
  <c r="H4" i="2"/>
  <c r="CP3" i="2"/>
  <c r="BN3" i="2"/>
  <c r="BM3" i="2"/>
  <c r="BF3" i="2"/>
  <c r="BG3" i="2" s="1"/>
  <c r="BD3" i="2"/>
  <c r="BE3" i="2" s="1"/>
  <c r="BB3" i="2"/>
  <c r="BC3" i="2" s="1"/>
  <c r="BA3" i="2"/>
  <c r="AZ3" i="2"/>
  <c r="AV3" i="2"/>
  <c r="AR3" i="2"/>
  <c r="AQ3" i="2"/>
  <c r="AK3" i="2"/>
  <c r="AJ3" i="2"/>
  <c r="AI3" i="2"/>
  <c r="AH3" i="2"/>
  <c r="AG3" i="2"/>
  <c r="S3" i="2"/>
  <c r="H3" i="2"/>
  <c r="CP2" i="2"/>
  <c r="BN2" i="2"/>
  <c r="BM2" i="2"/>
  <c r="BF2" i="2"/>
  <c r="BG2" i="2" s="1"/>
  <c r="BD2" i="2"/>
  <c r="BE2" i="2" s="1"/>
  <c r="BB2" i="2"/>
  <c r="BH2" i="2" s="1"/>
  <c r="BA2" i="2"/>
  <c r="AZ2" i="2"/>
  <c r="AV2" i="2"/>
  <c r="CO2" i="2" s="1"/>
  <c r="CO3" i="2" s="1"/>
  <c r="AR2" i="2"/>
  <c r="AQ2" i="2"/>
  <c r="AK2" i="2"/>
  <c r="AJ2" i="2"/>
  <c r="AI2" i="2"/>
  <c r="AH2" i="2"/>
  <c r="AG2" i="2"/>
  <c r="H2" i="2"/>
  <c r="B19" i="1"/>
  <c r="C15" i="1"/>
  <c r="B15" i="1"/>
  <c r="B18" i="1" s="1"/>
  <c r="D14" i="1"/>
  <c r="F13" i="1"/>
  <c r="F15" i="1" s="1"/>
  <c r="D13" i="1"/>
  <c r="D15" i="1" s="1"/>
  <c r="E10" i="1"/>
  <c r="D10" i="1"/>
  <c r="E5" i="1"/>
  <c r="D5" i="1"/>
  <c r="AL17" i="2" l="1"/>
  <c r="BK37" i="2"/>
  <c r="CN37" i="2" s="1"/>
  <c r="BH44" i="2"/>
  <c r="AL52" i="2"/>
  <c r="BG62" i="2"/>
  <c r="CR75" i="2"/>
  <c r="CP75" i="2" s="1"/>
  <c r="AL92" i="2"/>
  <c r="CR93" i="2"/>
  <c r="CP93" i="2" s="1"/>
  <c r="BK102" i="2"/>
  <c r="CN102" i="2" s="1"/>
  <c r="AM105" i="2"/>
  <c r="AL170" i="2"/>
  <c r="BK170" i="2"/>
  <c r="CN170" i="2" s="1"/>
  <c r="BH189" i="2"/>
  <c r="BH193" i="2"/>
  <c r="BK212" i="2"/>
  <c r="BH214" i="2"/>
  <c r="BK223" i="2"/>
  <c r="CU226" i="2"/>
  <c r="CV226" i="2" s="1"/>
  <c r="BK48" i="2"/>
  <c r="CN48" i="2" s="1"/>
  <c r="BK56" i="2"/>
  <c r="CN56" i="2" s="1"/>
  <c r="AL85" i="2"/>
  <c r="BL85" i="2" s="1"/>
  <c r="BJ85" i="2" s="1"/>
  <c r="CR88" i="2"/>
  <c r="CP88" i="2" s="1"/>
  <c r="BC151" i="2"/>
  <c r="BK158" i="2"/>
  <c r="CN158" i="2" s="1"/>
  <c r="BI207" i="2"/>
  <c r="CU230" i="2"/>
  <c r="CV230" i="2" s="1"/>
  <c r="BI4" i="2"/>
  <c r="AM5" i="2"/>
  <c r="AM26" i="2"/>
  <c r="BH38" i="2"/>
  <c r="BK46" i="2"/>
  <c r="CN46" i="2" s="1"/>
  <c r="BQ69" i="2"/>
  <c r="AM84" i="2"/>
  <c r="CR98" i="2"/>
  <c r="CP98" i="2" s="1"/>
  <c r="BK128" i="2"/>
  <c r="BK137" i="2"/>
  <c r="CN137" i="2" s="1"/>
  <c r="CR138" i="2"/>
  <c r="CP138" i="2" s="1"/>
  <c r="BH142" i="2"/>
  <c r="AM159" i="2"/>
  <c r="CR162" i="2"/>
  <c r="CP162" i="2" s="1"/>
  <c r="AL164" i="2"/>
  <c r="BH167" i="2"/>
  <c r="CR169" i="2"/>
  <c r="CP169" i="2" s="1"/>
  <c r="AM170" i="2"/>
  <c r="BI172" i="2"/>
  <c r="BI174" i="2"/>
  <c r="CU197" i="2"/>
  <c r="CV197" i="2" s="1"/>
  <c r="BI205" i="2"/>
  <c r="BG230" i="2"/>
  <c r="BC234" i="2"/>
  <c r="BK71" i="2"/>
  <c r="CN71" i="2" s="1"/>
  <c r="CR72" i="2"/>
  <c r="CP72" i="2" s="1"/>
  <c r="AM142" i="2"/>
  <c r="AM150" i="2"/>
  <c r="AM167" i="2"/>
  <c r="BH187" i="2"/>
  <c r="AM195" i="2"/>
  <c r="BK195" i="2"/>
  <c r="BH205" i="2"/>
  <c r="BH234" i="2"/>
  <c r="BH8" i="2"/>
  <c r="AM28" i="2"/>
  <c r="BI32" i="2"/>
  <c r="BH36" i="2"/>
  <c r="AM104" i="2"/>
  <c r="BH125" i="2"/>
  <c r="CR149" i="2"/>
  <c r="CP149" i="2" s="1"/>
  <c r="AL171" i="2"/>
  <c r="CR173" i="2"/>
  <c r="CP173" i="2" s="1"/>
  <c r="BH211" i="2"/>
  <c r="BH216" i="2"/>
  <c r="BI218" i="2"/>
  <c r="BC8" i="2"/>
  <c r="BI8" i="2" s="1"/>
  <c r="BH19" i="2"/>
  <c r="BI23" i="2"/>
  <c r="BK93" i="2"/>
  <c r="CN93" i="2" s="1"/>
  <c r="CR94" i="2"/>
  <c r="CP94" i="2" s="1"/>
  <c r="BK101" i="2"/>
  <c r="CN101" i="2" s="1"/>
  <c r="BI125" i="2"/>
  <c r="AM131" i="2"/>
  <c r="BH141" i="2"/>
  <c r="BI156" i="2"/>
  <c r="BH63" i="2"/>
  <c r="AL64" i="2"/>
  <c r="CQ64" i="2" s="1"/>
  <c r="CR69" i="2"/>
  <c r="CP69" i="2" s="1"/>
  <c r="AM93" i="2"/>
  <c r="BK106" i="2"/>
  <c r="BK112" i="2"/>
  <c r="CN112" i="2" s="1"/>
  <c r="BK114" i="2"/>
  <c r="CN114" i="2" s="1"/>
  <c r="BK116" i="2"/>
  <c r="CN116" i="2" s="1"/>
  <c r="BK118" i="2"/>
  <c r="CN118" i="2" s="1"/>
  <c r="BK120" i="2"/>
  <c r="CN120" i="2" s="1"/>
  <c r="BK144" i="2"/>
  <c r="CN144" i="2" s="1"/>
  <c r="BH156" i="2"/>
  <c r="AM168" i="2"/>
  <c r="AM179" i="2"/>
  <c r="AL183" i="2"/>
  <c r="AL199" i="2"/>
  <c r="AL209" i="2"/>
  <c r="AL211" i="2"/>
  <c r="AL224" i="2"/>
  <c r="BC238" i="2"/>
  <c r="BK2" i="2"/>
  <c r="CN2" i="2" s="1"/>
  <c r="AM61" i="2"/>
  <c r="AM187" i="2"/>
  <c r="BH238" i="2"/>
  <c r="AM19" i="2"/>
  <c r="BK19" i="2"/>
  <c r="CN19" i="2" s="1"/>
  <c r="BK43" i="2"/>
  <c r="CN43" i="2" s="1"/>
  <c r="BK45" i="2"/>
  <c r="CN45" i="2" s="1"/>
  <c r="BH67" i="2"/>
  <c r="AL70" i="2"/>
  <c r="CQ70" i="2" s="1"/>
  <c r="BQ70" i="2"/>
  <c r="BK86" i="2"/>
  <c r="CN86" i="2" s="1"/>
  <c r="CR91" i="2"/>
  <c r="CP91" i="2" s="1"/>
  <c r="CR96" i="2"/>
  <c r="CP96" i="2" s="1"/>
  <c r="BC97" i="2"/>
  <c r="BI97" i="2" s="1"/>
  <c r="BK98" i="2"/>
  <c r="CN98" i="2" s="1"/>
  <c r="AM103" i="2"/>
  <c r="CR107" i="2"/>
  <c r="CP107" i="2" s="1"/>
  <c r="AM126" i="2"/>
  <c r="CR128" i="2"/>
  <c r="CP128" i="2" s="1"/>
  <c r="CR136" i="2"/>
  <c r="CP136" i="2" s="1"/>
  <c r="CR155" i="2"/>
  <c r="CP155" i="2" s="1"/>
  <c r="CR159" i="2"/>
  <c r="CP159" i="2" s="1"/>
  <c r="BH175" i="2"/>
  <c r="BI184" i="2"/>
  <c r="BH212" i="2"/>
  <c r="BH215" i="2"/>
  <c r="BH62" i="2"/>
  <c r="CR64" i="2"/>
  <c r="CP64" i="2" s="1"/>
  <c r="BH76" i="2"/>
  <c r="AM81" i="2"/>
  <c r="AL153" i="2"/>
  <c r="AL162" i="2"/>
  <c r="AL175" i="2"/>
  <c r="CQ175" i="2" s="1"/>
  <c r="AM25" i="2"/>
  <c r="BK39" i="2"/>
  <c r="CN39" i="2" s="1"/>
  <c r="AL60" i="2"/>
  <c r="CQ60" i="2" s="1"/>
  <c r="BK62" i="2"/>
  <c r="CN62" i="2" s="1"/>
  <c r="BC62" i="2"/>
  <c r="BK74" i="2"/>
  <c r="CN74" i="2" s="1"/>
  <c r="BH87" i="2"/>
  <c r="AM100" i="2"/>
  <c r="BK105" i="2"/>
  <c r="CN105" i="2" s="1"/>
  <c r="AM108" i="2"/>
  <c r="AL125" i="2"/>
  <c r="BL125" i="2" s="1"/>
  <c r="BJ125" i="2" s="1"/>
  <c r="BK153" i="2"/>
  <c r="CR160" i="2"/>
  <c r="CP160" i="2" s="1"/>
  <c r="BH163" i="2"/>
  <c r="AL188" i="2"/>
  <c r="BK192" i="2"/>
  <c r="BK206" i="2"/>
  <c r="BI5" i="2"/>
  <c r="BK6" i="2"/>
  <c r="CN6" i="2" s="1"/>
  <c r="BK9" i="2"/>
  <c r="CN9" i="2" s="1"/>
  <c r="BH11" i="2"/>
  <c r="AM34" i="2"/>
  <c r="AM148" i="2"/>
  <c r="AL148" i="2"/>
  <c r="CQ148" i="2" s="1"/>
  <c r="CQ171" i="2"/>
  <c r="BL171" i="2"/>
  <c r="BJ171" i="2" s="1"/>
  <c r="BH177" i="2"/>
  <c r="CU10" i="2"/>
  <c r="CV10" i="2" s="1"/>
  <c r="P10" i="2" s="1"/>
  <c r="BH13" i="2"/>
  <c r="BH26" i="2"/>
  <c r="BC26" i="2"/>
  <c r="BI26" i="2" s="1"/>
  <c r="BK32" i="2"/>
  <c r="CN32" i="2" s="1"/>
  <c r="BK34" i="2"/>
  <c r="CN34" i="2" s="1"/>
  <c r="BL59" i="2"/>
  <c r="BJ59" i="2" s="1"/>
  <c r="AM77" i="2"/>
  <c r="AL77" i="2"/>
  <c r="CQ77" i="2" s="1"/>
  <c r="AM143" i="2"/>
  <c r="AL143" i="2"/>
  <c r="BK143" i="2"/>
  <c r="CN143" i="2" s="1"/>
  <c r="AL156" i="2"/>
  <c r="AM172" i="2"/>
  <c r="BH190" i="2"/>
  <c r="BC190" i="2"/>
  <c r="BL199" i="2"/>
  <c r="BJ199" i="2" s="1"/>
  <c r="AM141" i="2"/>
  <c r="CW221" i="2"/>
  <c r="BK3" i="2"/>
  <c r="CN3" i="2" s="1"/>
  <c r="BC10" i="2"/>
  <c r="BI33" i="2"/>
  <c r="CO54" i="2"/>
  <c r="CR54" i="2"/>
  <c r="CP54" i="2" s="1"/>
  <c r="AM59" i="2"/>
  <c r="BH65" i="2"/>
  <c r="BG65" i="2"/>
  <c r="AM99" i="2"/>
  <c r="BK99" i="2"/>
  <c r="CN99" i="2" s="1"/>
  <c r="BH139" i="2"/>
  <c r="BC139" i="2"/>
  <c r="BL143" i="2"/>
  <c r="BJ143" i="2" s="1"/>
  <c r="BC150" i="2"/>
  <c r="BH150" i="2"/>
  <c r="BI169" i="2"/>
  <c r="BK172" i="2"/>
  <c r="CN172" i="2" s="1"/>
  <c r="AL172" i="2"/>
  <c r="BL172" i="2" s="1"/>
  <c r="BJ172" i="2" s="1"/>
  <c r="BC204" i="2"/>
  <c r="BH204" i="2"/>
  <c r="BL239" i="2"/>
  <c r="BJ239" i="2" s="1"/>
  <c r="BC55" i="2"/>
  <c r="BI55" i="2" s="1"/>
  <c r="BH55" i="2"/>
  <c r="BH4" i="2"/>
  <c r="AL5" i="2"/>
  <c r="CQ5" i="2" s="1"/>
  <c r="AL10" i="2"/>
  <c r="CQ10" i="2" s="1"/>
  <c r="BK13" i="2"/>
  <c r="CN13" i="2" s="1"/>
  <c r="BH52" i="2"/>
  <c r="BG52" i="2"/>
  <c r="BI52" i="2" s="1"/>
  <c r="BI69" i="2"/>
  <c r="AM90" i="2"/>
  <c r="BK90" i="2"/>
  <c r="CN90" i="2" s="1"/>
  <c r="BK149" i="2"/>
  <c r="BC159" i="2"/>
  <c r="BI159" i="2" s="1"/>
  <c r="BH159" i="2"/>
  <c r="AL169" i="2"/>
  <c r="BG175" i="2"/>
  <c r="CU186" i="2"/>
  <c r="CV186" i="2" s="1"/>
  <c r="AM227" i="2"/>
  <c r="BK11" i="2"/>
  <c r="CN11" i="2" s="1"/>
  <c r="BC40" i="2"/>
  <c r="BI40" i="2" s="1"/>
  <c r="BH40" i="2"/>
  <c r="BL227" i="2"/>
  <c r="BJ227" i="2" s="1"/>
  <c r="AL9" i="2"/>
  <c r="CQ9" i="2" s="1"/>
  <c r="BI10" i="2"/>
  <c r="BK7" i="2"/>
  <c r="CN7" i="2" s="1"/>
  <c r="BI9" i="2"/>
  <c r="BH10" i="2"/>
  <c r="BI31" i="2"/>
  <c r="BH138" i="2"/>
  <c r="BC138" i="2"/>
  <c r="AL142" i="2"/>
  <c r="CO174" i="2"/>
  <c r="BK14" i="2"/>
  <c r="CN14" i="2" s="1"/>
  <c r="AM89" i="2"/>
  <c r="BK89" i="2"/>
  <c r="CN89" i="2" s="1"/>
  <c r="AL89" i="2"/>
  <c r="CQ89" i="2" s="1"/>
  <c r="AM191" i="2"/>
  <c r="AL191" i="2"/>
  <c r="BK191" i="2"/>
  <c r="BH5" i="2"/>
  <c r="AM2" i="2"/>
  <c r="AL31" i="2"/>
  <c r="CQ31" i="2" s="1"/>
  <c r="BK31" i="2"/>
  <c r="CN31" i="2" s="1"/>
  <c r="BC42" i="2"/>
  <c r="BH42" i="2"/>
  <c r="AL13" i="2"/>
  <c r="BK4" i="2"/>
  <c r="CN4" i="2" s="1"/>
  <c r="AM10" i="2"/>
  <c r="BK10" i="2"/>
  <c r="CN10" i="2" s="1"/>
  <c r="BH6" i="2"/>
  <c r="BL7" i="2"/>
  <c r="BJ7" i="2" s="1"/>
  <c r="BK12" i="2"/>
  <c r="CN12" i="2" s="1"/>
  <c r="AM14" i="2"/>
  <c r="BK16" i="2"/>
  <c r="CN16" i="2" s="1"/>
  <c r="BC19" i="2"/>
  <c r="BI19" i="2" s="1"/>
  <c r="BI21" i="2"/>
  <c r="AL28" i="2"/>
  <c r="BL28" i="2" s="1"/>
  <c r="BJ28" i="2" s="1"/>
  <c r="BI47" i="2"/>
  <c r="CN111" i="2"/>
  <c r="BC193" i="2"/>
  <c r="BI193" i="2" s="1"/>
  <c r="CW223" i="2"/>
  <c r="AL232" i="2"/>
  <c r="BL232" i="2" s="1"/>
  <c r="BJ232" i="2" s="1"/>
  <c r="BH233" i="2"/>
  <c r="BH45" i="2"/>
  <c r="BH47" i="2"/>
  <c r="BH49" i="2"/>
  <c r="BH58" i="2"/>
  <c r="BH69" i="2"/>
  <c r="AM71" i="2"/>
  <c r="BR71" i="2"/>
  <c r="BH84" i="2"/>
  <c r="BH85" i="2"/>
  <c r="AM109" i="2"/>
  <c r="BK113" i="2"/>
  <c r="BK115" i="2"/>
  <c r="CN115" i="2" s="1"/>
  <c r="BK117" i="2"/>
  <c r="CN117" i="2" s="1"/>
  <c r="BK119" i="2"/>
  <c r="CN119" i="2" s="1"/>
  <c r="AL123" i="2"/>
  <c r="CR124" i="2"/>
  <c r="CP124" i="2" s="1"/>
  <c r="AL131" i="2"/>
  <c r="CQ131" i="2" s="1"/>
  <c r="BK131" i="2"/>
  <c r="CN131" i="2" s="1"/>
  <c r="AM132" i="2"/>
  <c r="CR137" i="2"/>
  <c r="CP137" i="2" s="1"/>
  <c r="BK142" i="2"/>
  <c r="CN142" i="2" s="1"/>
  <c r="CR145" i="2"/>
  <c r="CP145" i="2" s="1"/>
  <c r="BC146" i="2"/>
  <c r="CR150" i="2"/>
  <c r="CP150" i="2" s="1"/>
  <c r="AM153" i="2"/>
  <c r="BK156" i="2"/>
  <c r="CN156" i="2" s="1"/>
  <c r="AM158" i="2"/>
  <c r="BK160" i="2"/>
  <c r="CN160" i="2" s="1"/>
  <c r="BC161" i="2"/>
  <c r="CR164" i="2"/>
  <c r="CP164" i="2" s="1"/>
  <c r="AL167" i="2"/>
  <c r="CR168" i="2"/>
  <c r="CP168" i="2" s="1"/>
  <c r="BH170" i="2"/>
  <c r="BI175" i="2"/>
  <c r="CU176" i="2"/>
  <c r="CV176" i="2" s="1"/>
  <c r="BI178" i="2"/>
  <c r="CU191" i="2"/>
  <c r="CV191" i="2" s="1"/>
  <c r="BK194" i="2"/>
  <c r="AL225" i="2"/>
  <c r="BL225" i="2" s="1"/>
  <c r="BJ225" i="2" s="1"/>
  <c r="AM230" i="2"/>
  <c r="BH17" i="2"/>
  <c r="AM29" i="2"/>
  <c r="CO32" i="2"/>
  <c r="BH51" i="2"/>
  <c r="BI62" i="2"/>
  <c r="AL63" i="2"/>
  <c r="CQ63" i="2" s="1"/>
  <c r="BC65" i="2"/>
  <c r="BK77" i="2"/>
  <c r="CN77" i="2" s="1"/>
  <c r="CO79" i="2"/>
  <c r="CO80" i="2" s="1"/>
  <c r="CO81" i="2" s="1"/>
  <c r="CO82" i="2" s="1"/>
  <c r="CO83" i="2" s="1"/>
  <c r="CO84" i="2" s="1"/>
  <c r="CO85" i="2" s="1"/>
  <c r="CO86" i="2" s="1"/>
  <c r="CO87" i="2" s="1"/>
  <c r="CO88" i="2" s="1"/>
  <c r="CO89" i="2" s="1"/>
  <c r="CO90" i="2" s="1"/>
  <c r="CO91" i="2" s="1"/>
  <c r="CO92" i="2" s="1"/>
  <c r="BK82" i="2"/>
  <c r="CN82" i="2" s="1"/>
  <c r="BI88" i="2"/>
  <c r="BH89" i="2"/>
  <c r="BI93" i="2"/>
  <c r="BH111" i="2"/>
  <c r="CQ125" i="2"/>
  <c r="BH128" i="2"/>
  <c r="BI137" i="2"/>
  <c r="AM147" i="2"/>
  <c r="BH147" i="2"/>
  <c r="CN161" i="2"/>
  <c r="BH164" i="2"/>
  <c r="BH168" i="2"/>
  <c r="AL184" i="2"/>
  <c r="AL205" i="2"/>
  <c r="BG215" i="2"/>
  <c r="AL217" i="2"/>
  <c r="AL230" i="2"/>
  <c r="BK49" i="2"/>
  <c r="CN49" i="2" s="1"/>
  <c r="BC51" i="2"/>
  <c r="BI51" i="2" s="1"/>
  <c r="AM58" i="2"/>
  <c r="BK58" i="2"/>
  <c r="CN58" i="2" s="1"/>
  <c r="BH61" i="2"/>
  <c r="BH72" i="2"/>
  <c r="BK76" i="2"/>
  <c r="CN76" i="2" s="1"/>
  <c r="BH77" i="2"/>
  <c r="BI92" i="2"/>
  <c r="CR110" i="2"/>
  <c r="CP110" i="2" s="1"/>
  <c r="BC111" i="2"/>
  <c r="CR133" i="2"/>
  <c r="CP133" i="2" s="1"/>
  <c r="CR135" i="2"/>
  <c r="CP135" i="2" s="1"/>
  <c r="BI138" i="2"/>
  <c r="BG147" i="2"/>
  <c r="BH148" i="2"/>
  <c r="CR153" i="2"/>
  <c r="CP153" i="2" s="1"/>
  <c r="BH157" i="2"/>
  <c r="AM161" i="2"/>
  <c r="BK163" i="2"/>
  <c r="CN163" i="2" s="1"/>
  <c r="BC164" i="2"/>
  <c r="BH166" i="2"/>
  <c r="CR167" i="2"/>
  <c r="CP167" i="2" s="1"/>
  <c r="BC168" i="2"/>
  <c r="AM169" i="2"/>
  <c r="BH169" i="2"/>
  <c r="CR170" i="2"/>
  <c r="CP170" i="2" s="1"/>
  <c r="BH172" i="2"/>
  <c r="BK184" i="2"/>
  <c r="BL184" i="2"/>
  <c r="BJ184" i="2" s="1"/>
  <c r="BH210" i="2"/>
  <c r="CW219" i="2"/>
  <c r="BH236" i="2"/>
  <c r="AM240" i="2"/>
  <c r="CO14" i="2"/>
  <c r="CO15" i="2" s="1"/>
  <c r="CO16" i="2" s="1"/>
  <c r="CO17" i="2" s="1"/>
  <c r="CO18" i="2" s="1"/>
  <c r="CO19" i="2" s="1"/>
  <c r="CO20" i="2" s="1"/>
  <c r="CO21" i="2" s="1"/>
  <c r="CO22" i="2" s="1"/>
  <c r="CO23" i="2" s="1"/>
  <c r="CO24" i="2" s="1"/>
  <c r="CO25" i="2" s="1"/>
  <c r="CO26" i="2" s="1"/>
  <c r="BK17" i="2"/>
  <c r="CN17" i="2" s="1"/>
  <c r="AL24" i="2"/>
  <c r="AL26" i="2"/>
  <c r="BL26" i="2" s="1"/>
  <c r="BJ26" i="2" s="1"/>
  <c r="BH54" i="2"/>
  <c r="AL55" i="2"/>
  <c r="CQ55" i="2" s="1"/>
  <c r="AM62" i="2"/>
  <c r="CR67" i="2"/>
  <c r="CP67" i="2" s="1"/>
  <c r="BK69" i="2"/>
  <c r="CN69" i="2" s="1"/>
  <c r="BG72" i="2"/>
  <c r="BQ73" i="2"/>
  <c r="AM97" i="2"/>
  <c r="AM98" i="2"/>
  <c r="AM101" i="2"/>
  <c r="BK104" i="2"/>
  <c r="CN104" i="2" s="1"/>
  <c r="BK107" i="2"/>
  <c r="CN107" i="2" s="1"/>
  <c r="AM112" i="2"/>
  <c r="AM114" i="2"/>
  <c r="AM118" i="2"/>
  <c r="AM120" i="2"/>
  <c r="CR121" i="2"/>
  <c r="CP121" i="2" s="1"/>
  <c r="BK125" i="2"/>
  <c r="CN125" i="2" s="1"/>
  <c r="CR134" i="2"/>
  <c r="CP134" i="2" s="1"/>
  <c r="BH137" i="2"/>
  <c r="AL138" i="2"/>
  <c r="CQ138" i="2" s="1"/>
  <c r="AL139" i="2"/>
  <c r="BL139" i="2" s="1"/>
  <c r="BJ139" i="2" s="1"/>
  <c r="AM146" i="2"/>
  <c r="BK150" i="2"/>
  <c r="CN150" i="2" s="1"/>
  <c r="BE157" i="2"/>
  <c r="BI157" i="2" s="1"/>
  <c r="BK159" i="2"/>
  <c r="CN159" i="2" s="1"/>
  <c r="BK166" i="2"/>
  <c r="CN166" i="2" s="1"/>
  <c r="BI166" i="2"/>
  <c r="AM171" i="2"/>
  <c r="BK186" i="2"/>
  <c r="CU195" i="2"/>
  <c r="CV195" i="2" s="1"/>
  <c r="BH199" i="2"/>
  <c r="AM216" i="2"/>
  <c r="BK219" i="2"/>
  <c r="AM223" i="2"/>
  <c r="BH229" i="2"/>
  <c r="BI25" i="2"/>
  <c r="BI60" i="2"/>
  <c r="BK81" i="2"/>
  <c r="CN81" i="2" s="1"/>
  <c r="BI153" i="2"/>
  <c r="AL159" i="2"/>
  <c r="BI182" i="2"/>
  <c r="BK199" i="2"/>
  <c r="AM221" i="2"/>
  <c r="BE224" i="2"/>
  <c r="AL15" i="2"/>
  <c r="BL15" i="2" s="1"/>
  <c r="BJ15" i="2" s="1"/>
  <c r="BH16" i="2"/>
  <c r="BK26" i="2"/>
  <c r="CN26" i="2" s="1"/>
  <c r="AM33" i="2"/>
  <c r="BE44" i="2"/>
  <c r="BI44" i="2" s="1"/>
  <c r="BK51" i="2"/>
  <c r="CN51" i="2" s="1"/>
  <c r="BH53" i="2"/>
  <c r="BK61" i="2"/>
  <c r="CN61" i="2" s="1"/>
  <c r="CR63" i="2"/>
  <c r="CP63" i="2" s="1"/>
  <c r="BE64" i="2"/>
  <c r="CR66" i="2"/>
  <c r="CP66" i="2" s="1"/>
  <c r="AL69" i="2"/>
  <c r="CQ69" i="2" s="1"/>
  <c r="BH74" i="2"/>
  <c r="BC79" i="2"/>
  <c r="AL81" i="2"/>
  <c r="CQ81" i="2" s="1"/>
  <c r="BH83" i="2"/>
  <c r="BC86" i="2"/>
  <c r="BI86" i="2" s="1"/>
  <c r="BH93" i="2"/>
  <c r="CR95" i="2"/>
  <c r="CP95" i="2" s="1"/>
  <c r="BC122" i="2"/>
  <c r="BI122" i="2" s="1"/>
  <c r="AL126" i="2"/>
  <c r="AM128" i="2"/>
  <c r="BH134" i="2"/>
  <c r="BK138" i="2"/>
  <c r="CN138" i="2" s="1"/>
  <c r="CR142" i="2"/>
  <c r="CP142" i="2" s="1"/>
  <c r="CR156" i="2"/>
  <c r="CP156" i="2" s="1"/>
  <c r="BI160" i="2"/>
  <c r="BK171" i="2"/>
  <c r="CR172" i="2"/>
  <c r="CP172" i="2" s="1"/>
  <c r="AM177" i="2"/>
  <c r="BH181" i="2"/>
  <c r="BK183" i="2"/>
  <c r="BE185" i="2"/>
  <c r="CU187" i="2"/>
  <c r="CV187" i="2" s="1"/>
  <c r="AM199" i="2"/>
  <c r="AL207" i="2"/>
  <c r="BE212" i="2"/>
  <c r="BI212" i="2" s="1"/>
  <c r="BE213" i="2"/>
  <c r="BK214" i="2"/>
  <c r="BH226" i="2"/>
  <c r="AL240" i="2"/>
  <c r="BH241" i="2"/>
  <c r="BH14" i="2"/>
  <c r="BK21" i="2"/>
  <c r="CN21" i="2" s="1"/>
  <c r="AL33" i="2"/>
  <c r="CQ33" i="2" s="1"/>
  <c r="AM55" i="2"/>
  <c r="BH59" i="2"/>
  <c r="AL65" i="2"/>
  <c r="CQ65" i="2" s="1"/>
  <c r="BI85" i="2"/>
  <c r="AL93" i="2"/>
  <c r="BL93" i="2" s="1"/>
  <c r="BJ93" i="2" s="1"/>
  <c r="BK100" i="2"/>
  <c r="CN100" i="2" s="1"/>
  <c r="BH121" i="2"/>
  <c r="BI133" i="2"/>
  <c r="BI134" i="2"/>
  <c r="AM138" i="2"/>
  <c r="BL138" i="2"/>
  <c r="BJ138" i="2" s="1"/>
  <c r="AM139" i="2"/>
  <c r="BK139" i="2"/>
  <c r="CU142" i="2"/>
  <c r="CV142" i="2" s="1"/>
  <c r="AM155" i="2"/>
  <c r="BK168" i="2"/>
  <c r="CN168" i="2" s="1"/>
  <c r="BC181" i="2"/>
  <c r="BI181" i="2" s="1"/>
  <c r="BC187" i="2"/>
  <c r="BE203" i="2"/>
  <c r="AL214" i="2"/>
  <c r="CU215" i="2"/>
  <c r="CV215" i="2" s="1"/>
  <c r="BI28" i="2"/>
  <c r="BI59" i="2"/>
  <c r="BI63" i="2"/>
  <c r="CN103" i="2"/>
  <c r="CN106" i="2"/>
  <c r="CN110" i="2"/>
  <c r="BI121" i="2"/>
  <c r="BK126" i="2"/>
  <c r="CN126" i="2" s="1"/>
  <c r="AL128" i="2"/>
  <c r="CQ128" i="2" s="1"/>
  <c r="CN153" i="2"/>
  <c r="CN167" i="2"/>
  <c r="AL168" i="2"/>
  <c r="CQ168" i="2" s="1"/>
  <c r="AL182" i="2"/>
  <c r="BL182" i="2" s="1"/>
  <c r="BJ182" i="2" s="1"/>
  <c r="BH182" i="2"/>
  <c r="BL183" i="2"/>
  <c r="BJ183" i="2" s="1"/>
  <c r="BK209" i="2"/>
  <c r="BK23" i="2"/>
  <c r="CN23" i="2" s="1"/>
  <c r="AL30" i="2"/>
  <c r="CQ30" i="2" s="1"/>
  <c r="AM46" i="2"/>
  <c r="AM48" i="2"/>
  <c r="AM86" i="2"/>
  <c r="BH90" i="2"/>
  <c r="CO94" i="2"/>
  <c r="BL126" i="2"/>
  <c r="BJ126" i="2" s="1"/>
  <c r="CN128" i="2"/>
  <c r="AL132" i="2"/>
  <c r="CQ132" i="2" s="1"/>
  <c r="BK132" i="2"/>
  <c r="CN132" i="2" s="1"/>
  <c r="AL133" i="2"/>
  <c r="BL133" i="2" s="1"/>
  <c r="BJ133" i="2" s="1"/>
  <c r="AL136" i="2"/>
  <c r="CQ136" i="2" s="1"/>
  <c r="AM182" i="2"/>
  <c r="AL185" i="2"/>
  <c r="BL185" i="2" s="1"/>
  <c r="BJ185" i="2" s="1"/>
  <c r="BI194" i="2"/>
  <c r="AL195" i="2"/>
  <c r="BL195" i="2" s="1"/>
  <c r="BJ195" i="2" s="1"/>
  <c r="AL201" i="2"/>
  <c r="BL209" i="2"/>
  <c r="BJ209" i="2" s="1"/>
  <c r="AL213" i="2"/>
  <c r="BL224" i="2"/>
  <c r="BJ224" i="2" s="1"/>
  <c r="AM16" i="2"/>
  <c r="BH34" i="2"/>
  <c r="BK53" i="2"/>
  <c r="CN53" i="2" s="1"/>
  <c r="BH56" i="2"/>
  <c r="BK59" i="2"/>
  <c r="CN59" i="2" s="1"/>
  <c r="BH60" i="2"/>
  <c r="BR68" i="2"/>
  <c r="AL71" i="2"/>
  <c r="CQ71" i="2" s="1"/>
  <c r="BH82" i="2"/>
  <c r="BI84" i="2"/>
  <c r="BI89" i="2"/>
  <c r="BI90" i="2"/>
  <c r="BK109" i="2"/>
  <c r="CN109" i="2" s="1"/>
  <c r="AM115" i="2"/>
  <c r="AM117" i="2"/>
  <c r="AM119" i="2"/>
  <c r="AL122" i="2"/>
  <c r="CR129" i="2"/>
  <c r="CP129" i="2" s="1"/>
  <c r="CU141" i="2"/>
  <c r="CV141" i="2" s="1"/>
  <c r="BI148" i="2"/>
  <c r="CU148" i="2"/>
  <c r="CV148" i="2" s="1"/>
  <c r="BH153" i="2"/>
  <c r="BH160" i="2"/>
  <c r="AM165" i="2"/>
  <c r="AL189" i="2"/>
  <c r="BH195" i="2"/>
  <c r="AM212" i="2"/>
  <c r="BI215" i="2"/>
  <c r="AL218" i="2"/>
  <c r="BL218" i="2" s="1"/>
  <c r="BJ218" i="2" s="1"/>
  <c r="AL220" i="2"/>
  <c r="BL220" i="2" s="1"/>
  <c r="BJ220" i="2" s="1"/>
  <c r="AL222" i="2"/>
  <c r="BL222" i="2" s="1"/>
  <c r="BJ222" i="2" s="1"/>
  <c r="BH230" i="2"/>
  <c r="AL234" i="2"/>
  <c r="CU240" i="2"/>
  <c r="CV240" i="2" s="1"/>
  <c r="BI3" i="2"/>
  <c r="CQ20" i="2"/>
  <c r="BL20" i="2"/>
  <c r="BJ20" i="2" s="1"/>
  <c r="BL24" i="2"/>
  <c r="BJ24" i="2" s="1"/>
  <c r="CQ24" i="2"/>
  <c r="BL17" i="2"/>
  <c r="BJ17" i="2" s="1"/>
  <c r="CQ17" i="2"/>
  <c r="BI12" i="2"/>
  <c r="BL65" i="2"/>
  <c r="BJ65" i="2" s="1"/>
  <c r="BL13" i="2"/>
  <c r="BJ13" i="2" s="1"/>
  <c r="CQ13" i="2"/>
  <c r="CO4" i="2"/>
  <c r="CO5" i="2" s="1"/>
  <c r="CO6" i="2" s="1"/>
  <c r="CO7" i="2" s="1"/>
  <c r="CO8" i="2" s="1"/>
  <c r="CO9" i="2" s="1"/>
  <c r="CO10" i="2" s="1"/>
  <c r="CO11" i="2" s="1"/>
  <c r="CO12" i="2" s="1"/>
  <c r="CO13" i="2" s="1"/>
  <c r="BI20" i="2"/>
  <c r="BG17" i="2"/>
  <c r="BI17" i="2" s="1"/>
  <c r="CR99" i="2"/>
  <c r="CP99" i="2" s="1"/>
  <c r="CU5" i="2"/>
  <c r="CV5" i="2" s="1"/>
  <c r="P5" i="2" s="1"/>
  <c r="AM32" i="2"/>
  <c r="AL32" i="2"/>
  <c r="CQ32" i="2" s="1"/>
  <c r="CU34" i="2"/>
  <c r="CV34" i="2" s="1"/>
  <c r="BH35" i="2"/>
  <c r="BC35" i="2"/>
  <c r="BI35" i="2" s="1"/>
  <c r="AM37" i="2"/>
  <c r="AL37" i="2"/>
  <c r="CQ37" i="2" s="1"/>
  <c r="BH41" i="2"/>
  <c r="BC41" i="2"/>
  <c r="BI41" i="2" s="1"/>
  <c r="AM43" i="2"/>
  <c r="AL43" i="2"/>
  <c r="CQ43" i="2" s="1"/>
  <c r="BK47" i="2"/>
  <c r="CN47" i="2" s="1"/>
  <c r="AM50" i="2"/>
  <c r="BI53" i="2"/>
  <c r="CR61" i="2"/>
  <c r="CP61" i="2" s="1"/>
  <c r="CO62" i="2"/>
  <c r="CO63" i="2" s="1"/>
  <c r="CO64" i="2" s="1"/>
  <c r="CO65" i="2" s="1"/>
  <c r="CO66" i="2" s="1"/>
  <c r="CO67" i="2" s="1"/>
  <c r="CO68" i="2" s="1"/>
  <c r="CO69" i="2" s="1"/>
  <c r="CO70" i="2" s="1"/>
  <c r="CO71" i="2" s="1"/>
  <c r="CO72" i="2" s="1"/>
  <c r="CO73" i="2" s="1"/>
  <c r="CO74" i="2" s="1"/>
  <c r="CO75" i="2" s="1"/>
  <c r="CO76" i="2" s="1"/>
  <c r="CO77" i="2" s="1"/>
  <c r="BI64" i="2"/>
  <c r="BI65" i="2"/>
  <c r="BH66" i="2"/>
  <c r="BG66" i="2"/>
  <c r="BL74" i="2"/>
  <c r="BJ74" i="2" s="1"/>
  <c r="BK36" i="2"/>
  <c r="CN36" i="2" s="1"/>
  <c r="AL36" i="2"/>
  <c r="CQ36" i="2" s="1"/>
  <c r="BK42" i="2"/>
  <c r="CN42" i="2" s="1"/>
  <c r="AL42" i="2"/>
  <c r="CQ42" i="2" s="1"/>
  <c r="CU9" i="2"/>
  <c r="CV9" i="2" s="1"/>
  <c r="P9" i="2" s="1"/>
  <c r="BG13" i="2"/>
  <c r="BI13" i="2" s="1"/>
  <c r="AL4" i="2"/>
  <c r="CQ4" i="2" s="1"/>
  <c r="CU4" i="2"/>
  <c r="CV4" i="2" s="1"/>
  <c r="P4" i="2" s="1"/>
  <c r="BC7" i="2"/>
  <c r="BI7" i="2" s="1"/>
  <c r="AM9" i="2"/>
  <c r="BH9" i="2"/>
  <c r="AM13" i="2"/>
  <c r="AM15" i="2"/>
  <c r="BH15" i="2"/>
  <c r="AM17" i="2"/>
  <c r="BH18" i="2"/>
  <c r="BL22" i="2"/>
  <c r="BJ22" i="2" s="1"/>
  <c r="BH24" i="2"/>
  <c r="AM27" i="2"/>
  <c r="AL27" i="2"/>
  <c r="CQ27" i="2" s="1"/>
  <c r="BH28" i="2"/>
  <c r="BK29" i="2"/>
  <c r="CN29" i="2" s="1"/>
  <c r="BH33" i="2"/>
  <c r="BG34" i="2"/>
  <c r="BI34" i="2" s="1"/>
  <c r="AL50" i="2"/>
  <c r="BL84" i="2"/>
  <c r="BJ84" i="2" s="1"/>
  <c r="CQ84" i="2"/>
  <c r="BI46" i="2"/>
  <c r="BK54" i="2"/>
  <c r="CN54" i="2" s="1"/>
  <c r="AM54" i="2"/>
  <c r="AL54" i="2"/>
  <c r="CQ54" i="2" s="1"/>
  <c r="BG219" i="2"/>
  <c r="BH219" i="2"/>
  <c r="BC2" i="2"/>
  <c r="BI2" i="2" s="1"/>
  <c r="AM4" i="2"/>
  <c r="BC11" i="2"/>
  <c r="BI11" i="2" s="1"/>
  <c r="BC14" i="2"/>
  <c r="BI14" i="2" s="1"/>
  <c r="BC16" i="2"/>
  <c r="BI16" i="2" s="1"/>
  <c r="BC18" i="2"/>
  <c r="BI18" i="2" s="1"/>
  <c r="BL19" i="2"/>
  <c r="BJ19" i="2" s="1"/>
  <c r="AL23" i="2"/>
  <c r="CQ23" i="2" s="1"/>
  <c r="BH23" i="2"/>
  <c r="BC24" i="2"/>
  <c r="BI24" i="2" s="1"/>
  <c r="BK27" i="2"/>
  <c r="AM35" i="2"/>
  <c r="AL35" i="2"/>
  <c r="CQ35" i="2" s="1"/>
  <c r="AM36" i="2"/>
  <c r="BH39" i="2"/>
  <c r="BC39" i="2"/>
  <c r="BI39" i="2" s="1"/>
  <c r="AM41" i="2"/>
  <c r="AL41" i="2"/>
  <c r="CQ41" i="2" s="1"/>
  <c r="AM42" i="2"/>
  <c r="AL8" i="2"/>
  <c r="CQ8" i="2" s="1"/>
  <c r="CU8" i="2"/>
  <c r="CV8" i="2" s="1"/>
  <c r="P8" i="2" s="1"/>
  <c r="AL12" i="2"/>
  <c r="CQ12" i="2" s="1"/>
  <c r="CU12" i="2"/>
  <c r="CV12" i="2" s="1"/>
  <c r="P12" i="2" s="1"/>
  <c r="BK18" i="2"/>
  <c r="CN18" i="2" s="1"/>
  <c r="AM23" i="2"/>
  <c r="CU30" i="2"/>
  <c r="CV30" i="2" s="1"/>
  <c r="BL33" i="2"/>
  <c r="BJ33" i="2" s="1"/>
  <c r="AL34" i="2"/>
  <c r="BK35" i="2"/>
  <c r="CN35" i="2" s="1"/>
  <c r="BL36" i="2"/>
  <c r="BJ36" i="2" s="1"/>
  <c r="BK40" i="2"/>
  <c r="CN40" i="2" s="1"/>
  <c r="AL40" i="2"/>
  <c r="CQ40" i="2" s="1"/>
  <c r="BK41" i="2"/>
  <c r="CN41" i="2" s="1"/>
  <c r="AL46" i="2"/>
  <c r="BH57" i="2"/>
  <c r="BG57" i="2"/>
  <c r="BI57" i="2" s="1"/>
  <c r="BH68" i="2"/>
  <c r="BE68" i="2"/>
  <c r="BI68" i="2" s="1"/>
  <c r="BH119" i="2"/>
  <c r="BC119" i="2"/>
  <c r="BI119" i="2" s="1"/>
  <c r="AL3" i="2"/>
  <c r="CQ3" i="2" s="1"/>
  <c r="CU3" i="2"/>
  <c r="CV3" i="2" s="1"/>
  <c r="P3" i="2" s="1"/>
  <c r="BC6" i="2"/>
  <c r="BI6" i="2" s="1"/>
  <c r="AM8" i="2"/>
  <c r="AM12" i="2"/>
  <c r="BK24" i="2"/>
  <c r="CN24" i="2" s="1"/>
  <c r="AM24" i="2"/>
  <c r="BK28" i="2"/>
  <c r="BL35" i="2"/>
  <c r="BJ35" i="2" s="1"/>
  <c r="AM45" i="2"/>
  <c r="AL45" i="2"/>
  <c r="BI48" i="2"/>
  <c r="BI56" i="2"/>
  <c r="BK57" i="2"/>
  <c r="CN57" i="2" s="1"/>
  <c r="AM57" i="2"/>
  <c r="AL57" i="2"/>
  <c r="CQ57" i="2" s="1"/>
  <c r="CR58" i="2"/>
  <c r="CP58" i="2" s="1"/>
  <c r="BR69" i="2"/>
  <c r="BH71" i="2"/>
  <c r="BE71" i="2"/>
  <c r="BI71" i="2" s="1"/>
  <c r="BK145" i="2"/>
  <c r="CN145" i="2" s="1"/>
  <c r="AM145" i="2"/>
  <c r="AL145" i="2"/>
  <c r="CQ145" i="2" s="1"/>
  <c r="BL70" i="2"/>
  <c r="BJ70" i="2" s="1"/>
  <c r="BR70" i="2"/>
  <c r="BR101" i="2"/>
  <c r="CU7" i="2"/>
  <c r="CV7" i="2" s="1"/>
  <c r="P7" i="2" s="1"/>
  <c r="AR27" i="2"/>
  <c r="CO33" i="2"/>
  <c r="BH75" i="2"/>
  <c r="BE75" i="2"/>
  <c r="BI75" i="2" s="1"/>
  <c r="CR86" i="2"/>
  <c r="CP86" i="2" s="1"/>
  <c r="BH3" i="2"/>
  <c r="AL2" i="2"/>
  <c r="CU2" i="2"/>
  <c r="CV2" i="2" s="1"/>
  <c r="P2" i="2" s="1"/>
  <c r="AM7" i="2"/>
  <c r="AL11" i="2"/>
  <c r="CU11" i="2"/>
  <c r="CV11" i="2" s="1"/>
  <c r="P11" i="2" s="1"/>
  <c r="AL14" i="2"/>
  <c r="AL16" i="2"/>
  <c r="AL18" i="2"/>
  <c r="CQ18" i="2" s="1"/>
  <c r="AL21" i="2"/>
  <c r="CQ21" i="2" s="1"/>
  <c r="BH21" i="2"/>
  <c r="BC22" i="2"/>
  <c r="BI22" i="2" s="1"/>
  <c r="BK25" i="2"/>
  <c r="CN25" i="2" s="1"/>
  <c r="CU29" i="2"/>
  <c r="CV29" i="2" s="1"/>
  <c r="BC29" i="2"/>
  <c r="BI29" i="2" s="1"/>
  <c r="BH30" i="2"/>
  <c r="BC30" i="2"/>
  <c r="BI30" i="2" s="1"/>
  <c r="CU31" i="2"/>
  <c r="CV31" i="2" s="1"/>
  <c r="BH32" i="2"/>
  <c r="CU32" i="2"/>
  <c r="CV32" i="2" s="1"/>
  <c r="CO34" i="2"/>
  <c r="CO35" i="2" s="1"/>
  <c r="CO36" i="2" s="1"/>
  <c r="CO37" i="2" s="1"/>
  <c r="CO38" i="2" s="1"/>
  <c r="CO39" i="2" s="1"/>
  <c r="CO40" i="2" s="1"/>
  <c r="CO41" i="2" s="1"/>
  <c r="CO42" i="2" s="1"/>
  <c r="CO43" i="2" s="1"/>
  <c r="CO44" i="2" s="1"/>
  <c r="CO45" i="2" s="1"/>
  <c r="BH37" i="2"/>
  <c r="BC37" i="2"/>
  <c r="BI37" i="2" s="1"/>
  <c r="BE38" i="2"/>
  <c r="BI38" i="2" s="1"/>
  <c r="AM39" i="2"/>
  <c r="AL39" i="2"/>
  <c r="CQ39" i="2" s="1"/>
  <c r="AM40" i="2"/>
  <c r="BH43" i="2"/>
  <c r="BC43" i="2"/>
  <c r="BI43" i="2" s="1"/>
  <c r="BL45" i="2"/>
  <c r="BJ45" i="2" s="1"/>
  <c r="BK52" i="2"/>
  <c r="CN52" i="2" s="1"/>
  <c r="AM52" i="2"/>
  <c r="BE67" i="2"/>
  <c r="BI67" i="2" s="1"/>
  <c r="BK72" i="2"/>
  <c r="CN72" i="2" s="1"/>
  <c r="AM72" i="2"/>
  <c r="AL72" i="2"/>
  <c r="CQ72" i="2" s="1"/>
  <c r="BL37" i="2"/>
  <c r="BJ37" i="2" s="1"/>
  <c r="BK80" i="2"/>
  <c r="CN80" i="2" s="1"/>
  <c r="AM80" i="2"/>
  <c r="AL80" i="2"/>
  <c r="AM18" i="2"/>
  <c r="AM21" i="2"/>
  <c r="CQ26" i="2"/>
  <c r="CU33" i="2"/>
  <c r="CV33" i="2" s="1"/>
  <c r="BK38" i="2"/>
  <c r="CN38" i="2" s="1"/>
  <c r="AL38" i="2"/>
  <c r="CQ38" i="2" s="1"/>
  <c r="BK44" i="2"/>
  <c r="CN44" i="2" s="1"/>
  <c r="AM44" i="2"/>
  <c r="AL44" i="2"/>
  <c r="CQ44" i="2" s="1"/>
  <c r="CQ52" i="2"/>
  <c r="BL52" i="2"/>
  <c r="BJ52" i="2" s="1"/>
  <c r="BI54" i="2"/>
  <c r="BK68" i="2"/>
  <c r="CN68" i="2" s="1"/>
  <c r="AM68" i="2"/>
  <c r="AL68" i="2"/>
  <c r="CQ68" i="2" s="1"/>
  <c r="BH70" i="2"/>
  <c r="BC70" i="2"/>
  <c r="BK75" i="2"/>
  <c r="CN75" i="2" s="1"/>
  <c r="AM75" i="2"/>
  <c r="AL75" i="2"/>
  <c r="BH108" i="2"/>
  <c r="BC108" i="2"/>
  <c r="BI108" i="2" s="1"/>
  <c r="BL92" i="2"/>
  <c r="BJ92" i="2" s="1"/>
  <c r="CQ92" i="2"/>
  <c r="AM3" i="2"/>
  <c r="AL6" i="2"/>
  <c r="CQ6" i="2" s="1"/>
  <c r="CU6" i="2"/>
  <c r="CV6" i="2" s="1"/>
  <c r="P6" i="2" s="1"/>
  <c r="BK22" i="2"/>
  <c r="CN22" i="2" s="1"/>
  <c r="AM22" i="2"/>
  <c r="BH25" i="2"/>
  <c r="BH27" i="2"/>
  <c r="AM31" i="2"/>
  <c r="BI36" i="2"/>
  <c r="BI42" i="2"/>
  <c r="AL48" i="2"/>
  <c r="BL122" i="2"/>
  <c r="BJ122" i="2" s="1"/>
  <c r="CQ122" i="2"/>
  <c r="BK20" i="2"/>
  <c r="CN20" i="2" s="1"/>
  <c r="AM20" i="2"/>
  <c r="BK66" i="2"/>
  <c r="CN66" i="2" s="1"/>
  <c r="AM66" i="2"/>
  <c r="AL66" i="2"/>
  <c r="CQ66" i="2" s="1"/>
  <c r="BH20" i="2"/>
  <c r="AL25" i="2"/>
  <c r="CQ25" i="2" s="1"/>
  <c r="BC27" i="2"/>
  <c r="BI27" i="2" s="1"/>
  <c r="AL29" i="2"/>
  <c r="BK30" i="2"/>
  <c r="CN30" i="2" s="1"/>
  <c r="AM30" i="2"/>
  <c r="BK33" i="2"/>
  <c r="CN33" i="2" s="1"/>
  <c r="BI50" i="2"/>
  <c r="BE54" i="2"/>
  <c r="BL60" i="2"/>
  <c r="BJ60" i="2" s="1"/>
  <c r="BI66" i="2"/>
  <c r="BK67" i="2"/>
  <c r="CN67" i="2" s="1"/>
  <c r="AM67" i="2"/>
  <c r="AL67" i="2"/>
  <c r="CQ67" i="2" s="1"/>
  <c r="AR70" i="2"/>
  <c r="BG70" i="2"/>
  <c r="BE70" i="2"/>
  <c r="AH70" i="2"/>
  <c r="BH80" i="2"/>
  <c r="BG80" i="2"/>
  <c r="BI80" i="2" s="1"/>
  <c r="BH96" i="2"/>
  <c r="BC96" i="2"/>
  <c r="BI96" i="2" s="1"/>
  <c r="CN113" i="2"/>
  <c r="BH109" i="2"/>
  <c r="BC109" i="2"/>
  <c r="BI109" i="2" s="1"/>
  <c r="BH114" i="2"/>
  <c r="BC114" i="2"/>
  <c r="BI114" i="2" s="1"/>
  <c r="CU144" i="2"/>
  <c r="CV144" i="2" s="1"/>
  <c r="BH144" i="2"/>
  <c r="BC144" i="2"/>
  <c r="BI144" i="2" s="1"/>
  <c r="BH31" i="2"/>
  <c r="BH46" i="2"/>
  <c r="BH48" i="2"/>
  <c r="BH50" i="2"/>
  <c r="CR57" i="2"/>
  <c r="CP57" i="2" s="1"/>
  <c r="CR62" i="2"/>
  <c r="CP62" i="2" s="1"/>
  <c r="AR63" i="2"/>
  <c r="AM65" i="2"/>
  <c r="BH73" i="2"/>
  <c r="BH78" i="2"/>
  <c r="CR80" i="2"/>
  <c r="CP80" i="2" s="1"/>
  <c r="CQ85" i="2"/>
  <c r="BC87" i="2"/>
  <c r="BI87" i="2" s="1"/>
  <c r="BH88" i="2"/>
  <c r="CR90" i="2"/>
  <c r="CP90" i="2" s="1"/>
  <c r="BH95" i="2"/>
  <c r="BC95" i="2"/>
  <c r="BI95" i="2" s="1"/>
  <c r="BH98" i="2"/>
  <c r="BC98" i="2"/>
  <c r="BI98" i="2" s="1"/>
  <c r="BH110" i="2"/>
  <c r="BC110" i="2"/>
  <c r="BI110" i="2" s="1"/>
  <c r="BL112" i="2"/>
  <c r="BJ112" i="2" s="1"/>
  <c r="CU140" i="2"/>
  <c r="CV140" i="2" s="1"/>
  <c r="BA61" i="2"/>
  <c r="BL62" i="2"/>
  <c r="BJ62" i="2" s="1"/>
  <c r="BK63" i="2"/>
  <c r="CN63" i="2" s="1"/>
  <c r="AR64" i="2"/>
  <c r="BK70" i="2"/>
  <c r="CN70" i="2" s="1"/>
  <c r="BI73" i="2"/>
  <c r="CR82" i="2"/>
  <c r="CP82" i="2" s="1"/>
  <c r="BK88" i="2"/>
  <c r="CN88" i="2" s="1"/>
  <c r="BH91" i="2"/>
  <c r="BH92" i="2"/>
  <c r="BH99" i="2"/>
  <c r="BC99" i="2"/>
  <c r="BI99" i="2" s="1"/>
  <c r="BI111" i="2"/>
  <c r="BH116" i="2"/>
  <c r="BC116" i="2"/>
  <c r="BI116" i="2" s="1"/>
  <c r="CQ166" i="2"/>
  <c r="BL166" i="2"/>
  <c r="BJ166" i="2" s="1"/>
  <c r="BA62" i="2"/>
  <c r="BL63" i="2"/>
  <c r="BJ63" i="2" s="1"/>
  <c r="BK64" i="2"/>
  <c r="CN64" i="2" s="1"/>
  <c r="AR65" i="2"/>
  <c r="BI79" i="2"/>
  <c r="BI91" i="2"/>
  <c r="BH94" i="2"/>
  <c r="BC94" i="2"/>
  <c r="BI94" i="2" s="1"/>
  <c r="AM96" i="2"/>
  <c r="AL96" i="2"/>
  <c r="CQ96" i="2" s="1"/>
  <c r="BK96" i="2"/>
  <c r="CN96" i="2" s="1"/>
  <c r="BH100" i="2"/>
  <c r="BC100" i="2"/>
  <c r="BI100" i="2" s="1"/>
  <c r="BH124" i="2"/>
  <c r="BC124" i="2"/>
  <c r="BI124" i="2" s="1"/>
  <c r="CO126" i="2"/>
  <c r="CR126" i="2"/>
  <c r="CP126" i="2" s="1"/>
  <c r="BI131" i="2"/>
  <c r="BG132" i="2"/>
  <c r="BI132" i="2" s="1"/>
  <c r="BH132" i="2"/>
  <c r="BH140" i="2"/>
  <c r="BE140" i="2"/>
  <c r="BC45" i="2"/>
  <c r="BI45" i="2" s="1"/>
  <c r="BC58" i="2"/>
  <c r="BI58" i="2" s="1"/>
  <c r="BC61" i="2"/>
  <c r="BI61" i="2" s="1"/>
  <c r="BA63" i="2"/>
  <c r="BK65" i="2"/>
  <c r="CN65" i="2" s="1"/>
  <c r="BK79" i="2"/>
  <c r="CN79" i="2" s="1"/>
  <c r="BK87" i="2"/>
  <c r="CN87" i="2" s="1"/>
  <c r="AM87" i="2"/>
  <c r="AL87" i="2"/>
  <c r="CQ87" i="2" s="1"/>
  <c r="BK92" i="2"/>
  <c r="CN92" i="2" s="1"/>
  <c r="CR100" i="2"/>
  <c r="CP100" i="2" s="1"/>
  <c r="BH101" i="2"/>
  <c r="BC101" i="2"/>
  <c r="BI101" i="2" s="1"/>
  <c r="AM111" i="2"/>
  <c r="AL111" i="2"/>
  <c r="CQ111" i="2" s="1"/>
  <c r="BH118" i="2"/>
  <c r="BC118" i="2"/>
  <c r="BI118" i="2" s="1"/>
  <c r="BH158" i="2"/>
  <c r="BC158" i="2"/>
  <c r="BI158" i="2" s="1"/>
  <c r="AL204" i="2"/>
  <c r="BL204" i="2" s="1"/>
  <c r="BJ204" i="2" s="1"/>
  <c r="BK204" i="2"/>
  <c r="AM204" i="2"/>
  <c r="BA64" i="2"/>
  <c r="AM73" i="2"/>
  <c r="AL73" i="2"/>
  <c r="CQ73" i="2" s="1"/>
  <c r="AM78" i="2"/>
  <c r="AL78" i="2"/>
  <c r="CQ78" i="2" s="1"/>
  <c r="CR81" i="2"/>
  <c r="CP81" i="2" s="1"/>
  <c r="BI83" i="2"/>
  <c r="BL88" i="2"/>
  <c r="BJ88" i="2" s="1"/>
  <c r="CQ88" i="2"/>
  <c r="AM95" i="2"/>
  <c r="AL95" i="2"/>
  <c r="CQ95" i="2" s="1"/>
  <c r="BK95" i="2"/>
  <c r="CN95" i="2" s="1"/>
  <c r="BH102" i="2"/>
  <c r="BC102" i="2"/>
  <c r="BI102" i="2" s="1"/>
  <c r="BH113" i="2"/>
  <c r="BC113" i="2"/>
  <c r="BI113" i="2" s="1"/>
  <c r="CN122" i="2"/>
  <c r="BK151" i="2"/>
  <c r="CN151" i="2" s="1"/>
  <c r="AL151" i="2"/>
  <c r="AM151" i="2"/>
  <c r="AL47" i="2"/>
  <c r="CQ47" i="2" s="1"/>
  <c r="AL49" i="2"/>
  <c r="CQ49" i="2" s="1"/>
  <c r="AL51" i="2"/>
  <c r="AL53" i="2"/>
  <c r="AL56" i="2"/>
  <c r="BA65" i="2"/>
  <c r="AM70" i="2"/>
  <c r="BA72" i="2"/>
  <c r="BC74" i="2"/>
  <c r="BI74" i="2" s="1"/>
  <c r="BE76" i="2"/>
  <c r="BI76" i="2" s="1"/>
  <c r="BC82" i="2"/>
  <c r="BI82" i="2" s="1"/>
  <c r="BK91" i="2"/>
  <c r="CN91" i="2" s="1"/>
  <c r="AM91" i="2"/>
  <c r="AL91" i="2"/>
  <c r="CQ91" i="2" s="1"/>
  <c r="CR102" i="2"/>
  <c r="CP102" i="2" s="1"/>
  <c r="BH103" i="2"/>
  <c r="BC103" i="2"/>
  <c r="BI103" i="2" s="1"/>
  <c r="BH120" i="2"/>
  <c r="BC120" i="2"/>
  <c r="BI120" i="2" s="1"/>
  <c r="BK135" i="2"/>
  <c r="CN135" i="2" s="1"/>
  <c r="AM135" i="2"/>
  <c r="AL135" i="2"/>
  <c r="CQ135" i="2" s="1"/>
  <c r="AM47" i="2"/>
  <c r="AM49" i="2"/>
  <c r="AM51" i="2"/>
  <c r="AM53" i="2"/>
  <c r="CO55" i="2"/>
  <c r="CO56" i="2" s="1"/>
  <c r="CO57" i="2" s="1"/>
  <c r="CO58" i="2" s="1"/>
  <c r="CO59" i="2" s="1"/>
  <c r="CO60" i="2" s="1"/>
  <c r="AM56" i="2"/>
  <c r="AR69" i="2"/>
  <c r="CR71" i="2"/>
  <c r="CP71" i="2" s="1"/>
  <c r="BK73" i="2"/>
  <c r="CN73" i="2" s="1"/>
  <c r="BK78" i="2"/>
  <c r="CN78" i="2" s="1"/>
  <c r="AL79" i="2"/>
  <c r="CQ79" i="2" s="1"/>
  <c r="BH81" i="2"/>
  <c r="AM94" i="2"/>
  <c r="AL94" i="2"/>
  <c r="BK94" i="2"/>
  <c r="CN94" i="2" s="1"/>
  <c r="CR103" i="2"/>
  <c r="CP103" i="2" s="1"/>
  <c r="BH104" i="2"/>
  <c r="BC104" i="2"/>
  <c r="BI104" i="2" s="1"/>
  <c r="CO112" i="2"/>
  <c r="CO113" i="2" s="1"/>
  <c r="CO114" i="2" s="1"/>
  <c r="CO115" i="2" s="1"/>
  <c r="CO116" i="2" s="1"/>
  <c r="CO117" i="2" s="1"/>
  <c r="CO118" i="2" s="1"/>
  <c r="CO119" i="2" s="1"/>
  <c r="CO120" i="2" s="1"/>
  <c r="CO121" i="2" s="1"/>
  <c r="CO122" i="2" s="1"/>
  <c r="CO123" i="2" s="1"/>
  <c r="BH115" i="2"/>
  <c r="BC115" i="2"/>
  <c r="BI115" i="2" s="1"/>
  <c r="AM116" i="2"/>
  <c r="BK121" i="2"/>
  <c r="CN121" i="2" s="1"/>
  <c r="BG123" i="2"/>
  <c r="BI123" i="2" s="1"/>
  <c r="BH123" i="2"/>
  <c r="BK124" i="2"/>
  <c r="AM124" i="2"/>
  <c r="AL124" i="2"/>
  <c r="BL124" i="2" s="1"/>
  <c r="BJ124" i="2" s="1"/>
  <c r="BI129" i="2"/>
  <c r="BL131" i="2"/>
  <c r="BJ131" i="2" s="1"/>
  <c r="AR225" i="2"/>
  <c r="AM225" i="2"/>
  <c r="AH225" i="2"/>
  <c r="BK225" i="2"/>
  <c r="BC225" i="2"/>
  <c r="BK229" i="2"/>
  <c r="AM229" i="2"/>
  <c r="AL229" i="2"/>
  <c r="AL58" i="2"/>
  <c r="CQ58" i="2" s="1"/>
  <c r="AL61" i="2"/>
  <c r="CQ61" i="2" s="1"/>
  <c r="AH65" i="2"/>
  <c r="BA67" i="2"/>
  <c r="BI72" i="2"/>
  <c r="AM74" i="2"/>
  <c r="CR74" i="2"/>
  <c r="CP74" i="2" s="1"/>
  <c r="AL76" i="2"/>
  <c r="AM79" i="2"/>
  <c r="BK83" i="2"/>
  <c r="CN83" i="2" s="1"/>
  <c r="AM83" i="2"/>
  <c r="AL83" i="2"/>
  <c r="CQ83" i="2" s="1"/>
  <c r="BK84" i="2"/>
  <c r="CN84" i="2" s="1"/>
  <c r="CQ93" i="2"/>
  <c r="CR104" i="2"/>
  <c r="CP104" i="2" s="1"/>
  <c r="BH105" i="2"/>
  <c r="BC105" i="2"/>
  <c r="BI105" i="2" s="1"/>
  <c r="BK123" i="2"/>
  <c r="CN123" i="2" s="1"/>
  <c r="BK129" i="2"/>
  <c r="CN129" i="2" s="1"/>
  <c r="AM129" i="2"/>
  <c r="AL129" i="2"/>
  <c r="BI150" i="2"/>
  <c r="BL170" i="2"/>
  <c r="BJ170" i="2" s="1"/>
  <c r="CQ170" i="2"/>
  <c r="BL192" i="2"/>
  <c r="BJ192" i="2" s="1"/>
  <c r="BA71" i="2"/>
  <c r="AM76" i="2"/>
  <c r="CR105" i="2"/>
  <c r="CP105" i="2" s="1"/>
  <c r="BH106" i="2"/>
  <c r="BC106" i="2"/>
  <c r="BI106" i="2" s="1"/>
  <c r="BH117" i="2"/>
  <c r="BC117" i="2"/>
  <c r="BI117" i="2" s="1"/>
  <c r="CQ126" i="2"/>
  <c r="BG127" i="2"/>
  <c r="BI127" i="2" s="1"/>
  <c r="BH127" i="2"/>
  <c r="AM130" i="2"/>
  <c r="BK130" i="2"/>
  <c r="CN130" i="2" s="1"/>
  <c r="AL130" i="2"/>
  <c r="CQ130" i="2" s="1"/>
  <c r="BL147" i="2"/>
  <c r="BJ147" i="2" s="1"/>
  <c r="CQ147" i="2"/>
  <c r="CR78" i="2"/>
  <c r="CP78" i="2" s="1"/>
  <c r="CO95" i="2"/>
  <c r="CO96" i="2" s="1"/>
  <c r="CO97" i="2" s="1"/>
  <c r="CO98" i="2" s="1"/>
  <c r="CO99" i="2" s="1"/>
  <c r="CO100" i="2" s="1"/>
  <c r="CO101" i="2" s="1"/>
  <c r="CO102" i="2" s="1"/>
  <c r="CO103" i="2" s="1"/>
  <c r="CO104" i="2" s="1"/>
  <c r="CO105" i="2" s="1"/>
  <c r="CO106" i="2" s="1"/>
  <c r="CO107" i="2" s="1"/>
  <c r="CO108" i="2" s="1"/>
  <c r="CO109" i="2" s="1"/>
  <c r="CR106" i="2"/>
  <c r="CP106" i="2" s="1"/>
  <c r="BH107" i="2"/>
  <c r="BC107" i="2"/>
  <c r="BI107" i="2" s="1"/>
  <c r="CR111" i="2"/>
  <c r="CP111" i="2" s="1"/>
  <c r="BH112" i="2"/>
  <c r="BC112" i="2"/>
  <c r="BI112" i="2" s="1"/>
  <c r="AM113" i="2"/>
  <c r="AM123" i="2"/>
  <c r="BK127" i="2"/>
  <c r="CN127" i="2" s="1"/>
  <c r="AM127" i="2"/>
  <c r="CQ156" i="2"/>
  <c r="BL156" i="2"/>
  <c r="BJ156" i="2" s="1"/>
  <c r="BK211" i="2"/>
  <c r="AM211" i="2"/>
  <c r="CR112" i="2"/>
  <c r="CP112" i="2" s="1"/>
  <c r="CR113" i="2"/>
  <c r="CP113" i="2" s="1"/>
  <c r="CR114" i="2"/>
  <c r="CP114" i="2" s="1"/>
  <c r="CR115" i="2"/>
  <c r="CP115" i="2" s="1"/>
  <c r="CR116" i="2"/>
  <c r="CP116" i="2" s="1"/>
  <c r="CR117" i="2"/>
  <c r="CP117" i="2" s="1"/>
  <c r="CR118" i="2"/>
  <c r="CP118" i="2" s="1"/>
  <c r="CR119" i="2"/>
  <c r="CP119" i="2" s="1"/>
  <c r="CR120" i="2"/>
  <c r="CP120" i="2" s="1"/>
  <c r="AM134" i="2"/>
  <c r="AL134" i="2"/>
  <c r="CQ134" i="2" s="1"/>
  <c r="BK134" i="2"/>
  <c r="CN134" i="2" s="1"/>
  <c r="BI139" i="2"/>
  <c r="CR144" i="2"/>
  <c r="CP144" i="2" s="1"/>
  <c r="BI145" i="2"/>
  <c r="BK147" i="2"/>
  <c r="CN147" i="2" s="1"/>
  <c r="CU147" i="2"/>
  <c r="CV147" i="2" s="1"/>
  <c r="BK154" i="2"/>
  <c r="CN154" i="2" s="1"/>
  <c r="AM154" i="2"/>
  <c r="AL154" i="2"/>
  <c r="CQ162" i="2"/>
  <c r="BL162" i="2"/>
  <c r="BJ162" i="2" s="1"/>
  <c r="BL167" i="2"/>
  <c r="BJ167" i="2" s="1"/>
  <c r="CQ167" i="2"/>
  <c r="BC201" i="2"/>
  <c r="BI201" i="2" s="1"/>
  <c r="BH201" i="2"/>
  <c r="BE231" i="2"/>
  <c r="BI231" i="2" s="1"/>
  <c r="CU231" i="2"/>
  <c r="CV231" i="2" s="1"/>
  <c r="BH231" i="2"/>
  <c r="BH130" i="2"/>
  <c r="BC130" i="2"/>
  <c r="BI130" i="2" s="1"/>
  <c r="BK136" i="2"/>
  <c r="CN136" i="2" s="1"/>
  <c r="AM136" i="2"/>
  <c r="BI140" i="2"/>
  <c r="BC143" i="2"/>
  <c r="BI143" i="2" s="1"/>
  <c r="BH143" i="2"/>
  <c r="CU143" i="2"/>
  <c r="CV143" i="2" s="1"/>
  <c r="BL164" i="2"/>
  <c r="BJ164" i="2" s="1"/>
  <c r="CQ164" i="2"/>
  <c r="BK175" i="2"/>
  <c r="CN175" i="2" s="1"/>
  <c r="AM175" i="2"/>
  <c r="BL229" i="2"/>
  <c r="BJ229" i="2" s="1"/>
  <c r="BK231" i="2"/>
  <c r="AM231" i="2"/>
  <c r="AL231" i="2"/>
  <c r="BL231" i="2" s="1"/>
  <c r="BJ231" i="2" s="1"/>
  <c r="AM88" i="2"/>
  <c r="AM92" i="2"/>
  <c r="AL127" i="2"/>
  <c r="BK140" i="2"/>
  <c r="CN140" i="2" s="1"/>
  <c r="AL140" i="2"/>
  <c r="CQ140" i="2" s="1"/>
  <c r="CR152" i="2"/>
  <c r="CP152" i="2" s="1"/>
  <c r="BH155" i="2"/>
  <c r="BC155" i="2"/>
  <c r="BI155" i="2" s="1"/>
  <c r="AL161" i="2"/>
  <c r="AM166" i="2"/>
  <c r="BK174" i="2"/>
  <c r="CN174" i="2" s="1"/>
  <c r="AL174" i="2"/>
  <c r="CU184" i="2"/>
  <c r="CV184" i="2" s="1"/>
  <c r="BH184" i="2"/>
  <c r="BK190" i="2"/>
  <c r="AL190" i="2"/>
  <c r="BL190" i="2" s="1"/>
  <c r="BJ190" i="2" s="1"/>
  <c r="BG190" i="2"/>
  <c r="BI190" i="2" s="1"/>
  <c r="CU190" i="2"/>
  <c r="CV190" i="2" s="1"/>
  <c r="AM205" i="2"/>
  <c r="BK205" i="2"/>
  <c r="CQ169" i="2"/>
  <c r="BL169" i="2"/>
  <c r="BJ169" i="2" s="1"/>
  <c r="BL205" i="2"/>
  <c r="BJ205" i="2" s="1"/>
  <c r="AM122" i="2"/>
  <c r="CR123" i="2"/>
  <c r="CP123" i="2" s="1"/>
  <c r="BC126" i="2"/>
  <c r="BI126" i="2" s="1"/>
  <c r="BH126" i="2"/>
  <c r="BL132" i="2"/>
  <c r="BJ132" i="2" s="1"/>
  <c r="CQ133" i="2"/>
  <c r="BL136" i="2"/>
  <c r="BJ136" i="2" s="1"/>
  <c r="BH149" i="2"/>
  <c r="BC149" i="2"/>
  <c r="BI149" i="2" s="1"/>
  <c r="CQ153" i="2"/>
  <c r="BL153" i="2"/>
  <c r="BJ153" i="2" s="1"/>
  <c r="AL163" i="2"/>
  <c r="BG163" i="2"/>
  <c r="BI163" i="2" s="1"/>
  <c r="BH174" i="2"/>
  <c r="BL191" i="2"/>
  <c r="BJ191" i="2" s="1"/>
  <c r="BK203" i="2"/>
  <c r="AM203" i="2"/>
  <c r="BC209" i="2"/>
  <c r="BI209" i="2" s="1"/>
  <c r="BH209" i="2"/>
  <c r="AL210" i="2"/>
  <c r="BL210" i="2" s="1"/>
  <c r="BJ210" i="2" s="1"/>
  <c r="BK210" i="2"/>
  <c r="AM210" i="2"/>
  <c r="AL112" i="2"/>
  <c r="AL113" i="2"/>
  <c r="AL114" i="2"/>
  <c r="AL115" i="2"/>
  <c r="AL116" i="2"/>
  <c r="AL117" i="2"/>
  <c r="AL118" i="2"/>
  <c r="BL118" i="2" s="1"/>
  <c r="BJ118" i="2" s="1"/>
  <c r="AL119" i="2"/>
  <c r="BL119" i="2" s="1"/>
  <c r="BJ119" i="2" s="1"/>
  <c r="AL120" i="2"/>
  <c r="BL120" i="2" s="1"/>
  <c r="BJ120" i="2" s="1"/>
  <c r="AL121" i="2"/>
  <c r="CQ121" i="2" s="1"/>
  <c r="BC128" i="2"/>
  <c r="BI128" i="2" s="1"/>
  <c r="AL137" i="2"/>
  <c r="CQ137" i="2" s="1"/>
  <c r="AM140" i="2"/>
  <c r="AM144" i="2"/>
  <c r="AL144" i="2"/>
  <c r="BH152" i="2"/>
  <c r="BC152" i="2"/>
  <c r="BI152" i="2" s="1"/>
  <c r="AM163" i="2"/>
  <c r="AM174" i="2"/>
  <c r="CU183" i="2"/>
  <c r="CV183" i="2" s="1"/>
  <c r="BH183" i="2"/>
  <c r="BC183" i="2"/>
  <c r="BI183" i="2" s="1"/>
  <c r="BC186" i="2"/>
  <c r="BI186" i="2" s="1"/>
  <c r="BH186" i="2"/>
  <c r="AM190" i="2"/>
  <c r="AL215" i="2"/>
  <c r="BL215" i="2" s="1"/>
  <c r="BJ215" i="2" s="1"/>
  <c r="AM215" i="2"/>
  <c r="BL234" i="2"/>
  <c r="BJ234" i="2" s="1"/>
  <c r="AM121" i="2"/>
  <c r="AM137" i="2"/>
  <c r="AL141" i="2"/>
  <c r="BG141" i="2"/>
  <c r="BI141" i="2" s="1"/>
  <c r="CQ143" i="2"/>
  <c r="CU146" i="2"/>
  <c r="CV146" i="2" s="1"/>
  <c r="CQ160" i="2"/>
  <c r="BL160" i="2"/>
  <c r="BJ160" i="2" s="1"/>
  <c r="AL165" i="2"/>
  <c r="BK165" i="2"/>
  <c r="CN165" i="2" s="1"/>
  <c r="BK176" i="2"/>
  <c r="AM176" i="2"/>
  <c r="AL203" i="2"/>
  <c r="BL203" i="2" s="1"/>
  <c r="BJ203" i="2" s="1"/>
  <c r="BA218" i="2"/>
  <c r="BK218" i="2"/>
  <c r="AR218" i="2"/>
  <c r="AM218" i="2"/>
  <c r="AH218" i="2"/>
  <c r="CW218" i="2" s="1"/>
  <c r="AL82" i="2"/>
  <c r="AL86" i="2"/>
  <c r="CQ86" i="2" s="1"/>
  <c r="AL90" i="2"/>
  <c r="CQ90" i="2" s="1"/>
  <c r="AL97" i="2"/>
  <c r="CQ97" i="2" s="1"/>
  <c r="BI146" i="2"/>
  <c r="CN149" i="2"/>
  <c r="BL150" i="2"/>
  <c r="BJ150" i="2" s="1"/>
  <c r="BK157" i="2"/>
  <c r="CN157" i="2" s="1"/>
  <c r="AM157" i="2"/>
  <c r="AL157" i="2"/>
  <c r="AM160" i="2"/>
  <c r="BK162" i="2"/>
  <c r="CN162" i="2" s="1"/>
  <c r="AM162" i="2"/>
  <c r="BK189" i="2"/>
  <c r="AM189" i="2"/>
  <c r="AH222" i="2"/>
  <c r="CW222" i="2" s="1"/>
  <c r="BA222" i="2"/>
  <c r="BK222" i="2"/>
  <c r="AR222" i="2"/>
  <c r="AM222" i="2"/>
  <c r="AL98" i="2"/>
  <c r="AL99" i="2"/>
  <c r="CQ99" i="2" s="1"/>
  <c r="AL100" i="2"/>
  <c r="AL101" i="2"/>
  <c r="CQ101" i="2" s="1"/>
  <c r="AL102" i="2"/>
  <c r="CQ102" i="2" s="1"/>
  <c r="AL103" i="2"/>
  <c r="AL104" i="2"/>
  <c r="AL105" i="2"/>
  <c r="CQ105" i="2" s="1"/>
  <c r="AL106" i="2"/>
  <c r="CQ106" i="2" s="1"/>
  <c r="AL107" i="2"/>
  <c r="CQ107" i="2" s="1"/>
  <c r="AL108" i="2"/>
  <c r="AL109" i="2"/>
  <c r="AL110" i="2"/>
  <c r="AQ112" i="2"/>
  <c r="AQ113" i="2"/>
  <c r="AQ114" i="2"/>
  <c r="AQ115" i="2"/>
  <c r="AQ116" i="2"/>
  <c r="AQ117" i="2"/>
  <c r="AQ118" i="2"/>
  <c r="AQ119" i="2"/>
  <c r="AQ120" i="2"/>
  <c r="BH129" i="2"/>
  <c r="BH131" i="2"/>
  <c r="CN133" i="2"/>
  <c r="BH135" i="2"/>
  <c r="AM149" i="2"/>
  <c r="AL149" i="2"/>
  <c r="BH154" i="2"/>
  <c r="CR158" i="2"/>
  <c r="CP158" i="2" s="1"/>
  <c r="BL168" i="2"/>
  <c r="BJ168" i="2" s="1"/>
  <c r="BI170" i="2"/>
  <c r="BH202" i="2"/>
  <c r="BL207" i="2"/>
  <c r="BJ207" i="2" s="1"/>
  <c r="BH225" i="2"/>
  <c r="BG225" i="2"/>
  <c r="BI135" i="2"/>
  <c r="BH136" i="2"/>
  <c r="CR143" i="2"/>
  <c r="CP143" i="2" s="1"/>
  <c r="CU145" i="2"/>
  <c r="CV145" i="2" s="1"/>
  <c r="BH145" i="2"/>
  <c r="BK146" i="2"/>
  <c r="CN146" i="2" s="1"/>
  <c r="AL146" i="2"/>
  <c r="CQ146" i="2" s="1"/>
  <c r="BI147" i="2"/>
  <c r="BI151" i="2"/>
  <c r="AM152" i="2"/>
  <c r="AL152" i="2"/>
  <c r="BE154" i="2"/>
  <c r="BI154" i="2" s="1"/>
  <c r="BK164" i="2"/>
  <c r="CN164" i="2" s="1"/>
  <c r="AM164" i="2"/>
  <c r="CN171" i="2"/>
  <c r="AL176" i="2"/>
  <c r="BL176" i="2" s="1"/>
  <c r="BJ176" i="2" s="1"/>
  <c r="BH185" i="2"/>
  <c r="BH188" i="2"/>
  <c r="BC188" i="2"/>
  <c r="BI188" i="2" s="1"/>
  <c r="CU188" i="2"/>
  <c r="CV188" i="2" s="1"/>
  <c r="AL202" i="2"/>
  <c r="BL202" i="2" s="1"/>
  <c r="BJ202" i="2" s="1"/>
  <c r="BK202" i="2"/>
  <c r="AM202" i="2"/>
  <c r="BC217" i="2"/>
  <c r="BI217" i="2" s="1"/>
  <c r="CU217" i="2"/>
  <c r="CV217" i="2" s="1"/>
  <c r="BH217" i="2"/>
  <c r="BC136" i="2"/>
  <c r="BI136" i="2" s="1"/>
  <c r="BI162" i="2"/>
  <c r="BI164" i="2"/>
  <c r="CQ172" i="2"/>
  <c r="AL179" i="2"/>
  <c r="BL179" i="2" s="1"/>
  <c r="BJ179" i="2" s="1"/>
  <c r="BK179" i="2"/>
  <c r="BL180" i="2"/>
  <c r="BJ180" i="2" s="1"/>
  <c r="AL192" i="2"/>
  <c r="AM194" i="2"/>
  <c r="AL196" i="2"/>
  <c r="BL196" i="2" s="1"/>
  <c r="BJ196" i="2" s="1"/>
  <c r="BK196" i="2"/>
  <c r="AM196" i="2"/>
  <c r="BI202" i="2"/>
  <c r="BI203" i="2"/>
  <c r="AM207" i="2"/>
  <c r="BH207" i="2"/>
  <c r="BI210" i="2"/>
  <c r="AL212" i="2"/>
  <c r="BL212" i="2" s="1"/>
  <c r="BJ212" i="2" s="1"/>
  <c r="BE214" i="2"/>
  <c r="BH218" i="2"/>
  <c r="BA219" i="2"/>
  <c r="AR219" i="2"/>
  <c r="BC219" i="2"/>
  <c r="BC222" i="2"/>
  <c r="BI222" i="2" s="1"/>
  <c r="BH222" i="2"/>
  <c r="BK239" i="2"/>
  <c r="AM239" i="2"/>
  <c r="CO16" i="4"/>
  <c r="BJ16" i="4"/>
  <c r="BH16" i="4" s="1"/>
  <c r="AK12" i="4"/>
  <c r="AK15" i="4"/>
  <c r="AJ15" i="4"/>
  <c r="BL213" i="2"/>
  <c r="BJ213" i="2" s="1"/>
  <c r="BL214" i="2"/>
  <c r="BJ214" i="2" s="1"/>
  <c r="CW225" i="2"/>
  <c r="BK236" i="2"/>
  <c r="AM236" i="2"/>
  <c r="BK241" i="2"/>
  <c r="AL241" i="2"/>
  <c r="BL241" i="2" s="1"/>
  <c r="BJ241" i="2" s="1"/>
  <c r="CR171" i="2"/>
  <c r="CP171" i="2" s="1"/>
  <c r="CU178" i="2"/>
  <c r="CV178" i="2" s="1"/>
  <c r="BC180" i="2"/>
  <c r="BI180" i="2" s="1"/>
  <c r="CU180" i="2"/>
  <c r="CV180" i="2" s="1"/>
  <c r="BK185" i="2"/>
  <c r="AM185" i="2"/>
  <c r="AL186" i="2"/>
  <c r="BL186" i="2" s="1"/>
  <c r="BJ186" i="2" s="1"/>
  <c r="BK188" i="2"/>
  <c r="AM188" i="2"/>
  <c r="CU194" i="2"/>
  <c r="CV194" i="2" s="1"/>
  <c r="BH197" i="2"/>
  <c r="BI198" i="2"/>
  <c r="BH200" i="2"/>
  <c r="BC200" i="2"/>
  <c r="BI200" i="2" s="1"/>
  <c r="BI208" i="2"/>
  <c r="BK216" i="2"/>
  <c r="BA221" i="2"/>
  <c r="AR221" i="2"/>
  <c r="BC221" i="2"/>
  <c r="BI221" i="2" s="1"/>
  <c r="BC224" i="2"/>
  <c r="BI224" i="2" s="1"/>
  <c r="BH224" i="2"/>
  <c r="CM15" i="4"/>
  <c r="CP15" i="4"/>
  <c r="CN15" i="4" s="1"/>
  <c r="BL189" i="2"/>
  <c r="BJ189" i="2" s="1"/>
  <c r="CU196" i="2"/>
  <c r="CV196" i="2" s="1"/>
  <c r="BH196" i="2"/>
  <c r="AL216" i="2"/>
  <c r="BL216" i="2" s="1"/>
  <c r="BJ216" i="2" s="1"/>
  <c r="BK228" i="2"/>
  <c r="AM228" i="2"/>
  <c r="BK233" i="2"/>
  <c r="AM233" i="2"/>
  <c r="AL233" i="2"/>
  <c r="BL233" i="2" s="1"/>
  <c r="BJ233" i="2" s="1"/>
  <c r="BE235" i="2"/>
  <c r="BI235" i="2" s="1"/>
  <c r="CU235" i="2"/>
  <c r="CV235" i="2" s="1"/>
  <c r="BH235" i="2"/>
  <c r="AM241" i="2"/>
  <c r="BA16" i="4"/>
  <c r="BG16" i="4" s="1"/>
  <c r="BF16" i="4"/>
  <c r="CR161" i="2"/>
  <c r="CP161" i="2" s="1"/>
  <c r="CR165" i="2"/>
  <c r="CP165" i="2" s="1"/>
  <c r="CR174" i="2"/>
  <c r="CP174" i="2" s="1"/>
  <c r="BL175" i="2"/>
  <c r="BJ175" i="2" s="1"/>
  <c r="CU177" i="2"/>
  <c r="CV177" i="2" s="1"/>
  <c r="BC177" i="2"/>
  <c r="BI177" i="2" s="1"/>
  <c r="AL181" i="2"/>
  <c r="BL181" i="2" s="1"/>
  <c r="BJ181" i="2" s="1"/>
  <c r="BG187" i="2"/>
  <c r="BI187" i="2" s="1"/>
  <c r="BL188" i="2"/>
  <c r="BJ188" i="2" s="1"/>
  <c r="BC196" i="2"/>
  <c r="BI196" i="2" s="1"/>
  <c r="BI206" i="2"/>
  <c r="BL211" i="2"/>
  <c r="BJ211" i="2" s="1"/>
  <c r="BK217" i="2"/>
  <c r="AM219" i="2"/>
  <c r="BC220" i="2"/>
  <c r="BI220" i="2" s="1"/>
  <c r="BH220" i="2"/>
  <c r="BK235" i="2"/>
  <c r="AM235" i="2"/>
  <c r="AL236" i="2"/>
  <c r="BL236" i="2" s="1"/>
  <c r="BJ236" i="2" s="1"/>
  <c r="BH237" i="2"/>
  <c r="BL238" i="2"/>
  <c r="BJ238" i="2" s="1"/>
  <c r="BH240" i="2"/>
  <c r="BG240" i="2"/>
  <c r="BI240" i="2" s="1"/>
  <c r="CO175" i="2"/>
  <c r="CR175" i="2"/>
  <c r="CP175" i="2" s="1"/>
  <c r="BH179" i="2"/>
  <c r="BE179" i="2"/>
  <c r="BI179" i="2" s="1"/>
  <c r="AM181" i="2"/>
  <c r="BK181" i="2"/>
  <c r="AM186" i="2"/>
  <c r="BC192" i="2"/>
  <c r="BI192" i="2" s="1"/>
  <c r="CU192" i="2"/>
  <c r="CV192" i="2" s="1"/>
  <c r="BI195" i="2"/>
  <c r="BK197" i="2"/>
  <c r="AM197" i="2"/>
  <c r="AL198" i="2"/>
  <c r="BL198" i="2" s="1"/>
  <c r="BJ198" i="2" s="1"/>
  <c r="CU199" i="2"/>
  <c r="CV199" i="2" s="1"/>
  <c r="BK200" i="2"/>
  <c r="AM200" i="2"/>
  <c r="AM201" i="2"/>
  <c r="BK201" i="2"/>
  <c r="AL208" i="2"/>
  <c r="BL208" i="2" s="1"/>
  <c r="BJ208" i="2" s="1"/>
  <c r="AM217" i="2"/>
  <c r="BL217" i="2"/>
  <c r="BJ217" i="2" s="1"/>
  <c r="AH224" i="2"/>
  <c r="CW224" i="2" s="1"/>
  <c r="BA224" i="2"/>
  <c r="BK224" i="2"/>
  <c r="AR224" i="2"/>
  <c r="AM224" i="2"/>
  <c r="BE227" i="2"/>
  <c r="BI227" i="2" s="1"/>
  <c r="CU227" i="2"/>
  <c r="CV227" i="2" s="1"/>
  <c r="BH227" i="2"/>
  <c r="BH232" i="2"/>
  <c r="AL155" i="2"/>
  <c r="AL158" i="2"/>
  <c r="BH180" i="2"/>
  <c r="AL187" i="2"/>
  <c r="BL187" i="2" s="1"/>
  <c r="BJ187" i="2" s="1"/>
  <c r="BK187" i="2"/>
  <c r="BL201" i="2"/>
  <c r="BJ201" i="2" s="1"/>
  <c r="BC213" i="2"/>
  <c r="BI213" i="2" s="1"/>
  <c r="CU213" i="2"/>
  <c r="CV213" i="2" s="1"/>
  <c r="AM226" i="2"/>
  <c r="AL226" i="2"/>
  <c r="BL226" i="2" s="1"/>
  <c r="BJ226" i="2" s="1"/>
  <c r="AL228" i="2"/>
  <c r="BL228" i="2" s="1"/>
  <c r="BJ228" i="2" s="1"/>
  <c r="BL230" i="2"/>
  <c r="BJ230" i="2" s="1"/>
  <c r="AK11" i="4"/>
  <c r="AJ11" i="4"/>
  <c r="BH165" i="2"/>
  <c r="BI168" i="2"/>
  <c r="BH171" i="2"/>
  <c r="BE171" i="2"/>
  <c r="BI171" i="2" s="1"/>
  <c r="BH176" i="2"/>
  <c r="BC176" i="2"/>
  <c r="BI176" i="2" s="1"/>
  <c r="AL177" i="2"/>
  <c r="BL177" i="2" s="1"/>
  <c r="BJ177" i="2" s="1"/>
  <c r="BK178" i="2"/>
  <c r="AL178" i="2"/>
  <c r="BL178" i="2" s="1"/>
  <c r="BJ178" i="2" s="1"/>
  <c r="AM193" i="2"/>
  <c r="BH198" i="2"/>
  <c r="BG199" i="2"/>
  <c r="BI204" i="2"/>
  <c r="BH208" i="2"/>
  <c r="CU214" i="2"/>
  <c r="CV214" i="2" s="1"/>
  <c r="BC214" i="2"/>
  <c r="AH220" i="2"/>
  <c r="CW220" i="2" s="1"/>
  <c r="BA220" i="2"/>
  <c r="BK220" i="2"/>
  <c r="AR220" i="2"/>
  <c r="AM220" i="2"/>
  <c r="BA223" i="2"/>
  <c r="AR223" i="2"/>
  <c r="BC223" i="2"/>
  <c r="BI223" i="2" s="1"/>
  <c r="AL235" i="2"/>
  <c r="BL235" i="2" s="1"/>
  <c r="BJ235" i="2" s="1"/>
  <c r="BI161" i="2"/>
  <c r="BH162" i="2"/>
  <c r="BI165" i="2"/>
  <c r="BI167" i="2"/>
  <c r="AJ173" i="2"/>
  <c r="BK173" i="2" s="1"/>
  <c r="CN173" i="2" s="1"/>
  <c r="AG173" i="2"/>
  <c r="BH173" i="2"/>
  <c r="BE173" i="2"/>
  <c r="BI173" i="2" s="1"/>
  <c r="BH178" i="2"/>
  <c r="AM180" i="2"/>
  <c r="BK180" i="2"/>
  <c r="CU189" i="2"/>
  <c r="CV189" i="2" s="1"/>
  <c r="BC189" i="2"/>
  <c r="BI189" i="2" s="1"/>
  <c r="BH191" i="2"/>
  <c r="BE191" i="2"/>
  <c r="BI191" i="2" s="1"/>
  <c r="AL194" i="2"/>
  <c r="BL194" i="2" s="1"/>
  <c r="BJ194" i="2" s="1"/>
  <c r="BH194" i="2"/>
  <c r="AL197" i="2"/>
  <c r="BL197" i="2" s="1"/>
  <c r="BJ197" i="2" s="1"/>
  <c r="AM198" i="2"/>
  <c r="BK198" i="2"/>
  <c r="AL200" i="2"/>
  <c r="BL200" i="2" s="1"/>
  <c r="BJ200" i="2" s="1"/>
  <c r="AL206" i="2"/>
  <c r="BL206" i="2" s="1"/>
  <c r="BJ206" i="2" s="1"/>
  <c r="BH206" i="2"/>
  <c r="AM208" i="2"/>
  <c r="BK208" i="2"/>
  <c r="BI211" i="2"/>
  <c r="AH214" i="2"/>
  <c r="CU216" i="2"/>
  <c r="CV216" i="2" s="1"/>
  <c r="BC216" i="2"/>
  <c r="BI216" i="2" s="1"/>
  <c r="BK227" i="2"/>
  <c r="BK232" i="2"/>
  <c r="AM232" i="2"/>
  <c r="BK237" i="2"/>
  <c r="AM237" i="2"/>
  <c r="AL237" i="2"/>
  <c r="BL237" i="2"/>
  <c r="BJ237" i="2" s="1"/>
  <c r="BE239" i="2"/>
  <c r="BI239" i="2" s="1"/>
  <c r="CU239" i="2"/>
  <c r="CV239" i="2" s="1"/>
  <c r="BH239" i="2"/>
  <c r="BI241" i="2"/>
  <c r="BF15" i="4"/>
  <c r="BE15" i="4"/>
  <c r="BG15" i="4" s="1"/>
  <c r="AM184" i="2"/>
  <c r="BC185" i="2"/>
  <c r="BI185" i="2" s="1"/>
  <c r="BK193" i="2"/>
  <c r="BC197" i="2"/>
  <c r="BI197" i="2" s="1"/>
  <c r="BE199" i="2"/>
  <c r="BI199" i="2" s="1"/>
  <c r="AR215" i="2"/>
  <c r="BA216" i="2"/>
  <c r="BC228" i="2"/>
  <c r="BI228" i="2" s="1"/>
  <c r="CU228" i="2"/>
  <c r="CV228" i="2" s="1"/>
  <c r="BC232" i="2"/>
  <c r="BI232" i="2" s="1"/>
  <c r="CU232" i="2"/>
  <c r="CV232" i="2" s="1"/>
  <c r="BC236" i="2"/>
  <c r="BI236" i="2" s="1"/>
  <c r="CU236" i="2"/>
  <c r="CV236" i="2" s="1"/>
  <c r="BK230" i="2"/>
  <c r="BK234" i="2"/>
  <c r="BK238" i="2"/>
  <c r="BA215" i="2"/>
  <c r="BC229" i="2"/>
  <c r="BI229" i="2" s="1"/>
  <c r="CU229" i="2"/>
  <c r="CV229" i="2" s="1"/>
  <c r="BC233" i="2"/>
  <c r="BI233" i="2" s="1"/>
  <c r="CU233" i="2"/>
  <c r="CV233" i="2" s="1"/>
  <c r="BC237" i="2"/>
  <c r="BI237" i="2" s="1"/>
  <c r="CU237" i="2"/>
  <c r="CV237" i="2" s="1"/>
  <c r="BI16" i="4"/>
  <c r="CL16" i="4" s="1"/>
  <c r="CU181" i="2"/>
  <c r="CV181" i="2" s="1"/>
  <c r="CU193" i="2"/>
  <c r="CV193" i="2" s="1"/>
  <c r="AL219" i="2"/>
  <c r="BL219" i="2" s="1"/>
  <c r="BJ219" i="2" s="1"/>
  <c r="AL221" i="2"/>
  <c r="BL221" i="2" s="1"/>
  <c r="BJ221" i="2" s="1"/>
  <c r="AL223" i="2"/>
  <c r="BL223" i="2" s="1"/>
  <c r="BJ223" i="2" s="1"/>
  <c r="AL193" i="2"/>
  <c r="BL193" i="2" s="1"/>
  <c r="BJ193" i="2" s="1"/>
  <c r="BC226" i="2"/>
  <c r="BI226" i="2" s="1"/>
  <c r="BE230" i="2"/>
  <c r="BI230" i="2" s="1"/>
  <c r="BE234" i="2"/>
  <c r="BI234" i="2" s="1"/>
  <c r="BE238" i="2"/>
  <c r="BI238" i="2" s="1"/>
  <c r="CM16" i="4"/>
  <c r="BL64" i="2" l="1"/>
  <c r="BJ64" i="2" s="1"/>
  <c r="BL55" i="2"/>
  <c r="BJ55" i="2" s="1"/>
  <c r="BL128" i="2"/>
  <c r="BJ128" i="2" s="1"/>
  <c r="BI214" i="2"/>
  <c r="BL148" i="2"/>
  <c r="BJ148" i="2" s="1"/>
  <c r="BL40" i="2"/>
  <c r="BJ40" i="2" s="1"/>
  <c r="BL30" i="2"/>
  <c r="BJ30" i="2" s="1"/>
  <c r="BL27" i="2"/>
  <c r="BJ27" i="2" s="1"/>
  <c r="BL81" i="2"/>
  <c r="BJ81" i="2" s="1"/>
  <c r="BL140" i="2"/>
  <c r="BJ140" i="2" s="1"/>
  <c r="BL69" i="2"/>
  <c r="BJ69" i="2" s="1"/>
  <c r="BL44" i="2"/>
  <c r="BJ44" i="2" s="1"/>
  <c r="BL10" i="2"/>
  <c r="BJ10" i="2" s="1"/>
  <c r="BL43" i="2"/>
  <c r="BJ43" i="2" s="1"/>
  <c r="BL123" i="2"/>
  <c r="BJ123" i="2" s="1"/>
  <c r="CQ123" i="2"/>
  <c r="BL68" i="2"/>
  <c r="BJ68" i="2" s="1"/>
  <c r="BL41" i="2"/>
  <c r="BJ41" i="2" s="1"/>
  <c r="BL18" i="2"/>
  <c r="BJ18" i="2" s="1"/>
  <c r="CQ142" i="2"/>
  <c r="BL142" i="2"/>
  <c r="BJ142" i="2" s="1"/>
  <c r="BL91" i="2"/>
  <c r="BJ91" i="2" s="1"/>
  <c r="BL87" i="2"/>
  <c r="BJ87" i="2" s="1"/>
  <c r="BL9" i="2"/>
  <c r="BJ9" i="2" s="1"/>
  <c r="BI225" i="2"/>
  <c r="BL61" i="2"/>
  <c r="BJ61" i="2" s="1"/>
  <c r="CQ15" i="2"/>
  <c r="BL31" i="2"/>
  <c r="BJ31" i="2" s="1"/>
  <c r="BL71" i="2"/>
  <c r="BJ71" i="2" s="1"/>
  <c r="BL130" i="2"/>
  <c r="BJ130" i="2" s="1"/>
  <c r="BL135" i="2"/>
  <c r="BJ135" i="2" s="1"/>
  <c r="BL121" i="2"/>
  <c r="BJ121" i="2" s="1"/>
  <c r="BL77" i="2"/>
  <c r="BJ77" i="2" s="1"/>
  <c r="BL3" i="2"/>
  <c r="BJ3" i="2" s="1"/>
  <c r="BL8" i="2"/>
  <c r="BJ8" i="2" s="1"/>
  <c r="BL5" i="2"/>
  <c r="BJ5" i="2" s="1"/>
  <c r="BL134" i="2"/>
  <c r="BJ134" i="2" s="1"/>
  <c r="BL83" i="2"/>
  <c r="BJ83" i="2" s="1"/>
  <c r="BL96" i="2"/>
  <c r="BJ96" i="2" s="1"/>
  <c r="CQ159" i="2"/>
  <c r="BL159" i="2"/>
  <c r="BJ159" i="2" s="1"/>
  <c r="BL89" i="2"/>
  <c r="BJ89" i="2" s="1"/>
  <c r="CQ152" i="2"/>
  <c r="BL152" i="2"/>
  <c r="BJ152" i="2" s="1"/>
  <c r="CQ149" i="2"/>
  <c r="BL149" i="2"/>
  <c r="BJ149" i="2" s="1"/>
  <c r="AL173" i="2"/>
  <c r="CQ144" i="2"/>
  <c r="BL144" i="2"/>
  <c r="BJ144" i="2" s="1"/>
  <c r="CQ115" i="2"/>
  <c r="BL154" i="2"/>
  <c r="BJ154" i="2" s="1"/>
  <c r="CQ154" i="2"/>
  <c r="BL111" i="2"/>
  <c r="BJ111" i="2" s="1"/>
  <c r="BL101" i="2"/>
  <c r="BJ101" i="2" s="1"/>
  <c r="BL50" i="2"/>
  <c r="BJ50" i="2" s="1"/>
  <c r="CQ50" i="2"/>
  <c r="BL21" i="2"/>
  <c r="BJ21" i="2" s="1"/>
  <c r="BL100" i="2"/>
  <c r="BJ100" i="2" s="1"/>
  <c r="CQ100" i="2"/>
  <c r="CQ82" i="2"/>
  <c r="BL82" i="2"/>
  <c r="BJ82" i="2" s="1"/>
  <c r="CQ165" i="2"/>
  <c r="BL165" i="2"/>
  <c r="BJ165" i="2" s="1"/>
  <c r="CQ113" i="2"/>
  <c r="BL113" i="2"/>
  <c r="BJ113" i="2" s="1"/>
  <c r="AM173" i="2"/>
  <c r="BL102" i="2"/>
  <c r="BJ102" i="2" s="1"/>
  <c r="BL79" i="2"/>
  <c r="BJ79" i="2" s="1"/>
  <c r="BL76" i="2"/>
  <c r="BJ76" i="2" s="1"/>
  <c r="CQ76" i="2"/>
  <c r="CQ94" i="2"/>
  <c r="BL94" i="2"/>
  <c r="BJ94" i="2" s="1"/>
  <c r="BI70" i="2"/>
  <c r="BL86" i="2"/>
  <c r="BJ86" i="2" s="1"/>
  <c r="CQ158" i="2"/>
  <c r="BL158" i="2"/>
  <c r="BJ158" i="2" s="1"/>
  <c r="BL157" i="2"/>
  <c r="BJ157" i="2" s="1"/>
  <c r="CQ157" i="2"/>
  <c r="CQ112" i="2"/>
  <c r="CQ56" i="2"/>
  <c r="BL56" i="2"/>
  <c r="BJ56" i="2" s="1"/>
  <c r="BL67" i="2"/>
  <c r="BJ67" i="2" s="1"/>
  <c r="BL32" i="2"/>
  <c r="BJ32" i="2" s="1"/>
  <c r="BL4" i="2"/>
  <c r="BJ4" i="2" s="1"/>
  <c r="BL2" i="2"/>
  <c r="BJ2" i="2" s="1"/>
  <c r="CQ2" i="2"/>
  <c r="CQ155" i="2"/>
  <c r="BL155" i="2"/>
  <c r="BJ155" i="2" s="1"/>
  <c r="CQ110" i="2"/>
  <c r="BL110" i="2"/>
  <c r="BJ110" i="2" s="1"/>
  <c r="BL98" i="2"/>
  <c r="BJ98" i="2" s="1"/>
  <c r="CQ98" i="2"/>
  <c r="CQ163" i="2"/>
  <c r="BL163" i="2"/>
  <c r="BJ163" i="2" s="1"/>
  <c r="CQ127" i="2"/>
  <c r="BL127" i="2"/>
  <c r="BJ127" i="2" s="1"/>
  <c r="BL146" i="2"/>
  <c r="BJ146" i="2" s="1"/>
  <c r="CQ53" i="2"/>
  <c r="BL53" i="2"/>
  <c r="BJ53" i="2" s="1"/>
  <c r="CQ29" i="2"/>
  <c r="BL29" i="2"/>
  <c r="BJ29" i="2" s="1"/>
  <c r="BL145" i="2"/>
  <c r="BJ145" i="2" s="1"/>
  <c r="CQ34" i="2"/>
  <c r="BL34" i="2"/>
  <c r="BJ34" i="2" s="1"/>
  <c r="CQ114" i="2"/>
  <c r="BL48" i="2"/>
  <c r="BJ48" i="2" s="1"/>
  <c r="CQ48" i="2"/>
  <c r="BL23" i="2"/>
  <c r="BJ23" i="2" s="1"/>
  <c r="BL108" i="2"/>
  <c r="BJ108" i="2" s="1"/>
  <c r="CQ108" i="2"/>
  <c r="CQ174" i="2"/>
  <c r="BL174" i="2"/>
  <c r="BJ174" i="2" s="1"/>
  <c r="BL115" i="2"/>
  <c r="BJ115" i="2" s="1"/>
  <c r="BL25" i="2"/>
  <c r="BJ25" i="2" s="1"/>
  <c r="BL54" i="2"/>
  <c r="BJ54" i="2" s="1"/>
  <c r="BL6" i="2"/>
  <c r="BJ6" i="2" s="1"/>
  <c r="CQ120" i="2"/>
  <c r="BL97" i="2"/>
  <c r="BJ97" i="2" s="1"/>
  <c r="BL39" i="2"/>
  <c r="BJ39" i="2" s="1"/>
  <c r="CQ16" i="2"/>
  <c r="BL16" i="2"/>
  <c r="BJ16" i="2" s="1"/>
  <c r="CW27" i="2"/>
  <c r="CN27" i="2"/>
  <c r="BI219" i="2"/>
  <c r="BL141" i="2"/>
  <c r="BJ141" i="2" s="1"/>
  <c r="CQ141" i="2"/>
  <c r="CQ119" i="2"/>
  <c r="BL95" i="2"/>
  <c r="BJ95" i="2" s="1"/>
  <c r="BL105" i="2"/>
  <c r="BJ105" i="2" s="1"/>
  <c r="BL80" i="2"/>
  <c r="BJ80" i="2" s="1"/>
  <c r="CQ80" i="2"/>
  <c r="CQ14" i="2"/>
  <c r="BL14" i="2"/>
  <c r="BJ14" i="2" s="1"/>
  <c r="BL57" i="2"/>
  <c r="BJ57" i="2" s="1"/>
  <c r="BL78" i="2"/>
  <c r="BJ78" i="2" s="1"/>
  <c r="CQ46" i="2"/>
  <c r="BL46" i="2"/>
  <c r="BJ46" i="2" s="1"/>
  <c r="BL38" i="2"/>
  <c r="BJ38" i="2" s="1"/>
  <c r="BJ15" i="4"/>
  <c r="BH15" i="4" s="1"/>
  <c r="CO15" i="4"/>
  <c r="CQ118" i="2"/>
  <c r="CQ161" i="2"/>
  <c r="BL161" i="2"/>
  <c r="BJ161" i="2" s="1"/>
  <c r="BL129" i="2"/>
  <c r="BJ129" i="2" s="1"/>
  <c r="CQ129" i="2"/>
  <c r="BL151" i="2"/>
  <c r="BJ151" i="2" s="1"/>
  <c r="CQ151" i="2"/>
  <c r="BL114" i="2"/>
  <c r="BJ114" i="2" s="1"/>
  <c r="BL72" i="2"/>
  <c r="BJ72" i="2" s="1"/>
  <c r="BL106" i="2"/>
  <c r="BJ106" i="2" s="1"/>
  <c r="BL12" i="2"/>
  <c r="BJ12" i="2" s="1"/>
  <c r="BL109" i="2"/>
  <c r="BJ109" i="2" s="1"/>
  <c r="CQ109" i="2"/>
  <c r="CQ104" i="2"/>
  <c r="BL104" i="2"/>
  <c r="BJ104" i="2" s="1"/>
  <c r="BL137" i="2"/>
  <c r="BJ137" i="2" s="1"/>
  <c r="CQ117" i="2"/>
  <c r="BL117" i="2"/>
  <c r="BJ117" i="2" s="1"/>
  <c r="BL107" i="2"/>
  <c r="BJ107" i="2" s="1"/>
  <c r="BL90" i="2"/>
  <c r="BJ90" i="2" s="1"/>
  <c r="CQ11" i="2"/>
  <c r="BL11" i="2"/>
  <c r="BJ11" i="2" s="1"/>
  <c r="BL42" i="2"/>
  <c r="BJ42" i="2" s="1"/>
  <c r="BL73" i="2"/>
  <c r="BJ73" i="2" s="1"/>
  <c r="BL49" i="2"/>
  <c r="BJ49" i="2" s="1"/>
  <c r="CQ51" i="2"/>
  <c r="BL51" i="2"/>
  <c r="BJ51" i="2" s="1"/>
  <c r="CQ103" i="2"/>
  <c r="BL103" i="2"/>
  <c r="BJ103" i="2" s="1"/>
  <c r="CQ116" i="2"/>
  <c r="BL116" i="2"/>
  <c r="BJ116" i="2" s="1"/>
  <c r="BL99" i="2"/>
  <c r="BJ99" i="2" s="1"/>
  <c r="BL75" i="2"/>
  <c r="BJ75" i="2" s="1"/>
  <c r="CQ75" i="2"/>
  <c r="BL66" i="2"/>
  <c r="BJ66" i="2" s="1"/>
  <c r="BL58" i="2"/>
  <c r="BJ58" i="2" s="1"/>
  <c r="BL47" i="2"/>
  <c r="BJ47" i="2" s="1"/>
  <c r="CQ173" i="2" l="1"/>
  <c r="BL173" i="2"/>
  <c r="BJ17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tc={181BFE2D-F556-4AB4-8826-6484504EE9C7}</author>
    <author>tc={A89FE8FB-39DD-46A3-93E3-5D1D0213EC25}</author>
    <author>tc={345E6F36-AE81-4E0D-85F2-401C67827A23}</author>
    <author>tc={866165CE-65D1-443E-BD86-A713007F9081}</author>
    <author>tc={422088AC-53A0-4E25-9875-4D4A9BF8467B}</author>
    <author>tc={BDD1C341-2449-44A2-AB42-B5AECE9A182E}</author>
    <author>tc={9333919F-E363-4ED7-9AB5-835E93E613A2}</author>
    <author>tc={74FA3009-5A20-4334-ADD6-17D0426C79D0}</author>
    <author>tc={C370DE83-215C-4F12-A483-5A142D7DF260}</author>
    <author>tc={883E2FFC-B73E-48C8-89AE-ED12138BC8BD}</author>
    <author>tc={C3AAF3F1-20DA-459C-8D21-5DD6A8B5ACFB}</author>
    <author>tc={17F3FEA9-71D5-4329-9701-0F000971341C}</author>
    <author>tc={A5040416-3481-4E14-871B-DE0048ABB937}</author>
    <author>tc={5FDBC5AD-9497-4C47-B1E9-F894008EAF83}</author>
    <author>tc={F38C07DA-6FB7-499F-8A81-40884DD44C36}</author>
    <author>tc={C28CAFA5-C2A7-400C-BDF0-E48994217910}</author>
    <author>tc={6B88ADF1-575B-4C7B-8CA0-967FF12EBF5B}</author>
  </authors>
  <commentList>
    <comment ref="F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  </r>
      </text>
    </comment>
    <comment ref="CP1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  </r>
      </text>
    </comment>
    <comment ref="CQ1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  </r>
      </text>
    </comment>
    <comment ref="CW1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 referente a calculo de geração com a tarifa da proposta (uma tarifa diferente do que é fatura)</t>
        </r>
      </text>
    </comment>
    <comment ref="BS94" authorId="4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Jussara</t>
        </r>
      </text>
    </comment>
    <comment ref="BV94" authorId="5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  </r>
      </text>
    </comment>
    <comment ref="BY94" authorId="6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Acreúna</t>
        </r>
      </text>
    </comment>
    <comment ref="BV95" authorId="7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Uruaçu</t>
        </r>
      </text>
    </comment>
    <comment ref="BM110" authorId="8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  </r>
      </text>
    </comment>
    <comment ref="BN110" authorId="9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Itaberaí</t>
        </r>
      </text>
    </comment>
    <comment ref="BS110" authorId="1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Nova Crixas</t>
        </r>
      </text>
    </comment>
    <comment ref="BV110" authorId="11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Piranhas</t>
        </r>
      </text>
    </comment>
    <comment ref="BS125" authorId="12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10901760</t>
        </r>
      </text>
    </comment>
    <comment ref="BV125" authorId="13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220011576</t>
        </r>
      </text>
    </comment>
    <comment ref="BY125" authorId="14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10011001389</t>
        </r>
      </text>
    </comment>
    <comment ref="CB125" authorId="15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10018607487</t>
        </r>
      </text>
    </comment>
    <comment ref="CE125" authorId="16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10029559730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tc={82EADE53-5109-45DC-AED8-76A44E01F806}</author>
    <author>tc={BA3FED6C-D174-4B8B-A972-A53A9CE86A62}</author>
    <author>tc={B254F8F7-7406-4431-BF22-974255689506}</author>
    <author>tc={7C7B2D1A-01FF-4423-ADDD-53D532C01B07}</author>
  </authors>
  <commentList>
    <comment ref="F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META DE GERAÇÃO KWH
</t>
        </r>
      </text>
    </comment>
    <comment ref="AF1" authorId="1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RECEITA GERADA DE ACORDO COM A TARIFA
</t>
        </r>
      </text>
    </comment>
    <comment ref="CN1" authorId="2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Z2 = Tarifa FORA PONTA</t>
        </r>
      </text>
    </comment>
    <comment ref="CO1" authorId="3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da formula verificado com Aline</t>
        </r>
      </text>
    </comment>
  </commentList>
</comments>
</file>

<file path=xl/sharedStrings.xml><?xml version="1.0" encoding="utf-8"?>
<sst xmlns="http://schemas.openxmlformats.org/spreadsheetml/2006/main" count="2073" uniqueCount="350">
  <si>
    <t>Cenário 1- Placas no Telhado da Loja Matriz na Castelo Branco</t>
  </si>
  <si>
    <t>Valor</t>
  </si>
  <si>
    <t>Potência -Kwp</t>
  </si>
  <si>
    <t>Retorno do Investimento Sem Adição de Demanda</t>
  </si>
  <si>
    <t>Retorno do Investimento Com Adição de Demanda</t>
  </si>
  <si>
    <t>Aditivo Mensal de Demanda</t>
  </si>
  <si>
    <t>Proposta considerando sistema 100% em Telhado</t>
  </si>
  <si>
    <t>2 Anos 11 meses</t>
  </si>
  <si>
    <t>3 Anos 4 meses</t>
  </si>
  <si>
    <t>120 Kwh</t>
  </si>
  <si>
    <t>Cenário 2 - Usina em Solo</t>
  </si>
  <si>
    <t>Proposta considerando sistema 100% em solo</t>
  </si>
  <si>
    <t>3 anos e 2 meses</t>
  </si>
  <si>
    <t>4 anos e 3 meses</t>
  </si>
  <si>
    <t>250 Kwh</t>
  </si>
  <si>
    <t>Cenário 3 - Divisão entre os Telhados da Matriz e da Loja de Vianópolis</t>
  </si>
  <si>
    <t>Retorno do Investimento Sem Adição de Demanda para telhado na Fabrica atual</t>
  </si>
  <si>
    <t>Placas no Telhado da Loja Matriz na Castelo Branco</t>
  </si>
  <si>
    <t>3 anos e 5 meses</t>
  </si>
  <si>
    <t>Placas no Telhado da Loja de Vianópolis</t>
  </si>
  <si>
    <t>Total</t>
  </si>
  <si>
    <t>COMPARATIVOS ENTRE AS OPÇÕES DE CENÁRIOS POSSÍVEIS</t>
  </si>
  <si>
    <t>Diferença entre Opção Telhado Particionado e 100% Solo</t>
  </si>
  <si>
    <t>Sem Adição de Demanda.</t>
  </si>
  <si>
    <t>Diferença entre Opção 100% Telhado e 100% Solo</t>
  </si>
  <si>
    <t>Com Adição de Demanda. De 4 a 8 mil mensais a depender da opção escolhida</t>
  </si>
  <si>
    <t>Grupo</t>
  </si>
  <si>
    <t>UC</t>
  </si>
  <si>
    <t>USINA</t>
  </si>
  <si>
    <t>ENDEREÇO</t>
  </si>
  <si>
    <t>USINA ATIVADA</t>
  </si>
  <si>
    <t>PROPOSTA GERAÇÃO   kWh</t>
  </si>
  <si>
    <t xml:space="preserve">PROPOSTA  TARIFA </t>
  </si>
  <si>
    <t>PROPOSTA GERAÇÃO  R$</t>
  </si>
  <si>
    <t xml:space="preserve">MONITORAMENTO </t>
  </si>
  <si>
    <t>INVERSORES</t>
  </si>
  <si>
    <t>MÓDULOS</t>
  </si>
  <si>
    <t>LIMPEZA USINA (DATA)</t>
  </si>
  <si>
    <t>MÊS DE REF. DA FATURA</t>
  </si>
  <si>
    <t>CICLO</t>
  </si>
  <si>
    <t>VALOR DA FATURA</t>
  </si>
  <si>
    <t>TROCA DE MODALIDADE</t>
  </si>
  <si>
    <t>DEMANDA</t>
  </si>
  <si>
    <t>QUANTIDADE DE DEMANDA</t>
  </si>
  <si>
    <t>UFER</t>
  </si>
  <si>
    <t>MULTAS E JUROS</t>
  </si>
  <si>
    <t>ILUMINAÇÃO PÚBLICA</t>
  </si>
  <si>
    <t>MED. MEMÓRIA DE MASSA</t>
  </si>
  <si>
    <t>IMPOSTOS (ICMS SOBRE TUSD)</t>
  </si>
  <si>
    <t>AUDITORIA SIMER</t>
  </si>
  <si>
    <t>MANUTENÇÃO</t>
  </si>
  <si>
    <t>OUTROS</t>
  </si>
  <si>
    <t>TARIFA DEMANDA</t>
  </si>
  <si>
    <t>TARIFA P</t>
  </si>
  <si>
    <t>TARIFA FP/HR</t>
  </si>
  <si>
    <t>GERAÇÃO P (kWh)</t>
  </si>
  <si>
    <t>GERACAO FP (kWh)</t>
  </si>
  <si>
    <t>GERACAO HR (kWh)</t>
  </si>
  <si>
    <t>GERACAO TOTAL  (kWh)</t>
  </si>
  <si>
    <t>GERACAO TOTAL (R$)</t>
  </si>
  <si>
    <t>SIMULTANEO PONTA</t>
  </si>
  <si>
    <t>SIMULTANEO FP</t>
  </si>
  <si>
    <t>SIMULTANEO HR</t>
  </si>
  <si>
    <t>SIMULTANEO TOTAL (kWh)</t>
  </si>
  <si>
    <t>SIMULTANEO TOTAL (R$)</t>
  </si>
  <si>
    <t xml:space="preserve"> C. REGISTRADO CONCESSIONARIA PONTA</t>
  </si>
  <si>
    <t>C. REGISTRADO CONCESSIONARIA FP</t>
  </si>
  <si>
    <t>C. REGISTRADO CONCESSIONARIA HR</t>
  </si>
  <si>
    <t>C. REGISTRADO CONCESSIONARIA TOTAL (kWh)</t>
  </si>
  <si>
    <t>C. REGISTRADO CONCESSIONARIA TOTAL (R$)</t>
  </si>
  <si>
    <t xml:space="preserve"> INJETADA CONCESSIONARIA  PONTA</t>
  </si>
  <si>
    <t xml:space="preserve"> INJETADA CONCESSIONARIA  FP</t>
  </si>
  <si>
    <t xml:space="preserve"> INJETADA CONCESSIONARIA  HR</t>
  </si>
  <si>
    <t xml:space="preserve"> INJETADA CONCESSIONARIA  TOTAL</t>
  </si>
  <si>
    <t>COMPENSADA CONCESSIONARIA PONTA</t>
  </si>
  <si>
    <t>COMPENSADA CONCESSIONARIA FP</t>
  </si>
  <si>
    <t>COMPENSADA CONCESSIONARIA HR</t>
  </si>
  <si>
    <t>COMPENSADA CONCESSIONARIA TOTAL (kWh)</t>
  </si>
  <si>
    <t>COMPENSADA CONCESSIONARIA TOTAL (R$)</t>
  </si>
  <si>
    <t>CONSUMO FATURADO CONCESSIONARIA PONTA (KWH)</t>
  </si>
  <si>
    <t>VALOR FATURADO CONCESSIONARIA PONTA (R$)</t>
  </si>
  <si>
    <t>CONSUMO FATURADO CONCESSIONARIA FP (KWH)</t>
  </si>
  <si>
    <t>VALOR FATURADO CONCESSIONARIA FP (R$)</t>
  </si>
  <si>
    <t>CONSUMO FATURADO CONCESSIONARIA HR (KWH)</t>
  </si>
  <si>
    <t>VALOR FATURADO CONCESSIONARIA HR (R$)</t>
  </si>
  <si>
    <t>CONSUMO TOTAL FATURADO  CONCESSIONARIA (kWh)</t>
  </si>
  <si>
    <t>VALOR TOTAL FATURADO  CONCESSIONARIA (R$)</t>
  </si>
  <si>
    <t>ENERGIA UTILIZADA DA GERAÇÃO (kWh)</t>
  </si>
  <si>
    <t>VALOR COMPENSADO DA GERAÇÃO NA UC</t>
  </si>
  <si>
    <t>COMPENSADO + SIMULT DA GERAÇÃO UTILIZADA NA UC (kWh)</t>
  </si>
  <si>
    <t>COMPENSADO DA GERAÇÃO UTILIZADA NA UC DE RATEIO 1 (kWh) (P)</t>
  </si>
  <si>
    <t>COMPENSADO DA GERAÇÃO UTILIZADA NA UC DE RATEIO 1 (kWh) (FP/HR)</t>
  </si>
  <si>
    <t>TARIFA DA COMPENSAÇÃO RATEIO 1  (P)</t>
  </si>
  <si>
    <t>TARIFA DA COMPENSAÇÃO RATEIO 1  (FP/HR)</t>
  </si>
  <si>
    <t>VALOR COMPENSADO DA  GERAÇÃO UTILIZADO NA UC DE RATEIO 1 (P)</t>
  </si>
  <si>
    <t>VALOR COMPENSADO DA  GERAÇÃO UTILIZADO NA UC DE RATEIO 1 (FP/HR)</t>
  </si>
  <si>
    <t>COMPENSADO DA GERAÇÃO UTILIZADA NA UC DE RATEIO 2 (kWh)</t>
  </si>
  <si>
    <t>TARIFA DA COMPENSAÇÃO RATEIO 2</t>
  </si>
  <si>
    <t>VALOR COMPENSADO DA  GERAÇÃO UTILIZADO NA UC DE RATEIO 2</t>
  </si>
  <si>
    <t>COMPENSADO DA GERAÇÃO UTILIZADA NA UC DE RATEIO 3 (kWh)</t>
  </si>
  <si>
    <t>TARIFA DA COMPENSAÇÃO RATEIO 3</t>
  </si>
  <si>
    <t>VALOR COMPENSADO DA  GERAÇÃO UTILIZADO NA UC DE RATEIO 3</t>
  </si>
  <si>
    <t>COMPENSADO DA GERAÇÃO UTILIZADA NA UC DE RATEIO 4 (kWh)</t>
  </si>
  <si>
    <t>TARIFA DA COMPENSAÇÃO RATEIO 4</t>
  </si>
  <si>
    <t>VALOR COMPENSADO DA  GERAÇÃO UTILIZADO NA UC DE RATEIO 4</t>
  </si>
  <si>
    <t>COMPENSADO DA GERAÇÃO UTILIZADA NA UC DE RATEIO 5 (kWh)</t>
  </si>
  <si>
    <t>TARIFA DA COMPENSAÇÃO RATEIO 5</t>
  </si>
  <si>
    <t>VALOR COMPENSADO DA  GERAÇÃO UTILIZADO NA UC DE RATEIO 5</t>
  </si>
  <si>
    <t>COMPENSADO DA GERAÇÃO UTILIZADA NA UC DE RATEIO 6 (kWh)</t>
  </si>
  <si>
    <t>TARIFA DA COMPENSAÇÃO RATEIO 6</t>
  </si>
  <si>
    <t>VALOR COMPENSADO DA  GERAÇÃO UTILIZADO NA UC DE RATEIO 6</t>
  </si>
  <si>
    <t>COMPENSADO DA GERAÇÃO UTILIZADA NA UC DE RATEIO 7 (kWh)</t>
  </si>
  <si>
    <t>TARIFA DA COMPENSAÇÃO RATEIO 7</t>
  </si>
  <si>
    <t>VALOR COMPENSADO DA  GERAÇÃO UTILIZADO NA UC DE RATEIO 7</t>
  </si>
  <si>
    <t>COMPENSADO DA GERAÇÃO UTILIZADA NA UC DE RATEIO 8 (kWh)</t>
  </si>
  <si>
    <t>TARIFA DA COMPENSAÇÃO RATEIO 8</t>
  </si>
  <si>
    <t>VALOR COMPENSADO DA  GERAÇÃO UTILIZADO NA UC DE RATEIO 8</t>
  </si>
  <si>
    <t>VALOR TOTAL COMPENSADO DA GERAÇÃO UTIZADO EM TODAS UCS</t>
  </si>
  <si>
    <t>SALDO BANCO DE CRÉDITO (kWh)</t>
  </si>
  <si>
    <t>VALOR DO BANCO DE CRÉDITO EM  R$</t>
  </si>
  <si>
    <t>CONSUMO TOTAL DA UNIDADE (kWh)</t>
  </si>
  <si>
    <t>SALDO BANCO DE CRÉDITO MENSAL (kWh)</t>
  </si>
  <si>
    <t>PARECER SIMER</t>
  </si>
  <si>
    <t>VALOR PARCELADO ACUMULADO kWh</t>
  </si>
  <si>
    <t>FATURA COM USINA TRF GRUPO A</t>
  </si>
  <si>
    <t>VALOR DIFERENÇA DA TROCA DE MODALIDADE</t>
  </si>
  <si>
    <t>Diferença de tarifa</t>
  </si>
  <si>
    <t>Granja Vitta</t>
  </si>
  <si>
    <t>Ap de Goiânia</t>
  </si>
  <si>
    <t>Novembro/2022</t>
  </si>
  <si>
    <t>Agosto/2023</t>
  </si>
  <si>
    <t>1 Growatt de 110kW</t>
  </si>
  <si>
    <t>266 de 550W</t>
  </si>
  <si>
    <t>Março/2023</t>
  </si>
  <si>
    <t>01/03/2023 a 01/04/2023</t>
  </si>
  <si>
    <t>Abril/2023</t>
  </si>
  <si>
    <t>01/04/2023 a 01/05/2023</t>
  </si>
  <si>
    <t>Maio/2023</t>
  </si>
  <si>
    <t>01/05/2023 a 01/06/2023</t>
  </si>
  <si>
    <t>Junho/2023</t>
  </si>
  <si>
    <t>01/06/2023 a 01/07/2023</t>
  </si>
  <si>
    <t>Julho/2023</t>
  </si>
  <si>
    <t>01/07/2023 a 01/08/2023</t>
  </si>
  <si>
    <t>01/08/2023 a 01/09/2023</t>
  </si>
  <si>
    <t>Setembro/2023</t>
  </si>
  <si>
    <t>01/09/2023 a 01/10/2023</t>
  </si>
  <si>
    <t>Outubro/2023</t>
  </si>
  <si>
    <t>01/10/2023 a 01/11/2023</t>
  </si>
  <si>
    <t>Novembro/2023</t>
  </si>
  <si>
    <t>01/11/2023 a 01/12/2023</t>
  </si>
  <si>
    <t>Dezembro/2023</t>
  </si>
  <si>
    <t>01/12/2023 a 01/01/2024</t>
  </si>
  <si>
    <t>Janeiro/2024</t>
  </si>
  <si>
    <t>01/01/2024 a 01/02/2024</t>
  </si>
  <si>
    <t>A usina apresentou uma eficiência de 91% no mês de janeiro de 2024.</t>
  </si>
  <si>
    <t>Fevereiro/2024</t>
  </si>
  <si>
    <t>01/02/2024 a 01/03/2024</t>
  </si>
  <si>
    <t>Em fevereiro de 2024, a produção energética da usina alcançou apenas 63% da capacidade projetada. 
Esse desempenho deveu-se, em parte, a um dos cabos dos inversores que não está dimensionado corretamente, cuja substituição está pendente. Adicionalmente, o desempenho foi adversamente afetado por condições meteorológicas desfavoráveis, caracterizadas pela prevalência de precipitação e cobertura nublosa nesse mês.</t>
  </si>
  <si>
    <t>VR Label</t>
  </si>
  <si>
    <t>Dezembro/2022</t>
  </si>
  <si>
    <t>2 de 100kW</t>
  </si>
  <si>
    <t>640 de 450W</t>
  </si>
  <si>
    <t>01/12/2022 a 01/01/2023</t>
  </si>
  <si>
    <t>Janeiro/2023</t>
  </si>
  <si>
    <t>01/01/2023 a 01/02/2023</t>
  </si>
  <si>
    <t>Fevereiro/2023</t>
  </si>
  <si>
    <t>01/02/2023 a 01/03/2023</t>
  </si>
  <si>
    <t xml:space="preserve">
Manutenção no telhado: de 11 a 18 de dezembro de 2023. Neste ciclo, a usina não gerou a quantidade esperada de energia devido à necessidade de manutenção no telhado. A média de energia não gerada foi de 8.064 kWh. A equipe responsável pela manutenção foi a Serralheria Santa Luzia, sendo seu responsável Matheus Nunes, sob a supervisão do Gestor de Geração André Luís.</t>
  </si>
  <si>
    <t>Em Fevereiro de 2024, a produção energética da usina alcançou apenas 57% da capacidade projetada. Tal desempenho se deveu, em parte, à falha de um dos inversores, cuja substituição está pendente, aguardando a conclusão dos trâmites de garantia. Adicionalmente, o desempenho foi afetado adversamente por condições meteorológicas desfavoráveis, caracterizadas pela prevalência de precipitação e cobertura nublosa nesse mês.</t>
  </si>
  <si>
    <t>Grupo Alucentro</t>
  </si>
  <si>
    <t>Alucentro Loja</t>
  </si>
  <si>
    <t xml:space="preserve">Goiânia </t>
  </si>
  <si>
    <t>Fevereiro/2022</t>
  </si>
  <si>
    <t>Outubro/2022</t>
  </si>
  <si>
    <t>1 Sungrow de 50KW</t>
  </si>
  <si>
    <t>95 de 590W</t>
  </si>
  <si>
    <t>01/10/2022 a 01/11/2022</t>
  </si>
  <si>
    <t>01/11/2022 a 01/12/2022</t>
  </si>
  <si>
    <t>O Desempenho energético do mês de janeiro de 2024 foi satisfatório, atingindo 92% da estimativa projetada</t>
  </si>
  <si>
    <t>Em fevereiro de 2024, a produção energética da usina alcançou apenas 82% da capacidade projetada.
Esse desempenho deveu-se, por condições meteorológicas desfavoráveis, caracterizadas pela prevalência de precipitação e cobertura nublosa nesse mês.</t>
  </si>
  <si>
    <t>Grupo Rodar</t>
  </si>
  <si>
    <t>Norte Sul</t>
  </si>
  <si>
    <t>Anápolis</t>
  </si>
  <si>
    <t>2 Growatt de 100 KW e 1 de 25 KW</t>
  </si>
  <si>
    <t>547 de 555W</t>
  </si>
  <si>
    <t>No mês de Fevereiro de 2024, a eficiência na geração de energia atingiu 82% (devido a um grande número de dias chuvosos e nublados).
Consta um crédito nessa fatura de R$6.223,00, devido a uma indenização de violação de prazo de atendimento.</t>
  </si>
  <si>
    <t>Roda Mais Gurupi</t>
  </si>
  <si>
    <t>Gurupi</t>
  </si>
  <si>
    <t>2 Growatt de 100 KW</t>
  </si>
  <si>
    <t>392 de 555W</t>
  </si>
  <si>
    <t>30/06/2023 a 31/07/2023</t>
  </si>
  <si>
    <t>31/07/2023 a 31/08/2023</t>
  </si>
  <si>
    <t>Economia com redução da demanda contratada acumulada já é de R$ 1.401,50 (R$ 1.179,98 economia anterior + R$ 221,52 economia atual)</t>
  </si>
  <si>
    <t>31/08/2023 a 30/09/2023</t>
  </si>
  <si>
    <t>30/09/2023 a 31/10/2023</t>
  </si>
  <si>
    <t>31/10/2023 a 30/11/2023</t>
  </si>
  <si>
    <t>30/11/2023 a 31/12/2023</t>
  </si>
  <si>
    <t>31/12/2023 a 31/01/2024</t>
  </si>
  <si>
    <t>31/01/2024 a 29/02/2024</t>
  </si>
  <si>
    <t>No mês de Fevereiro de 2024, a eficiência na geração de energia atingiu 81%.
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
Com a redução da demanda contratada, em Fevereiro de 2024, ocorreu uma economia para unidade de R$ 2.952,55.</t>
  </si>
  <si>
    <t>Casa do Pica-Pau</t>
  </si>
  <si>
    <t>Matriz</t>
  </si>
  <si>
    <t>3 Growatt de 50 KW</t>
  </si>
  <si>
    <t>272 de 550W</t>
  </si>
  <si>
    <t>Solicitamos à Energisa a redução na demanda contratada de 200kW para 145kW. A nova demanda deveria ter entrado em vigor na fatura anterior. No entanto, na fatura em questão foi realizada a cobrança referente a demanda contratada de 200kW. Após tratativas com a concessionária, nessa fatura foi realizado a devolução de R$ 2.917,56, referente a 53,88kW cobrados a maior.</t>
  </si>
  <si>
    <t>Com a redução da demanda contratada, em Fevereiro de 2024, ocorreu uma economia para unidade de R$ 2.952,55.</t>
  </si>
  <si>
    <t>Buriti</t>
  </si>
  <si>
    <t>Setembro/2022</t>
  </si>
  <si>
    <t>1 Growatt de 30 KW</t>
  </si>
  <si>
    <t>53 de 550W</t>
  </si>
  <si>
    <t>18/11/2022 a 21/12/2022</t>
  </si>
  <si>
    <t>21/12/2022 a 17/01/2023</t>
  </si>
  <si>
    <t>17/01/2023 a 14/02/2023</t>
  </si>
  <si>
    <t>14/02/2023 a 15/03/2023</t>
  </si>
  <si>
    <t>15/03/2023 a 15/04/2023</t>
  </si>
  <si>
    <t>15/04/2023 a 16/05/2023</t>
  </si>
  <si>
    <t>16/05/2023 a 15/06/2023</t>
  </si>
  <si>
    <t>15/06/2023 a 15/07/2023</t>
  </si>
  <si>
    <t>15/07/2023 a 15/08/2023</t>
  </si>
  <si>
    <t>15/08/2023 a 14/09/2023</t>
  </si>
  <si>
    <t>14/09/2023 a 16/10/2023</t>
  </si>
  <si>
    <t>16/10/2023 a 16/11/2023</t>
  </si>
  <si>
    <t>16/11/2023 a 18/12/2023</t>
  </si>
  <si>
    <t>18/12/2023 a 17/01/2024</t>
  </si>
  <si>
    <t>17/01/2024 a 16/02/2024</t>
  </si>
  <si>
    <t>16/02/2024 a 18/03/2024</t>
  </si>
  <si>
    <t>Vianópolis</t>
  </si>
  <si>
    <t>1 Growatt de 50 KW e 1 de 60 KW</t>
  </si>
  <si>
    <t>247 de 550W</t>
  </si>
  <si>
    <t>Itaberaí</t>
  </si>
  <si>
    <t>1 GROWATT DE 30 KW</t>
  </si>
  <si>
    <t>23/11/2022 a 23/12/2022</t>
  </si>
  <si>
    <t>23/12/2022 a 24/01/2023</t>
  </si>
  <si>
    <t>24/01/2023 a 22/02/2023</t>
  </si>
  <si>
    <t>22/02/2023 a 23/03/2023</t>
  </si>
  <si>
    <t>23/03/2023 a 24/04/2023</t>
  </si>
  <si>
    <t>24/04/2023 a 23/05/2023</t>
  </si>
  <si>
    <t>23/05/2023 a 23/06/2023</t>
  </si>
  <si>
    <t>23/06/2023 a 25/07/2023</t>
  </si>
  <si>
    <t>25/07/2023 a 24/08/2023</t>
  </si>
  <si>
    <t>24/08/2023 a 21/09/2023</t>
  </si>
  <si>
    <t>21/09/2023 a 21/10/2023</t>
  </si>
  <si>
    <t>21/10/2023 a 23/11/2023</t>
  </si>
  <si>
    <t>23/11/2023 a 26/12/2023</t>
  </si>
  <si>
    <t>26/12/2023 a 24/01/2024</t>
  </si>
  <si>
    <t>24/01/2024 a 23/02/2024</t>
  </si>
  <si>
    <t>Alucentro Independência</t>
  </si>
  <si>
    <t>145 de 440W</t>
  </si>
  <si>
    <t>24/12/2022 a 24/01/2023</t>
  </si>
  <si>
    <t>21/09/2023 a 23/10/2023</t>
  </si>
  <si>
    <t>23/10/2023 a 23/11/2023</t>
  </si>
  <si>
    <t>23/02/2024 a 25/03/2024</t>
  </si>
  <si>
    <t>Cerâmica Fortunato</t>
  </si>
  <si>
    <t>CAMPESTRE DE GOIAS</t>
  </si>
  <si>
    <t>Pousada Imperial</t>
  </si>
  <si>
    <t>PIRENÓPOLIS GO</t>
  </si>
  <si>
    <t>10 MICRO DEYE 2.000W</t>
  </si>
  <si>
    <t xml:space="preserve">40 de 560W </t>
  </si>
  <si>
    <t>Janeiro/2022</t>
  </si>
  <si>
    <t>17/12/2021 a 18/01/2022</t>
  </si>
  <si>
    <t>18/01/2022 a 16/02/2022</t>
  </si>
  <si>
    <t>Março/2022</t>
  </si>
  <si>
    <t>16/02/2022 a 17/03/2022</t>
  </si>
  <si>
    <t>Abril/2022</t>
  </si>
  <si>
    <t>17/03/2022 a 14/04/2022</t>
  </si>
  <si>
    <t>Maio/2022</t>
  </si>
  <si>
    <t>14/04/2022 a 16/05/2022</t>
  </si>
  <si>
    <t>Junho/2022</t>
  </si>
  <si>
    <t>16/05/2022 a 15/06/2022</t>
  </si>
  <si>
    <t>Julho/2022</t>
  </si>
  <si>
    <t>15/06/2022 a 18/07/2022</t>
  </si>
  <si>
    <t>Agosto/2022</t>
  </si>
  <si>
    <t>18/07/2022 a 16/08/2022</t>
  </si>
  <si>
    <t>16/08/2022 a 15/09/2022</t>
  </si>
  <si>
    <t>15/09/2022 a 17/10/2022</t>
  </si>
  <si>
    <t>17/10/2022 a 16/11/2022</t>
  </si>
  <si>
    <t>16/11/2022 a 19/12/2022</t>
  </si>
  <si>
    <t>19/12/2022 a 17/01/2023</t>
  </si>
  <si>
    <t>18/10/2023 a 16/11/2023</t>
  </si>
  <si>
    <t>16/11/2023  a 18/12/2023</t>
  </si>
  <si>
    <t>Fazenda Capoeirao</t>
  </si>
  <si>
    <t xml:space="preserve"> DAMOLANDIA</t>
  </si>
  <si>
    <t>1 SUNGROW 110KW</t>
  </si>
  <si>
    <t>222 de 665W</t>
  </si>
  <si>
    <t>A economia estimada da proposta é de 18.424,22 kWh, e a economia gerada foi de 17.954,49 kWh, faltando 3% para atingir a meta de geração.</t>
  </si>
  <si>
    <t>A geração da usina atingiu 96,37% do previsto.</t>
  </si>
  <si>
    <t>UC: Washington Luís Assunção</t>
  </si>
  <si>
    <t>12/01/2022 a 10/02/2022</t>
  </si>
  <si>
    <t>10/02/2022 a 11/03/2022</t>
  </si>
  <si>
    <t>11/03/2022 a 08/04/2022</t>
  </si>
  <si>
    <t>08/04/2022 a 10/05/2022</t>
  </si>
  <si>
    <t>10/05/2022 a 09/06/2022</t>
  </si>
  <si>
    <t>09/06/2022 a 12/07/2022</t>
  </si>
  <si>
    <t>12/07/2022 a 11/08/2022</t>
  </si>
  <si>
    <t>11/08/2022 a 09/09/2022</t>
  </si>
  <si>
    <t>09/09/2022 a 10/10/2022</t>
  </si>
  <si>
    <t>10/10/2022 a 10/11/2022</t>
  </si>
  <si>
    <t>10/11/2022 a 13/12/2022</t>
  </si>
  <si>
    <t>13/12/2022 a 12/01/2023</t>
  </si>
  <si>
    <t>11/01/2023 a 08/02/2023</t>
  </si>
  <si>
    <t>08/02/2023 a 10/03/2023</t>
  </si>
  <si>
    <t>10/03/2023 a 12/04/2023</t>
  </si>
  <si>
    <t>11/04/2023 a 11/05/2023</t>
  </si>
  <si>
    <t>11/05/2023 a 10/06/2023</t>
  </si>
  <si>
    <t>10/06/2023 a 11/07/2023</t>
  </si>
  <si>
    <t>11/07/2023 a 09/08/2023</t>
  </si>
  <si>
    <t>09/08/2023 a 09/09/2023</t>
  </si>
  <si>
    <t>09/09/2023 a 10/10/2023</t>
  </si>
  <si>
    <t>10/10/2023 a 10/11/2023</t>
  </si>
  <si>
    <t>10/11/2023 a 08/12/2023</t>
  </si>
  <si>
    <t>08/12/2023 a 11/01/2024</t>
  </si>
  <si>
    <t>LAURI POOZ</t>
  </si>
  <si>
    <t>ÁGUA FRIA GO</t>
  </si>
  <si>
    <t>28/11/2022 a 01/01/2023</t>
  </si>
  <si>
    <t>São Salvador</t>
  </si>
  <si>
    <t>FAZENDA CONCEICAO</t>
  </si>
  <si>
    <t>ITABERAI</t>
  </si>
  <si>
    <t>2</t>
  </si>
  <si>
    <t>C36W-545 W</t>
  </si>
  <si>
    <t>22/08/2023 a 01/09/2023</t>
  </si>
  <si>
    <t>Fricó Alimentos</t>
  </si>
  <si>
    <t>Trindade</t>
  </si>
  <si>
    <t>6 Growatt de 100KW (Zero Grid)</t>
  </si>
  <si>
    <t>1.500 de 555W</t>
  </si>
  <si>
    <t>A usina registrou uma geração de 66% no mês de Fevereiro.
Não foi possível atingir a produção prevista, pois em 53% dos dias desse mês, as condições climáticas estiveram ruins (com chuvas e dias nublados).
Além disso, havia um inversor operando com capacidade reduzida, o qual foi substituído em 08/03/2024.</t>
  </si>
  <si>
    <t>07/11/2022 a 01/12/2022</t>
  </si>
  <si>
    <t>1 - Geração Registrada: O sistema SIMER mostrou que foi gerado 21.328,80 kWh.
 2 - Consumo Simultâneo: Sua fazenda consumiu simultaneamente com a geração 8.227,38 kWh
 3 - Energia Consumida da Concessionária : Você consumiu 19.023,43 kWh.
 4 - Energia Total Consumida: Totalizou um consumo de 40.277,71 kWh.
 5 - Energia Injetada: Sua fazenda injetou um total de 13.031,31 kWh na rede da concessionária.
 6 - Banco de crédito: Para essa fatura não possui nenhum saldo no banco de crédito de energia injetada.</t>
  </si>
  <si>
    <t>GRUPO</t>
  </si>
  <si>
    <t>CLIENTE</t>
  </si>
  <si>
    <t>ENDERECO</t>
  </si>
  <si>
    <t>CEP</t>
  </si>
  <si>
    <t>CIDADE</t>
  </si>
  <si>
    <t>ESTADO</t>
  </si>
  <si>
    <t>PAIS</t>
  </si>
  <si>
    <t>DATA ATIVACAO DA USINA</t>
  </si>
  <si>
    <t>PROPOSTA GERACAO   kWh</t>
  </si>
  <si>
    <t>PROPOSTA GERACAO  RS</t>
  </si>
  <si>
    <t>MODULOS</t>
  </si>
  <si>
    <t>FRICO INDUSTRIA E COMERCIO DE ALIMENTOS LTDA</t>
  </si>
  <si>
    <t>AVENIDA VESPASIANO ODORICO VIEIRA, N. 146</t>
  </si>
  <si>
    <t>TRINDADE</t>
  </si>
  <si>
    <t>GO</t>
  </si>
  <si>
    <t>BRASIL</t>
  </si>
  <si>
    <t>ALUCENTRO VIDROS LTDA</t>
  </si>
  <si>
    <t>RUA JUREMA, Q. 57, L. 14/18, S/N</t>
  </si>
  <si>
    <t>APARECIDA DE GOIANIA</t>
  </si>
  <si>
    <t>VR LABEL INDUSTRIA GRAFICA EIRELI</t>
  </si>
  <si>
    <t>VIA DE ACESSO-4, Q. E, L. 08/09, S/N</t>
  </si>
  <si>
    <t>11/10/2022 a 01/11/2022</t>
  </si>
  <si>
    <t>19/07/2023 a 01/08/2023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</si>
</sst>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R$&quot;\ * #,##0.00_-;\-&quot;R$&quot;\ * #,##0.00_-;_-&quot;R$&quot;\ * &quot;-&quot;??_-;_-@_-"/>
    <numFmt numFmtId="164" formatCode="_-&quot;R$&quot;\ * #,##0.0000_-;\-&quot;R$&quot;\ * #,##0.0000_-;_-&quot;R$&quot;\ * &quot;-&quot;????_-;_-@_-"/>
    <numFmt numFmtId="165" formatCode="&quot;R$&quot;\ #,##0.00"/>
    <numFmt numFmtId="166" formatCode="_-&quot;R$&quot;* #,##0.00_-;\-&quot;R$&quot;* #,##0.00_-;_-&quot;R$&quot;* &quot;-&quot;??_-;_-@_-"/>
    <numFmt numFmtId="167" formatCode="_-&quot;R$&quot;* #,##0.00000_-;\-&quot;R$&quot;* #,##0.00000_-;_-&quot;R$&quot;* &quot;-&quot;??_-;_-@_-"/>
    <numFmt numFmtId="168" formatCode="#,##0.00_ ;[Red]\-#,##0.00\ "/>
    <numFmt numFmtId="169" formatCode="_-&quot;R$&quot;\ * #,##0.00000_-;\-&quot;R$&quot;\ * #,##0.00000_-;_-&quot;R$&quot;\ * &quot;-&quot;?????_-;_-@_-"/>
    <numFmt numFmtId="170" formatCode="_-&quot;R$&quot;\ * #,##0.000000_-;\-&quot;R$&quot;\ * #,##0.000000_-;_-&quot;R$&quot;\ * &quot;-&quot;??_-;_-@_-"/>
    <numFmt numFmtId="171" formatCode="_-&quot;R$&quot;* #,##0.000000_-;\-&quot;R$&quot;* #,##0.000000_-;_-&quot;R$&quot;* &quot;-&quot;??_-;_-@_-"/>
    <numFmt numFmtId="172" formatCode="\R\$\ #,##0.00"/>
    <numFmt numFmtId="173" formatCode="\R\$\ #,##0.00000"/>
    <numFmt numFmtId="174" formatCode="0.000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FFFF"/>
      <name val="Trebuchet MS"/>
      <family val="2"/>
    </font>
    <font>
      <sz val="10"/>
      <color theme="0"/>
      <name val="Trebuchet MS"/>
      <family val="2"/>
    </font>
    <font>
      <sz val="11"/>
      <color rgb="FFFFFFFF"/>
      <name val="Trebuchet MS"/>
      <family val="2"/>
    </font>
    <font>
      <sz val="11"/>
      <name val="Calibri"/>
      <family val="2"/>
      <scheme val="minor"/>
    </font>
    <font>
      <sz val="11"/>
      <name val="Trebuchet MS"/>
      <family val="2"/>
    </font>
    <font>
      <sz val="11"/>
      <color rgb="FFFF0000"/>
      <name val="Trebuchet MS"/>
      <family val="2"/>
    </font>
    <font>
      <b/>
      <sz val="11"/>
      <color rgb="FF808080"/>
      <name val="Trebuchet MS"/>
      <family val="2"/>
    </font>
    <font>
      <sz val="11"/>
      <color theme="1"/>
      <name val="Trebuchet MS"/>
      <family val="2"/>
    </font>
    <font>
      <b/>
      <sz val="11"/>
      <name val="Trebuchet MS"/>
      <family val="2"/>
    </font>
    <font>
      <b/>
      <sz val="11"/>
      <color theme="1"/>
      <name val="Trebuchet MS"/>
      <family val="2"/>
    </font>
    <font>
      <sz val="10"/>
      <name val="Trebuchet MS"/>
      <family val="2"/>
    </font>
    <font>
      <sz val="11"/>
      <color rgb="FF1D1C1D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2"/>
      <color rgb="FF0D0D0D"/>
      <name val="Segoe UI"/>
      <family val="2"/>
    </font>
    <font>
      <sz val="11.5"/>
      <color rgb="FF1D1C1D"/>
      <name val="Arial"/>
      <family val="2"/>
    </font>
    <font>
      <u/>
      <sz val="11"/>
      <color theme="1"/>
      <name val="Calibri"/>
      <family val="2"/>
      <scheme val="minor"/>
    </font>
    <font>
      <u/>
      <sz val="11"/>
      <name val="Trebuchet MS"/>
      <family val="2"/>
    </font>
    <font>
      <sz val="11"/>
      <name val="Trebuchet MS"/>
    </font>
    <font>
      <sz val="11"/>
      <name val="Trebuchet MS"/>
    </font>
    <font>
      <sz val="11"/>
      <name val="Trebuchet MS"/>
    </font>
    <font>
      <sz val="11"/>
      <name val="Trebuchet MS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8046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D8DD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2" fillId="0" borderId="0"/>
    <xf numFmtId="166" fontId="2" fillId="0" borderId="0"/>
    <xf numFmtId="0" fontId="15" fillId="0" borderId="0"/>
    <xf numFmtId="174" fontId="2" fillId="0" borderId="0"/>
  </cellStyleXfs>
  <cellXfs count="3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1" fillId="2" borderId="6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10" fontId="0" fillId="0" borderId="0" xfId="1" applyNumberFormat="1" applyFont="1"/>
    <xf numFmtId="0" fontId="0" fillId="0" borderId="0" xfId="0" applyAlignment="1">
      <alignment horizontal="center" vertical="center"/>
    </xf>
    <xf numFmtId="10" fontId="0" fillId="0" borderId="11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10" fontId="0" fillId="0" borderId="15" xfId="1" applyNumberFormat="1" applyFont="1" applyBorder="1" applyAlignment="1">
      <alignment horizontal="center"/>
    </xf>
    <xf numFmtId="0" fontId="0" fillId="0" borderId="18" xfId="0" applyBorder="1" applyAlignment="1">
      <alignment horizontal="center" wrapText="1"/>
    </xf>
    <xf numFmtId="10" fontId="0" fillId="0" borderId="19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10" fontId="0" fillId="0" borderId="2" xfId="1" applyNumberFormat="1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4" fontId="0" fillId="0" borderId="0" xfId="0" applyNumberFormat="1"/>
    <xf numFmtId="0" fontId="1" fillId="2" borderId="3" xfId="0" applyFont="1" applyFill="1" applyBorder="1" applyAlignment="1">
      <alignment horizontal="left" vertical="top" wrapText="1"/>
    </xf>
    <xf numFmtId="0" fontId="1" fillId="0" borderId="2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3" fillId="5" borderId="23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2" fontId="4" fillId="5" borderId="23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3" fillId="5" borderId="23" xfId="0" applyNumberFormat="1" applyFont="1" applyFill="1" applyBorder="1" applyAlignment="1">
      <alignment horizontal="center" vertical="center" wrapText="1"/>
    </xf>
    <xf numFmtId="2" fontId="5" fillId="5" borderId="23" xfId="0" applyNumberFormat="1" applyFont="1" applyFill="1" applyBorder="1" applyAlignment="1">
      <alignment horizontal="center" vertical="center" wrapText="1"/>
    </xf>
    <xf numFmtId="2" fontId="4" fillId="6" borderId="23" xfId="0" applyNumberFormat="1" applyFont="1" applyFill="1" applyBorder="1" applyAlignment="1">
      <alignment horizontal="center" vertical="center" wrapText="1"/>
    </xf>
    <xf numFmtId="0" fontId="6" fillId="0" borderId="0" xfId="0" applyFont="1"/>
    <xf numFmtId="2" fontId="5" fillId="7" borderId="23" xfId="0" applyNumberFormat="1" applyFont="1" applyFill="1" applyBorder="1" applyAlignment="1">
      <alignment horizontal="center" vertical="center" wrapText="1"/>
    </xf>
    <xf numFmtId="2" fontId="5" fillId="8" borderId="23" xfId="0" applyNumberFormat="1" applyFont="1" applyFill="1" applyBorder="1" applyAlignment="1">
      <alignment horizontal="center" vertical="center" wrapText="1"/>
    </xf>
    <xf numFmtId="2" fontId="5" fillId="9" borderId="23" xfId="0" applyNumberFormat="1" applyFont="1" applyFill="1" applyBorder="1" applyAlignment="1">
      <alignment horizontal="center" vertical="center" wrapText="1"/>
    </xf>
    <xf numFmtId="2" fontId="5" fillId="10" borderId="23" xfId="0" applyNumberFormat="1" applyFont="1" applyFill="1" applyBorder="1" applyAlignment="1">
      <alignment horizontal="center" vertical="center" wrapText="1"/>
    </xf>
    <xf numFmtId="2" fontId="7" fillId="2" borderId="23" xfId="0" applyNumberFormat="1" applyFont="1" applyFill="1" applyBorder="1" applyAlignment="1">
      <alignment horizontal="center" vertical="center" wrapText="1"/>
    </xf>
    <xf numFmtId="49" fontId="7" fillId="0" borderId="23" xfId="0" applyNumberFormat="1" applyFont="1" applyBorder="1" applyAlignment="1">
      <alignment horizontal="left" vertical="center" wrapText="1"/>
    </xf>
    <xf numFmtId="49" fontId="7" fillId="0" borderId="23" xfId="0" applyNumberFormat="1" applyFont="1" applyBorder="1" applyAlignment="1">
      <alignment horizontal="center" vertical="center" wrapText="1"/>
    </xf>
    <xf numFmtId="4" fontId="7" fillId="0" borderId="23" xfId="0" applyNumberFormat="1" applyFont="1" applyBorder="1" applyAlignment="1">
      <alignment horizontal="center" vertical="center" shrinkToFit="1"/>
    </xf>
    <xf numFmtId="49" fontId="7" fillId="4" borderId="23" xfId="0" applyNumberFormat="1" applyFont="1" applyFill="1" applyBorder="1" applyAlignment="1">
      <alignment horizontal="center" vertical="center" wrapText="1"/>
    </xf>
    <xf numFmtId="2" fontId="7" fillId="2" borderId="24" xfId="0" applyNumberFormat="1" applyFont="1" applyFill="1" applyBorder="1" applyAlignment="1">
      <alignment horizontal="center" vertical="center" wrapText="1"/>
    </xf>
    <xf numFmtId="2" fontId="8" fillId="2" borderId="23" xfId="0" applyNumberFormat="1" applyFont="1" applyFill="1" applyBorder="1" applyAlignment="1">
      <alignment horizontal="center" vertical="center" wrapText="1"/>
    </xf>
    <xf numFmtId="2" fontId="7" fillId="12" borderId="24" xfId="0" applyNumberFormat="1" applyFont="1" applyFill="1" applyBorder="1" applyAlignment="1">
      <alignment horizontal="center" vertical="center" wrapText="1"/>
    </xf>
    <xf numFmtId="14" fontId="7" fillId="2" borderId="2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4" fontId="6" fillId="0" borderId="0" xfId="0" applyNumberFormat="1" applyFont="1"/>
    <xf numFmtId="0" fontId="7" fillId="0" borderId="25" xfId="0" applyFont="1" applyBorder="1" applyAlignment="1">
      <alignment horizontal="center" vertical="center"/>
    </xf>
    <xf numFmtId="0" fontId="7" fillId="11" borderId="25" xfId="0" applyFont="1" applyFill="1" applyBorder="1" applyAlignment="1">
      <alignment horizontal="center" vertical="center"/>
    </xf>
    <xf numFmtId="0" fontId="10" fillId="0" borderId="0" xfId="0" applyFont="1"/>
    <xf numFmtId="0" fontId="7" fillId="0" borderId="0" xfId="0" applyFont="1"/>
    <xf numFmtId="14" fontId="7" fillId="0" borderId="27" xfId="0" applyNumberFormat="1" applyFont="1" applyBorder="1" applyAlignment="1">
      <alignment horizontal="center" vertical="center"/>
    </xf>
    <xf numFmtId="14" fontId="7" fillId="0" borderId="26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4" fontId="7" fillId="0" borderId="26" xfId="0" applyNumberFormat="1" applyFont="1" applyBorder="1" applyAlignment="1">
      <alignment horizontal="center" vertical="center"/>
    </xf>
    <xf numFmtId="4" fontId="7" fillId="11" borderId="26" xfId="0" applyNumberFormat="1" applyFont="1" applyFill="1" applyBorder="1" applyAlignment="1">
      <alignment horizontal="center" vertical="center"/>
    </xf>
    <xf numFmtId="2" fontId="11" fillId="2" borderId="24" xfId="0" applyNumberFormat="1" applyFont="1" applyFill="1" applyBorder="1" applyAlignment="1">
      <alignment horizontal="center" vertical="center" wrapText="1"/>
    </xf>
    <xf numFmtId="0" fontId="12" fillId="0" borderId="0" xfId="0" applyFont="1"/>
    <xf numFmtId="4" fontId="7" fillId="2" borderId="23" xfId="0" applyNumberFormat="1" applyFont="1" applyFill="1" applyBorder="1" applyAlignment="1">
      <alignment horizontal="center" vertical="center" shrinkToFit="1"/>
    </xf>
    <xf numFmtId="2" fontId="13" fillId="2" borderId="2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" fontId="7" fillId="7" borderId="23" xfId="0" applyNumberFormat="1" applyFont="1" applyFill="1" applyBorder="1" applyAlignment="1">
      <alignment horizontal="center" vertical="center" shrinkToFit="1"/>
    </xf>
    <xf numFmtId="4" fontId="7" fillId="7" borderId="26" xfId="0" applyNumberFormat="1" applyFont="1" applyFill="1" applyBorder="1" applyAlignment="1">
      <alignment horizontal="center" vertical="center"/>
    </xf>
    <xf numFmtId="4" fontId="14" fillId="0" borderId="0" xfId="0" applyNumberFormat="1" applyFont="1"/>
    <xf numFmtId="14" fontId="7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0" fontId="0" fillId="14" borderId="28" xfId="0" applyFill="1" applyBorder="1" applyAlignment="1">
      <alignment horizontal="left" vertical="center"/>
    </xf>
    <xf numFmtId="0" fontId="2" fillId="14" borderId="28" xfId="3" applyFont="1" applyFill="1" applyBorder="1" applyAlignment="1">
      <alignment horizontal="left" vertical="center"/>
    </xf>
    <xf numFmtId="0" fontId="6" fillId="14" borderId="28" xfId="0" applyFont="1" applyFill="1" applyBorder="1" applyAlignment="1">
      <alignment vertical="center"/>
    </xf>
    <xf numFmtId="0" fontId="0" fillId="0" borderId="28" xfId="0" applyBorder="1"/>
    <xf numFmtId="0" fontId="0" fillId="0" borderId="28" xfId="0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/>
    <xf numFmtId="2" fontId="12" fillId="0" borderId="28" xfId="0" applyNumberFormat="1" applyFont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vertical="center"/>
    </xf>
    <xf numFmtId="0" fontId="5" fillId="5" borderId="29" xfId="0" applyFont="1" applyFill="1" applyBorder="1" applyAlignment="1">
      <alignment horizontal="center" vertical="center" wrapText="1"/>
    </xf>
    <xf numFmtId="2" fontId="5" fillId="5" borderId="29" xfId="0" applyNumberFormat="1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2" fontId="7" fillId="2" borderId="29" xfId="0" applyNumberFormat="1" applyFont="1" applyFill="1" applyBorder="1" applyAlignment="1">
      <alignment horizontal="center" vertical="center" wrapText="1"/>
    </xf>
    <xf numFmtId="2" fontId="8" fillId="2" borderId="29" xfId="0" applyNumberFormat="1" applyFont="1" applyFill="1" applyBorder="1" applyAlignment="1">
      <alignment horizontal="center" vertical="center" wrapText="1"/>
    </xf>
    <xf numFmtId="2" fontId="5" fillId="10" borderId="29" xfId="0" applyNumberFormat="1" applyFont="1" applyFill="1" applyBorder="1" applyAlignment="1">
      <alignment horizontal="center" vertical="center" wrapText="1"/>
    </xf>
    <xf numFmtId="2" fontId="5" fillId="7" borderId="29" xfId="0" applyNumberFormat="1" applyFont="1" applyFill="1" applyBorder="1" applyAlignment="1">
      <alignment horizontal="center" vertical="center" wrapText="1"/>
    </xf>
    <xf numFmtId="2" fontId="5" fillId="8" borderId="29" xfId="0" applyNumberFormat="1" applyFont="1" applyFill="1" applyBorder="1" applyAlignment="1">
      <alignment horizontal="center" vertical="center" wrapText="1"/>
    </xf>
    <xf numFmtId="2" fontId="5" fillId="9" borderId="29" xfId="0" applyNumberFormat="1" applyFont="1" applyFill="1" applyBorder="1" applyAlignment="1">
      <alignment horizontal="center" vertical="center" wrapText="1"/>
    </xf>
    <xf numFmtId="2" fontId="3" fillId="5" borderId="29" xfId="0" applyNumberFormat="1" applyFont="1" applyFill="1" applyBorder="1" applyAlignment="1">
      <alignment horizontal="center" vertical="center" wrapText="1"/>
    </xf>
    <xf numFmtId="2" fontId="4" fillId="5" borderId="29" xfId="0" applyNumberFormat="1" applyFont="1" applyFill="1" applyBorder="1" applyAlignment="1">
      <alignment horizontal="center" vertical="center" wrapText="1"/>
    </xf>
    <xf numFmtId="2" fontId="4" fillId="6" borderId="29" xfId="0" applyNumberFormat="1" applyFont="1" applyFill="1" applyBorder="1" applyAlignment="1">
      <alignment horizontal="center" vertical="center" wrapText="1"/>
    </xf>
    <xf numFmtId="2" fontId="13" fillId="2" borderId="29" xfId="0" applyNumberFormat="1" applyFont="1" applyFill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left" vertical="center" wrapText="1"/>
    </xf>
    <xf numFmtId="14" fontId="7" fillId="0" borderId="25" xfId="0" applyNumberFormat="1" applyFont="1" applyBorder="1" applyAlignment="1">
      <alignment horizontal="center" vertical="center"/>
    </xf>
    <xf numFmtId="4" fontId="7" fillId="0" borderId="25" xfId="0" applyNumberFormat="1" applyFont="1" applyBorder="1" applyAlignment="1">
      <alignment horizontal="center" vertical="center"/>
    </xf>
    <xf numFmtId="4" fontId="7" fillId="0" borderId="25" xfId="0" applyNumberFormat="1" applyFont="1" applyBorder="1" applyAlignment="1">
      <alignment horizontal="center" vertical="center" shrinkToFit="1"/>
    </xf>
    <xf numFmtId="49" fontId="7" fillId="0" borderId="25" xfId="0" applyNumberFormat="1" applyFont="1" applyBorder="1" applyAlignment="1">
      <alignment horizontal="center" vertical="center"/>
    </xf>
    <xf numFmtId="49" fontId="7" fillId="0" borderId="25" xfId="0" applyNumberFormat="1" applyFont="1" applyBorder="1" applyAlignment="1">
      <alignment horizontal="center" vertical="center" wrapText="1"/>
    </xf>
    <xf numFmtId="4" fontId="7" fillId="7" borderId="25" xfId="0" applyNumberFormat="1" applyFont="1" applyFill="1" applyBorder="1" applyAlignment="1">
      <alignment horizontal="center" vertical="center" shrinkToFit="1"/>
    </xf>
    <xf numFmtId="4" fontId="7" fillId="2" borderId="25" xfId="0" applyNumberFormat="1" applyFont="1" applyFill="1" applyBorder="1" applyAlignment="1">
      <alignment horizontal="center" vertical="center" shrinkToFit="1"/>
    </xf>
    <xf numFmtId="4" fontId="11" fillId="13" borderId="25" xfId="0" applyNumberFormat="1" applyFont="1" applyFill="1" applyBorder="1" applyAlignment="1">
      <alignment horizontal="center" vertical="center" shrinkToFit="1"/>
    </xf>
    <xf numFmtId="0" fontId="7" fillId="0" borderId="25" xfId="0" applyFont="1" applyBorder="1"/>
    <xf numFmtId="4" fontId="9" fillId="13" borderId="25" xfId="0" applyNumberFormat="1" applyFont="1" applyFill="1" applyBorder="1" applyAlignment="1">
      <alignment horizontal="center" vertical="center"/>
    </xf>
    <xf numFmtId="49" fontId="7" fillId="4" borderId="25" xfId="0" applyNumberFormat="1" applyFont="1" applyFill="1" applyBorder="1" applyAlignment="1">
      <alignment horizontal="left" vertical="center" wrapText="1"/>
    </xf>
    <xf numFmtId="14" fontId="7" fillId="11" borderId="25" xfId="0" applyNumberFormat="1" applyFont="1" applyFill="1" applyBorder="1" applyAlignment="1">
      <alignment horizontal="center" vertical="center"/>
    </xf>
    <xf numFmtId="4" fontId="7" fillId="11" borderId="25" xfId="0" applyNumberFormat="1" applyFont="1" applyFill="1" applyBorder="1" applyAlignment="1">
      <alignment horizontal="center" vertical="center"/>
    </xf>
    <xf numFmtId="4" fontId="7" fillId="4" borderId="25" xfId="0" applyNumberFormat="1" applyFont="1" applyFill="1" applyBorder="1" applyAlignment="1">
      <alignment horizontal="center" vertical="center" shrinkToFit="1"/>
    </xf>
    <xf numFmtId="49" fontId="7" fillId="11" borderId="25" xfId="0" applyNumberFormat="1" applyFont="1" applyFill="1" applyBorder="1" applyAlignment="1">
      <alignment horizontal="center" vertical="center"/>
    </xf>
    <xf numFmtId="49" fontId="7" fillId="4" borderId="25" xfId="0" applyNumberFormat="1" applyFont="1" applyFill="1" applyBorder="1" applyAlignment="1">
      <alignment horizontal="center" vertical="center" wrapText="1"/>
    </xf>
    <xf numFmtId="0" fontId="7" fillId="4" borderId="25" xfId="2" applyNumberFormat="1" applyFont="1" applyFill="1" applyBorder="1" applyAlignment="1">
      <alignment horizontal="center" vertical="center" shrinkToFit="1"/>
    </xf>
    <xf numFmtId="4" fontId="9" fillId="0" borderId="25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wrapText="1"/>
    </xf>
    <xf numFmtId="4" fontId="9" fillId="11" borderId="25" xfId="0" applyNumberFormat="1" applyFont="1" applyFill="1" applyBorder="1" applyAlignment="1">
      <alignment horizontal="center" vertical="center"/>
    </xf>
    <xf numFmtId="0" fontId="10" fillId="0" borderId="25" xfId="0" applyFont="1" applyBorder="1"/>
    <xf numFmtId="0" fontId="10" fillId="0" borderId="25" xfId="0" applyFont="1" applyBorder="1" applyAlignment="1">
      <alignment wrapText="1"/>
    </xf>
    <xf numFmtId="4" fontId="7" fillId="7" borderId="2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 wrapText="1"/>
    </xf>
    <xf numFmtId="0" fontId="12" fillId="0" borderId="25" xfId="0" applyFont="1" applyBorder="1"/>
    <xf numFmtId="4" fontId="7" fillId="11" borderId="25" xfId="0" applyNumberFormat="1" applyFont="1" applyFill="1" applyBorder="1" applyAlignment="1">
      <alignment horizontal="center" vertical="center" shrinkToFit="1"/>
    </xf>
    <xf numFmtId="0" fontId="12" fillId="11" borderId="25" xfId="0" applyFont="1" applyFill="1" applyBorder="1"/>
    <xf numFmtId="0" fontId="10" fillId="11" borderId="25" xfId="0" applyFont="1" applyFill="1" applyBorder="1"/>
    <xf numFmtId="2" fontId="10" fillId="0" borderId="25" xfId="0" applyNumberFormat="1" applyFont="1" applyBorder="1"/>
    <xf numFmtId="0" fontId="10" fillId="7" borderId="0" xfId="0" applyFont="1" applyFill="1"/>
    <xf numFmtId="0" fontId="10" fillId="2" borderId="25" xfId="0" applyFont="1" applyFill="1" applyBorder="1"/>
    <xf numFmtId="2" fontId="10" fillId="11" borderId="25" xfId="0" applyNumberFormat="1" applyFont="1" applyFill="1" applyBorder="1"/>
    <xf numFmtId="0" fontId="10" fillId="0" borderId="30" xfId="0" applyFont="1" applyBorder="1"/>
    <xf numFmtId="2" fontId="10" fillId="0" borderId="0" xfId="0" applyNumberFormat="1" applyFont="1"/>
    <xf numFmtId="2" fontId="10" fillId="0" borderId="0" xfId="0" quotePrefix="1" applyNumberFormat="1" applyFont="1"/>
    <xf numFmtId="9" fontId="10" fillId="0" borderId="0" xfId="1" applyFont="1"/>
    <xf numFmtId="14" fontId="7" fillId="7" borderId="25" xfId="0" applyNumberFormat="1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0" borderId="25" xfId="2" applyNumberFormat="1" applyFont="1" applyBorder="1" applyAlignment="1">
      <alignment horizontal="center" vertical="center" shrinkToFit="1"/>
    </xf>
    <xf numFmtId="4" fontId="17" fillId="11" borderId="25" xfId="0" applyNumberFormat="1" applyFont="1" applyFill="1" applyBorder="1" applyAlignment="1">
      <alignment horizontal="center" vertical="center" shrinkToFit="1"/>
    </xf>
    <xf numFmtId="4" fontId="17" fillId="0" borderId="25" xfId="0" applyNumberFormat="1" applyFont="1" applyBorder="1" applyAlignment="1">
      <alignment horizontal="center" vertical="center" shrinkToFit="1"/>
    </xf>
    <xf numFmtId="4" fontId="17" fillId="4" borderId="25" xfId="0" applyNumberFormat="1" applyFont="1" applyFill="1" applyBorder="1" applyAlignment="1">
      <alignment horizontal="center" vertical="center" shrinkToFit="1"/>
    </xf>
    <xf numFmtId="4" fontId="11" fillId="0" borderId="25" xfId="0" applyNumberFormat="1" applyFont="1" applyBorder="1" applyAlignment="1">
      <alignment horizontal="center" vertical="center" shrinkToFit="1"/>
    </xf>
    <xf numFmtId="4" fontId="11" fillId="11" borderId="25" xfId="0" applyNumberFormat="1" applyFont="1" applyFill="1" applyBorder="1" applyAlignment="1">
      <alignment horizontal="center" vertical="center" shrinkToFit="1"/>
    </xf>
    <xf numFmtId="49" fontId="17" fillId="4" borderId="25" xfId="0" applyNumberFormat="1" applyFont="1" applyFill="1" applyBorder="1" applyAlignment="1">
      <alignment horizontal="center" vertical="center" wrapText="1"/>
    </xf>
    <xf numFmtId="4" fontId="17" fillId="0" borderId="25" xfId="0" applyNumberFormat="1" applyFont="1" applyBorder="1" applyAlignment="1">
      <alignment horizontal="center" vertical="center"/>
    </xf>
    <xf numFmtId="4" fontId="17" fillId="11" borderId="25" xfId="0" applyNumberFormat="1" applyFont="1" applyFill="1" applyBorder="1" applyAlignment="1">
      <alignment horizontal="center" vertical="center"/>
    </xf>
    <xf numFmtId="4" fontId="17" fillId="7" borderId="25" xfId="0" applyNumberFormat="1" applyFont="1" applyFill="1" applyBorder="1" applyAlignment="1">
      <alignment horizontal="center" vertical="center" shrinkToFit="1"/>
    </xf>
    <xf numFmtId="4" fontId="17" fillId="2" borderId="25" xfId="0" applyNumberFormat="1" applyFont="1" applyFill="1" applyBorder="1" applyAlignment="1">
      <alignment horizontal="center" vertical="center" shrinkToFit="1"/>
    </xf>
    <xf numFmtId="9" fontId="0" fillId="0" borderId="0" xfId="1" applyFont="1"/>
    <xf numFmtId="0" fontId="10" fillId="0" borderId="0" xfId="0" applyFont="1" applyAlignment="1">
      <alignment wrapText="1"/>
    </xf>
    <xf numFmtId="0" fontId="18" fillId="0" borderId="0" xfId="0" applyFont="1"/>
    <xf numFmtId="49" fontId="10" fillId="0" borderId="25" xfId="1" applyNumberFormat="1" applyFont="1" applyBorder="1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49" fontId="7" fillId="11" borderId="25" xfId="0" applyNumberFormat="1" applyFont="1" applyFill="1" applyBorder="1" applyAlignment="1">
      <alignment horizontal="left" vertical="center" wrapText="1"/>
    </xf>
    <xf numFmtId="49" fontId="7" fillId="11" borderId="25" xfId="0" applyNumberFormat="1" applyFont="1" applyFill="1" applyBorder="1" applyAlignment="1">
      <alignment horizontal="center" vertical="center" wrapText="1"/>
    </xf>
    <xf numFmtId="0" fontId="7" fillId="11" borderId="25" xfId="2" applyNumberFormat="1" applyFont="1" applyFill="1" applyBorder="1" applyAlignment="1">
      <alignment horizontal="center" vertical="center" shrinkToFit="1"/>
    </xf>
    <xf numFmtId="0" fontId="7" fillId="11" borderId="25" xfId="0" applyFont="1" applyFill="1" applyBorder="1"/>
    <xf numFmtId="0" fontId="7" fillId="11" borderId="0" xfId="0" applyFont="1" applyFill="1"/>
    <xf numFmtId="4" fontId="7" fillId="4" borderId="0" xfId="0" applyNumberFormat="1" applyFont="1" applyFill="1" applyAlignment="1">
      <alignment horizontal="center" vertical="center" shrinkToFit="1"/>
    </xf>
    <xf numFmtId="4" fontId="7" fillId="0" borderId="0" xfId="0" applyNumberFormat="1" applyFont="1" applyAlignment="1">
      <alignment horizontal="center" vertical="center" shrinkToFit="1"/>
    </xf>
    <xf numFmtId="4" fontId="7" fillId="7" borderId="0" xfId="0" applyNumberFormat="1" applyFont="1" applyFill="1" applyAlignment="1">
      <alignment horizontal="center" vertical="center"/>
    </xf>
    <xf numFmtId="11" fontId="7" fillId="11" borderId="25" xfId="0" applyNumberFormat="1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8" fillId="0" borderId="0" xfId="0" applyFont="1" applyAlignment="1">
      <alignment wrapText="1"/>
    </xf>
    <xf numFmtId="49" fontId="10" fillId="0" borderId="25" xfId="1" applyNumberFormat="1" applyFont="1" applyBorder="1" applyAlignment="1">
      <alignment wrapText="1"/>
    </xf>
    <xf numFmtId="0" fontId="0" fillId="0" borderId="0" xfId="0" applyAlignment="1">
      <alignment horizontal="center" vertical="center" wrapText="1"/>
    </xf>
    <xf numFmtId="2" fontId="20" fillId="0" borderId="0" xfId="0" applyNumberFormat="1" applyFont="1"/>
    <xf numFmtId="0" fontId="21" fillId="0" borderId="25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49" fontId="21" fillId="4" borderId="25" xfId="0" applyNumberFormat="1" applyFont="1" applyFill="1" applyBorder="1" applyAlignment="1">
      <alignment horizontal="left" vertical="center" wrapText="1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 vertical="top"/>
    </xf>
    <xf numFmtId="165" fontId="0" fillId="0" borderId="2" xfId="0" applyNumberFormat="1" applyBorder="1" applyAlignment="1">
      <alignment horizontal="center"/>
    </xf>
    <xf numFmtId="165" fontId="0" fillId="0" borderId="0" xfId="0" applyNumberFormat="1"/>
    <xf numFmtId="165" fontId="1" fillId="2" borderId="3" xfId="0" applyNumberFormat="1" applyFont="1" applyFill="1" applyBorder="1" applyAlignment="1">
      <alignment horizontal="center" vertical="top"/>
    </xf>
    <xf numFmtId="165" fontId="0" fillId="0" borderId="12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center"/>
    </xf>
    <xf numFmtId="165" fontId="1" fillId="0" borderId="15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  <xf numFmtId="166" fontId="0" fillId="0" borderId="0" xfId="2" applyFont="1"/>
    <xf numFmtId="166" fontId="5" fillId="10" borderId="29" xfId="2" applyFont="1" applyFill="1" applyBorder="1" applyAlignment="1">
      <alignment horizontal="center" vertical="center" wrapText="1"/>
    </xf>
    <xf numFmtId="166" fontId="5" fillId="7" borderId="29" xfId="2" applyFont="1" applyFill="1" applyBorder="1" applyAlignment="1">
      <alignment horizontal="center" vertical="center" wrapText="1"/>
    </xf>
    <xf numFmtId="166" fontId="5" fillId="9" borderId="29" xfId="2" applyFont="1" applyFill="1" applyBorder="1" applyAlignment="1">
      <alignment horizontal="center" vertical="center" wrapText="1"/>
    </xf>
    <xf numFmtId="166" fontId="7" fillId="0" borderId="25" xfId="2" applyFont="1" applyBorder="1" applyAlignment="1">
      <alignment horizontal="left" vertical="center" wrapText="1"/>
    </xf>
    <xf numFmtId="166" fontId="7" fillId="0" borderId="25" xfId="2" applyFont="1" applyBorder="1" applyAlignment="1">
      <alignment horizontal="left" vertical="center" shrinkToFit="1"/>
    </xf>
    <xf numFmtId="167" fontId="8" fillId="0" borderId="25" xfId="2" applyNumberFormat="1" applyFont="1" applyBorder="1" applyAlignment="1">
      <alignment horizontal="left" vertical="center" shrinkToFit="1"/>
    </xf>
    <xf numFmtId="166" fontId="7" fillId="0" borderId="25" xfId="2" applyFont="1" applyBorder="1" applyAlignment="1">
      <alignment horizontal="center" vertical="center" shrinkToFit="1"/>
    </xf>
    <xf numFmtId="168" fontId="7" fillId="7" borderId="25" xfId="0" applyNumberFormat="1" applyFont="1" applyFill="1" applyBorder="1" applyAlignment="1">
      <alignment horizontal="center" vertical="center" wrapText="1"/>
    </xf>
    <xf numFmtId="169" fontId="7" fillId="0" borderId="25" xfId="0" applyNumberFormat="1" applyFont="1" applyBorder="1"/>
    <xf numFmtId="166" fontId="7" fillId="11" borderId="25" xfId="2" applyFont="1" applyFill="1" applyBorder="1" applyAlignment="1">
      <alignment horizontal="left" vertical="center" wrapText="1"/>
    </xf>
    <xf numFmtId="166" fontId="7" fillId="11" borderId="25" xfId="2" applyFont="1" applyFill="1" applyBorder="1" applyAlignment="1">
      <alignment horizontal="left" vertical="center" shrinkToFit="1"/>
    </xf>
    <xf numFmtId="167" fontId="8" fillId="11" borderId="25" xfId="2" applyNumberFormat="1" applyFont="1" applyFill="1" applyBorder="1" applyAlignment="1">
      <alignment horizontal="left" vertical="center" shrinkToFit="1"/>
    </xf>
    <xf numFmtId="166" fontId="7" fillId="11" borderId="25" xfId="2" applyFont="1" applyFill="1" applyBorder="1" applyAlignment="1">
      <alignment horizontal="center" vertical="center" shrinkToFit="1"/>
    </xf>
    <xf numFmtId="169" fontId="7" fillId="11" borderId="25" xfId="0" applyNumberFormat="1" applyFont="1" applyFill="1" applyBorder="1"/>
    <xf numFmtId="166" fontId="7" fillId="4" borderId="25" xfId="2" applyFont="1" applyFill="1" applyBorder="1" applyAlignment="1">
      <alignment horizontal="left" vertical="center" shrinkToFit="1"/>
    </xf>
    <xf numFmtId="167" fontId="8" fillId="4" borderId="25" xfId="2" applyNumberFormat="1" applyFont="1" applyFill="1" applyBorder="1" applyAlignment="1">
      <alignment horizontal="left" vertical="center" shrinkToFit="1"/>
    </xf>
    <xf numFmtId="166" fontId="7" fillId="4" borderId="25" xfId="2" applyFont="1" applyFill="1" applyBorder="1" applyAlignment="1">
      <alignment horizontal="center" vertical="center" shrinkToFit="1"/>
    </xf>
    <xf numFmtId="166" fontId="7" fillId="4" borderId="25" xfId="2" applyFont="1" applyFill="1" applyBorder="1" applyAlignment="1">
      <alignment horizontal="left" vertical="center" wrapText="1"/>
    </xf>
    <xf numFmtId="166" fontId="7" fillId="2" borderId="25" xfId="2" applyFont="1" applyFill="1" applyBorder="1" applyAlignment="1">
      <alignment horizontal="center" vertical="center" shrinkToFit="1"/>
    </xf>
    <xf numFmtId="166" fontId="17" fillId="11" borderId="25" xfId="2" applyFont="1" applyFill="1" applyBorder="1" applyAlignment="1">
      <alignment horizontal="center" vertical="center" shrinkToFit="1"/>
    </xf>
    <xf numFmtId="166" fontId="17" fillId="0" borderId="25" xfId="2" applyFont="1" applyBorder="1" applyAlignment="1">
      <alignment horizontal="center" vertical="center" shrinkToFit="1"/>
    </xf>
    <xf numFmtId="166" fontId="17" fillId="0" borderId="25" xfId="2" applyFont="1" applyBorder="1" applyAlignment="1">
      <alignment horizontal="left" vertical="center" shrinkToFit="1"/>
    </xf>
    <xf numFmtId="166" fontId="17" fillId="4" borderId="25" xfId="2" applyFont="1" applyFill="1" applyBorder="1" applyAlignment="1">
      <alignment horizontal="left" vertical="center" shrinkToFit="1"/>
    </xf>
    <xf numFmtId="167" fontId="8" fillId="14" borderId="25" xfId="2" applyNumberFormat="1" applyFont="1" applyFill="1" applyBorder="1" applyAlignment="1">
      <alignment horizontal="left" vertical="center" shrinkToFit="1"/>
    </xf>
    <xf numFmtId="167" fontId="16" fillId="14" borderId="25" xfId="2" applyNumberFormat="1" applyFont="1" applyFill="1" applyBorder="1" applyAlignment="1">
      <alignment horizontal="left" vertical="center" shrinkToFit="1"/>
    </xf>
    <xf numFmtId="167" fontId="16" fillId="4" borderId="25" xfId="2" applyNumberFormat="1" applyFont="1" applyFill="1" applyBorder="1" applyAlignment="1">
      <alignment horizontal="left" vertical="center" shrinkToFit="1"/>
    </xf>
    <xf numFmtId="169" fontId="10" fillId="0" borderId="25" xfId="0" applyNumberFormat="1" applyFont="1" applyBorder="1"/>
    <xf numFmtId="166" fontId="7" fillId="7" borderId="25" xfId="2" applyFont="1" applyFill="1" applyBorder="1" applyAlignment="1">
      <alignment horizontal="left" vertical="center" shrinkToFit="1"/>
    </xf>
    <xf numFmtId="166" fontId="7" fillId="7" borderId="25" xfId="2" applyFont="1" applyFill="1" applyBorder="1" applyAlignment="1">
      <alignment horizontal="center" vertical="center" shrinkToFit="1"/>
    </xf>
    <xf numFmtId="166" fontId="7" fillId="7" borderId="25" xfId="2" applyFont="1" applyFill="1" applyBorder="1" applyAlignment="1">
      <alignment horizontal="left" vertical="center" wrapText="1"/>
    </xf>
    <xf numFmtId="167" fontId="8" fillId="7" borderId="25" xfId="2" applyNumberFormat="1" applyFont="1" applyFill="1" applyBorder="1" applyAlignment="1">
      <alignment horizontal="left" vertical="center" shrinkToFit="1"/>
    </xf>
    <xf numFmtId="168" fontId="10" fillId="7" borderId="25" xfId="0" applyNumberFormat="1" applyFont="1" applyFill="1" applyBorder="1"/>
    <xf numFmtId="166" fontId="7" fillId="2" borderId="25" xfId="2" applyFont="1" applyFill="1" applyBorder="1" applyAlignment="1">
      <alignment horizontal="left" vertical="center" wrapText="1"/>
    </xf>
    <xf numFmtId="168" fontId="10" fillId="0" borderId="25" xfId="0" applyNumberFormat="1" applyFont="1" applyBorder="1"/>
    <xf numFmtId="166" fontId="7" fillId="0" borderId="0" xfId="2" applyFont="1" applyAlignment="1">
      <alignment horizontal="left" vertical="center" wrapText="1"/>
    </xf>
    <xf numFmtId="168" fontId="7" fillId="0" borderId="25" xfId="0" applyNumberFormat="1" applyFont="1" applyBorder="1" applyAlignment="1">
      <alignment horizontal="center" vertical="center" wrapText="1"/>
    </xf>
    <xf numFmtId="166" fontId="10" fillId="0" borderId="25" xfId="2" applyFont="1" applyBorder="1"/>
    <xf numFmtId="166" fontId="17" fillId="2" borderId="25" xfId="2" applyFont="1" applyFill="1" applyBorder="1" applyAlignment="1">
      <alignment horizontal="center" vertical="center" shrinkToFit="1"/>
    </xf>
    <xf numFmtId="168" fontId="17" fillId="7" borderId="25" xfId="0" applyNumberFormat="1" applyFont="1" applyFill="1" applyBorder="1" applyAlignment="1">
      <alignment horizontal="center" vertical="center" wrapText="1"/>
    </xf>
    <xf numFmtId="166" fontId="17" fillId="0" borderId="25" xfId="2" applyFont="1" applyBorder="1" applyAlignment="1">
      <alignment horizontal="left" vertical="center" wrapText="1"/>
    </xf>
    <xf numFmtId="166" fontId="10" fillId="0" borderId="0" xfId="2" applyFont="1"/>
    <xf numFmtId="0" fontId="24" fillId="0" borderId="0" xfId="0" applyFont="1"/>
    <xf numFmtId="172" fontId="23" fillId="0" borderId="0" xfId="0" applyNumberFormat="1" applyFont="1"/>
    <xf numFmtId="169" fontId="6" fillId="0" borderId="25" xfId="0" applyNumberFormat="1" applyFont="1" applyBorder="1"/>
    <xf numFmtId="169" fontId="0" fillId="0" borderId="0" xfId="0" applyNumberFormat="1"/>
    <xf numFmtId="166" fontId="5" fillId="10" borderId="23" xfId="2" applyFont="1" applyFill="1" applyBorder="1" applyAlignment="1">
      <alignment horizontal="center" vertical="center" wrapText="1"/>
    </xf>
    <xf numFmtId="166" fontId="5" fillId="7" borderId="23" xfId="2" applyFont="1" applyFill="1" applyBorder="1" applyAlignment="1">
      <alignment horizontal="center" vertical="center" wrapText="1"/>
    </xf>
    <xf numFmtId="166" fontId="5" fillId="9" borderId="23" xfId="2" applyFont="1" applyFill="1" applyBorder="1" applyAlignment="1">
      <alignment horizontal="center" vertical="center" wrapText="1"/>
    </xf>
    <xf numFmtId="166" fontId="7" fillId="0" borderId="23" xfId="2" applyFont="1" applyBorder="1" applyAlignment="1">
      <alignment horizontal="left" vertical="center" wrapText="1"/>
    </xf>
    <xf numFmtId="166" fontId="7" fillId="0" borderId="23" xfId="2" applyFont="1" applyBorder="1" applyAlignment="1">
      <alignment horizontal="center" vertical="center" shrinkToFit="1"/>
    </xf>
    <xf numFmtId="166" fontId="7" fillId="0" borderId="23" xfId="2" applyFont="1" applyBorder="1" applyAlignment="1">
      <alignment horizontal="left" vertical="center" shrinkToFit="1"/>
    </xf>
    <xf numFmtId="167" fontId="8" fillId="0" borderId="23" xfId="2" applyNumberFormat="1" applyFont="1" applyBorder="1" applyAlignment="1">
      <alignment horizontal="left" vertical="center" shrinkToFit="1"/>
    </xf>
    <xf numFmtId="166" fontId="7" fillId="2" borderId="23" xfId="2" applyFont="1" applyFill="1" applyBorder="1" applyAlignment="1">
      <alignment horizontal="center" vertical="center" shrinkToFit="1"/>
    </xf>
    <xf numFmtId="168" fontId="7" fillId="7" borderId="2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172" fontId="0" fillId="0" borderId="0" xfId="0" applyNumberFormat="1"/>
    <xf numFmtId="172" fontId="24" fillId="0" borderId="0" xfId="0" applyNumberFormat="1" applyFont="1" applyAlignment="1">
      <alignment horizontal="center"/>
    </xf>
    <xf numFmtId="172" fontId="22" fillId="0" borderId="0" xfId="0" applyNumberFormat="1" applyFont="1"/>
    <xf numFmtId="172" fontId="24" fillId="0" borderId="0" xfId="0" applyNumberFormat="1" applyFon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top" wrapText="1"/>
    </xf>
    <xf numFmtId="164" fontId="10" fillId="0" borderId="0" xfId="0" applyNumberFormat="1" applyFont="1"/>
    <xf numFmtId="164" fontId="10" fillId="11" borderId="0" xfId="0" applyNumberFormat="1" applyFont="1" applyFill="1"/>
    <xf numFmtId="170" fontId="8" fillId="14" borderId="25" xfId="2" applyNumberFormat="1" applyFont="1" applyFill="1" applyBorder="1" applyAlignment="1">
      <alignment horizontal="left" vertical="center" shrinkToFit="1"/>
    </xf>
    <xf numFmtId="170" fontId="8" fillId="11" borderId="25" xfId="2" applyNumberFormat="1" applyFont="1" applyFill="1" applyBorder="1" applyAlignment="1">
      <alignment horizontal="left" vertical="center" shrinkToFit="1"/>
    </xf>
    <xf numFmtId="171" fontId="8" fillId="11" borderId="25" xfId="2" applyNumberFormat="1" applyFont="1" applyFill="1" applyBorder="1" applyAlignment="1">
      <alignment horizontal="center" vertical="center" shrinkToFit="1"/>
    </xf>
    <xf numFmtId="171" fontId="8" fillId="14" borderId="25" xfId="2" applyNumberFormat="1" applyFont="1" applyFill="1" applyBorder="1" applyAlignment="1">
      <alignment horizontal="left" vertical="center" shrinkToFit="1"/>
    </xf>
    <xf numFmtId="171" fontId="8" fillId="14" borderId="25" xfId="2" applyNumberFormat="1" applyFont="1" applyFill="1" applyBorder="1" applyAlignment="1">
      <alignment horizontal="center" vertical="center" shrinkToFit="1"/>
    </xf>
    <xf numFmtId="171" fontId="8" fillId="11" borderId="25" xfId="2" applyNumberFormat="1" applyFont="1" applyFill="1" applyBorder="1" applyAlignment="1">
      <alignment horizontal="left" vertical="center" shrinkToFit="1"/>
    </xf>
    <xf numFmtId="171" fontId="8" fillId="7" borderId="25" xfId="2" applyNumberFormat="1" applyFont="1" applyFill="1" applyBorder="1" applyAlignment="1">
      <alignment horizontal="center" vertical="center" shrinkToFit="1"/>
    </xf>
    <xf numFmtId="171" fontId="8" fillId="7" borderId="25" xfId="2" applyNumberFormat="1" applyFont="1" applyFill="1" applyBorder="1" applyAlignment="1">
      <alignment horizontal="left" vertical="center" shrinkToFit="1"/>
    </xf>
    <xf numFmtId="171" fontId="8" fillId="0" borderId="25" xfId="2" applyNumberFormat="1" applyFont="1" applyBorder="1" applyAlignment="1">
      <alignment horizontal="left" vertical="center" shrinkToFit="1"/>
    </xf>
    <xf numFmtId="171" fontId="16" fillId="14" borderId="25" xfId="2" applyNumberFormat="1" applyFont="1" applyFill="1" applyBorder="1" applyAlignment="1">
      <alignment horizontal="left" vertical="center" shrinkToFit="1"/>
    </xf>
    <xf numFmtId="171" fontId="16" fillId="4" borderId="25" xfId="2" applyNumberFormat="1" applyFont="1" applyFill="1" applyBorder="1" applyAlignment="1">
      <alignment horizontal="left" vertical="center" shrinkToFit="1"/>
    </xf>
    <xf numFmtId="171" fontId="8" fillId="4" borderId="25" xfId="2" applyNumberFormat="1" applyFont="1" applyFill="1" applyBorder="1" applyAlignment="1">
      <alignment horizontal="left" vertical="center" shrinkToFit="1"/>
    </xf>
    <xf numFmtId="171" fontId="16" fillId="0" borderId="25" xfId="2" applyNumberFormat="1" applyFont="1" applyBorder="1" applyAlignment="1">
      <alignment horizontal="left" vertical="center" shrinkToFit="1"/>
    </xf>
    <xf numFmtId="0" fontId="25" fillId="11" borderId="25" xfId="0" applyFont="1" applyFill="1" applyBorder="1" applyAlignment="1">
      <alignment horizontal="center"/>
    </xf>
    <xf numFmtId="49" fontId="25" fillId="4" borderId="25" xfId="0" applyNumberFormat="1" applyFont="1" applyFill="1" applyBorder="1" applyAlignment="1">
      <alignment horizontal="center"/>
    </xf>
    <xf numFmtId="0" fontId="25" fillId="0" borderId="0" xfId="0" applyFont="1"/>
    <xf numFmtId="172" fontId="25" fillId="0" borderId="0" xfId="0" applyNumberFormat="1" applyFont="1"/>
    <xf numFmtId="173" fontId="24" fillId="0" borderId="0" xfId="0" applyNumberFormat="1" applyFont="1"/>
    <xf numFmtId="44" fontId="0" fillId="0" borderId="0" xfId="0" applyNumberFormat="1"/>
    <xf numFmtId="173" fontId="24" fillId="0" borderId="0" xfId="1" applyNumberFormat="1" applyFont="1"/>
    <xf numFmtId="173" fontId="22" fillId="0" borderId="0" xfId="0" applyNumberFormat="1" applyFont="1"/>
    <xf numFmtId="172" fontId="7" fillId="4" borderId="25" xfId="2" applyNumberFormat="1" applyFont="1" applyFill="1" applyBorder="1" applyAlignment="1">
      <alignment horizontal="left" vertical="center" wrapText="1"/>
    </xf>
    <xf numFmtId="172" fontId="25" fillId="4" borderId="25" xfId="2" applyNumberFormat="1" applyFont="1" applyFill="1" applyBorder="1" applyAlignment="1">
      <alignment horizontal="left" vertical="center" shrinkToFit="1"/>
    </xf>
    <xf numFmtId="173" fontId="25" fillId="4" borderId="25" xfId="2" applyNumberFormat="1" applyFont="1" applyFill="1" applyBorder="1" applyAlignment="1">
      <alignment horizontal="left" vertical="center" shrinkToFit="1"/>
    </xf>
    <xf numFmtId="172" fontId="10" fillId="0" borderId="0" xfId="2" applyNumberFormat="1" applyFont="1"/>
    <xf numFmtId="172" fontId="10" fillId="0" borderId="0" xfId="0" applyNumberFormat="1" applyFont="1"/>
    <xf numFmtId="172" fontId="12" fillId="0" borderId="0" xfId="0" applyNumberFormat="1" applyFont="1"/>
    <xf numFmtId="0" fontId="25" fillId="0" borderId="25" xfId="0" applyFont="1" applyBorder="1" applyAlignment="1">
      <alignment horizontal="center"/>
    </xf>
    <xf numFmtId="172" fontId="7" fillId="0" borderId="25" xfId="2" applyNumberFormat="1" applyFont="1" applyBorder="1" applyAlignment="1">
      <alignment horizontal="left" vertical="center" wrapText="1"/>
    </xf>
    <xf numFmtId="49" fontId="25" fillId="0" borderId="25" xfId="0" applyNumberFormat="1" applyFont="1" applyBorder="1" applyAlignment="1">
      <alignment horizontal="center"/>
    </xf>
    <xf numFmtId="172" fontId="25" fillId="0" borderId="25" xfId="2" applyNumberFormat="1" applyFont="1" applyBorder="1" applyAlignment="1">
      <alignment horizontal="left" vertical="center" shrinkToFit="1"/>
    </xf>
    <xf numFmtId="173" fontId="25" fillId="0" borderId="25" xfId="2" applyNumberFormat="1" applyFont="1" applyBorder="1" applyAlignment="1">
      <alignment horizontal="left" vertical="center" shrinkToFit="1"/>
    </xf>
    <xf numFmtId="172" fontId="25" fillId="0" borderId="0" xfId="0" applyNumberFormat="1" applyFont="1"/>
    <xf numFmtId="172" fontId="0" fillId="0" borderId="0" xfId="0" applyNumberFormat="1"/>
    <xf numFmtId="0" fontId="25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0" xfId="0" applyBorder="1"/>
    <xf numFmtId="0" fontId="0" fillId="0" borderId="32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22" xfId="0" applyBorder="1" applyAlignment="1">
      <alignment horizontal="center" vertical="top"/>
    </xf>
    <xf numFmtId="0" fontId="0" fillId="0" borderId="31" xfId="0" applyBorder="1"/>
    <xf numFmtId="0" fontId="0" fillId="0" borderId="22" xfId="0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9" xfId="0" applyBorder="1"/>
    <xf numFmtId="165" fontId="0" fillId="0" borderId="2" xfId="0" applyNumberFormat="1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 wrapText="1"/>
    </xf>
    <xf numFmtId="0" fontId="0" fillId="0" borderId="17" xfId="0" applyBorder="1" applyAlignment="1">
      <alignment horizontal="center" vertical="top" wrapText="1"/>
    </xf>
    <xf numFmtId="0" fontId="0" fillId="0" borderId="20" xfId="0" applyBorder="1"/>
    <xf numFmtId="0" fontId="0" fillId="0" borderId="17" xfId="0" applyBorder="1"/>
    <xf numFmtId="0" fontId="1" fillId="2" borderId="2" xfId="0" applyFont="1" applyFill="1" applyBorder="1" applyAlignment="1">
      <alignment horizontal="center" vertical="top" wrapText="1"/>
    </xf>
  </cellXfs>
  <cellStyles count="5">
    <cellStyle name="Moeda" xfId="2" builtinId="4"/>
    <cellStyle name="Moeda 2" xfId="4" xr:uid="{00000000-0005-0000-0000-000004000000}"/>
    <cellStyle name="Normal" xfId="0" builtinId="0"/>
    <cellStyle name="Normal 2" xfId="3" xr:uid="{00000000-0005-0000-0000-000003000000}"/>
    <cellStyle name="Porcentagem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4" workbookViewId="0">
      <selection activeCell="F3" sqref="F3:F4"/>
    </sheetView>
  </sheetViews>
  <sheetFormatPr defaultRowHeight="15" x14ac:dyDescent="0.25"/>
  <cols>
    <col min="1" max="1" width="40.5703125" style="4" customWidth="1"/>
    <col min="2" max="2" width="15.140625" style="167" customWidth="1"/>
    <col min="3" max="3" width="10.5703125" style="238" customWidth="1"/>
    <col min="4" max="5" width="24" bestFit="1" customWidth="1"/>
    <col min="6" max="6" width="16" customWidth="1"/>
    <col min="7" max="7" width="6.28515625" bestFit="1" customWidth="1"/>
  </cols>
  <sheetData>
    <row r="1" spans="1:8" s="1" customFormat="1" ht="15.75" customHeight="1" thickBot="1" x14ac:dyDescent="0.3">
      <c r="B1" s="2"/>
    </row>
    <row r="2" spans="1:8" s="3" customFormat="1" ht="30.75" customHeight="1" thickBot="1" x14ac:dyDescent="0.3">
      <c r="A2" s="23" t="s">
        <v>0</v>
      </c>
      <c r="B2" s="168" t="s">
        <v>1</v>
      </c>
      <c r="C2" s="7" t="s">
        <v>2</v>
      </c>
      <c r="D2" s="239" t="s">
        <v>3</v>
      </c>
      <c r="E2" s="8" t="s">
        <v>4</v>
      </c>
      <c r="F2" s="8" t="s">
        <v>5</v>
      </c>
    </row>
    <row r="3" spans="1:8" s="3" customFormat="1" x14ac:dyDescent="0.25">
      <c r="A3" s="285" t="s">
        <v>6</v>
      </c>
      <c r="B3" s="298">
        <v>1374274.68</v>
      </c>
      <c r="C3" s="289">
        <v>343.75</v>
      </c>
      <c r="D3" s="292" t="s">
        <v>7</v>
      </c>
      <c r="E3" s="280" t="s">
        <v>8</v>
      </c>
      <c r="F3" s="280" t="s">
        <v>9</v>
      </c>
    </row>
    <row r="4" spans="1:8" ht="15.75" customHeight="1" thickBot="1" x14ac:dyDescent="0.3">
      <c r="A4" s="286"/>
      <c r="B4" s="299"/>
      <c r="C4" s="290"/>
      <c r="D4" s="293"/>
      <c r="E4" s="281"/>
      <c r="F4" s="281"/>
      <c r="H4" s="22"/>
    </row>
    <row r="5" spans="1:8" ht="15.75" customHeight="1" thickBot="1" x14ac:dyDescent="0.3">
      <c r="A5" s="287"/>
      <c r="B5" s="293"/>
      <c r="C5" s="291"/>
      <c r="D5" s="12">
        <f>30841.75/$B$3</f>
        <v>2.2442202020341379E-2</v>
      </c>
      <c r="E5" s="11">
        <f>26508.21/$B$3</f>
        <v>1.928887316762614E-2</v>
      </c>
      <c r="F5" s="169">
        <v>3974</v>
      </c>
      <c r="G5" s="9"/>
    </row>
    <row r="6" spans="1:8" ht="15.75" customHeight="1" thickBot="1" x14ac:dyDescent="0.3">
      <c r="C6" s="5"/>
      <c r="G6" s="170"/>
    </row>
    <row r="7" spans="1:8" s="3" customFormat="1" ht="30.75" customHeight="1" thickBot="1" x14ac:dyDescent="0.3">
      <c r="A7" s="23" t="s">
        <v>10</v>
      </c>
      <c r="B7" s="168" t="s">
        <v>1</v>
      </c>
      <c r="C7" s="7" t="s">
        <v>2</v>
      </c>
      <c r="D7" s="239" t="s">
        <v>3</v>
      </c>
      <c r="E7" s="8" t="s">
        <v>4</v>
      </c>
      <c r="F7" s="8" t="s">
        <v>5</v>
      </c>
    </row>
    <row r="8" spans="1:8" x14ac:dyDescent="0.25">
      <c r="A8" s="285" t="s">
        <v>11</v>
      </c>
      <c r="B8" s="298">
        <v>1538997.6</v>
      </c>
      <c r="C8" s="300">
        <v>343.75</v>
      </c>
      <c r="D8" s="294" t="s">
        <v>12</v>
      </c>
      <c r="E8" s="288" t="s">
        <v>13</v>
      </c>
      <c r="F8" s="280" t="s">
        <v>14</v>
      </c>
    </row>
    <row r="9" spans="1:8" ht="15.75" customHeight="1" thickBot="1" x14ac:dyDescent="0.3">
      <c r="A9" s="286"/>
      <c r="B9" s="299"/>
      <c r="C9" s="299"/>
      <c r="D9" s="293"/>
      <c r="E9" s="281"/>
      <c r="F9" s="281"/>
    </row>
    <row r="10" spans="1:8" ht="15.75" customHeight="1" thickBot="1" x14ac:dyDescent="0.3">
      <c r="A10" s="287"/>
      <c r="B10" s="293"/>
      <c r="C10" s="293"/>
      <c r="D10" s="12">
        <f>30841.75/$B$8</f>
        <v>2.0040154708493373E-2</v>
      </c>
      <c r="E10" s="11">
        <f>22203.37/$B$8</f>
        <v>1.4427163499150355E-2</v>
      </c>
      <c r="F10" s="169">
        <v>8280</v>
      </c>
    </row>
    <row r="11" spans="1:8" ht="15.75" customHeight="1" thickBot="1" x14ac:dyDescent="0.3">
      <c r="C11" s="5"/>
    </row>
    <row r="12" spans="1:8" s="3" customFormat="1" ht="30.75" customHeight="1" thickBot="1" x14ac:dyDescent="0.3">
      <c r="A12" s="23" t="s">
        <v>15</v>
      </c>
      <c r="B12" s="171" t="s">
        <v>1</v>
      </c>
      <c r="C12" s="239" t="s">
        <v>2</v>
      </c>
      <c r="D12" s="304" t="s">
        <v>16</v>
      </c>
      <c r="E12" s="297"/>
      <c r="F12" s="8" t="s">
        <v>5</v>
      </c>
    </row>
    <row r="13" spans="1:8" ht="30" customHeight="1" x14ac:dyDescent="0.25">
      <c r="A13" s="13" t="s">
        <v>17</v>
      </c>
      <c r="B13" s="172">
        <v>1039970.43</v>
      </c>
      <c r="C13" s="14">
        <v>260.14999999999998</v>
      </c>
      <c r="D13" s="15">
        <f>23339.68/$B$13</f>
        <v>2.24426381046238E-2</v>
      </c>
      <c r="E13" s="277" t="s">
        <v>18</v>
      </c>
      <c r="F13" s="280">
        <f>C15-130</f>
        <v>213.2</v>
      </c>
    </row>
    <row r="14" spans="1:8" ht="15.75" customHeight="1" thickBot="1" x14ac:dyDescent="0.3">
      <c r="A14" s="6" t="s">
        <v>19</v>
      </c>
      <c r="B14" s="173">
        <v>338996.58</v>
      </c>
      <c r="C14" s="16">
        <v>83.05</v>
      </c>
      <c r="D14" s="17">
        <f>7450.93/$B$14</f>
        <v>2.1979366281512338E-2</v>
      </c>
      <c r="E14" s="278"/>
      <c r="F14" s="281"/>
    </row>
    <row r="15" spans="1:8" ht="15.75" customHeight="1" thickBot="1" x14ac:dyDescent="0.3">
      <c r="A15" s="18" t="s">
        <v>20</v>
      </c>
      <c r="B15" s="174">
        <f>SUM(B13:B14)</f>
        <v>1378967.01</v>
      </c>
      <c r="C15" s="19">
        <f>SUM(C13:C14)</f>
        <v>343.2</v>
      </c>
      <c r="D15" s="20">
        <f>(D13+D14)/2</f>
        <v>2.2211002193068069E-2</v>
      </c>
      <c r="E15" s="279"/>
      <c r="F15" s="169">
        <f>F10/250*F13</f>
        <v>7061.1839999999993</v>
      </c>
    </row>
    <row r="16" spans="1:8" ht="15.75" customHeight="1" thickBot="1" x14ac:dyDescent="0.3">
      <c r="C16" s="5"/>
      <c r="D16" s="21"/>
      <c r="E16" s="10"/>
      <c r="F16" s="175"/>
    </row>
    <row r="17" spans="1:6" ht="15.75" customHeight="1" thickBot="1" x14ac:dyDescent="0.3">
      <c r="A17" s="295" t="s">
        <v>21</v>
      </c>
      <c r="B17" s="296"/>
      <c r="C17" s="296"/>
      <c r="D17" s="296"/>
      <c r="E17" s="296"/>
      <c r="F17" s="297"/>
    </row>
    <row r="18" spans="1:6" ht="30" customHeight="1" x14ac:dyDescent="0.25">
      <c r="A18" s="24" t="s">
        <v>22</v>
      </c>
      <c r="B18" s="176">
        <f>B15-B8</f>
        <v>-160030.59000000008</v>
      </c>
      <c r="C18" s="282" t="s">
        <v>23</v>
      </c>
      <c r="D18" s="283"/>
      <c r="E18" s="283"/>
      <c r="F18" s="284"/>
    </row>
    <row r="19" spans="1:6" ht="30.75" customHeight="1" thickBot="1" x14ac:dyDescent="0.3">
      <c r="A19" s="25" t="s">
        <v>24</v>
      </c>
      <c r="B19" s="177">
        <f>B3-B8</f>
        <v>-164722.92000000016</v>
      </c>
      <c r="C19" s="301" t="s">
        <v>25</v>
      </c>
      <c r="D19" s="302"/>
      <c r="E19" s="302"/>
      <c r="F19" s="303"/>
    </row>
  </sheetData>
  <mergeCells count="18">
    <mergeCell ref="C19:F19"/>
    <mergeCell ref="D12:E12"/>
    <mergeCell ref="C3:C5"/>
    <mergeCell ref="E3:E4"/>
    <mergeCell ref="A3:A5"/>
    <mergeCell ref="F3:F4"/>
    <mergeCell ref="D3:D4"/>
    <mergeCell ref="B3:B5"/>
    <mergeCell ref="E13:E15"/>
    <mergeCell ref="F13:F14"/>
    <mergeCell ref="C18:F18"/>
    <mergeCell ref="A8:A10"/>
    <mergeCell ref="E8:E9"/>
    <mergeCell ref="F8:F9"/>
    <mergeCell ref="D8:D9"/>
    <mergeCell ref="A17:F17"/>
    <mergeCell ref="B8:B10"/>
    <mergeCell ref="C8:C10"/>
  </mergeCells>
  <pageMargins left="0.51181102362204722" right="0.51181102362204722" top="0.78740157480314965" bottom="0.78740157480314965" header="0.31496062992125978" footer="0.31496062992125978"/>
  <pageSetup paperSize="9" orientation="landscape"/>
  <headerFooter>
    <oddHeader>&amp;CANÁLISE DOS CENÁRIOS PARA ESCOLHA DA MELHOR OPÇÃO DE MONTAGEM DA USINA FOTOVOLTAICA - CASA DO PICA PAU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93"/>
  <sheetViews>
    <sheetView tabSelected="1" zoomScale="70" zoomScaleNormal="70" workbookViewId="0">
      <pane xSplit="3" ySplit="1" topLeftCell="CU229" activePane="bottomRight" state="frozen"/>
      <selection pane="topRight" activeCell="B1" sqref="B1"/>
      <selection pane="bottomLeft" activeCell="A2" sqref="A2"/>
      <selection pane="bottomRight" activeCell="DA239" sqref="DA239"/>
    </sheetView>
  </sheetViews>
  <sheetFormatPr defaultRowHeight="19.899999999999999" customHeight="1" x14ac:dyDescent="0.3"/>
  <cols>
    <col min="1" max="1" width="18.85546875" bestFit="1" customWidth="1"/>
    <col min="2" max="2" width="15.7109375" style="33" customWidth="1"/>
    <col min="3" max="3" width="39.7109375" customWidth="1"/>
    <col min="4" max="4" width="21.7109375" style="33" customWidth="1"/>
    <col min="5" max="5" width="21" style="48" customWidth="1"/>
    <col min="6" max="6" width="15.140625" style="29" customWidth="1"/>
    <col min="7" max="7" width="12.42578125" style="29" customWidth="1"/>
    <col min="8" max="8" width="15.28515625" style="29" customWidth="1"/>
    <col min="9" max="9" width="23.140625" style="48" bestFit="1" customWidth="1"/>
    <col min="10" max="10" width="33" style="33" customWidth="1"/>
    <col min="11" max="11" width="18.28515625" style="33" bestFit="1" customWidth="1"/>
    <col min="12" max="12" width="17.28515625" style="67" customWidth="1"/>
    <col min="13" max="13" width="29.5703125" customWidth="1"/>
    <col min="14" max="14" width="29" customWidth="1"/>
    <col min="15" max="18" width="17.85546875" customWidth="1"/>
    <col min="19" max="19" width="14.5703125" customWidth="1"/>
    <col min="20" max="23" width="16.7109375" customWidth="1"/>
    <col min="24" max="24" width="14.28515625" customWidth="1"/>
    <col min="25" max="26" width="11.7109375" customWidth="1"/>
    <col min="27" max="27" width="15.85546875" customWidth="1"/>
    <col min="28" max="29" width="16.7109375" customWidth="1"/>
    <col min="30" max="34" width="15.7109375" style="29" customWidth="1"/>
    <col min="35" max="35" width="14.7109375" customWidth="1"/>
    <col min="36" max="36" width="12.5703125" customWidth="1"/>
    <col min="37" max="37" width="16.7109375" bestFit="1" customWidth="1"/>
    <col min="38" max="38" width="15.42578125" customWidth="1"/>
    <col min="39" max="39" width="15" style="178" customWidth="1"/>
    <col min="40" max="42" width="20.42578125" bestFit="1" customWidth="1"/>
    <col min="43" max="43" width="20.28515625" bestFit="1" customWidth="1"/>
    <col min="44" max="44" width="22.28515625" style="178" bestFit="1" customWidth="1"/>
    <col min="45" max="48" width="19.85546875" customWidth="1"/>
    <col min="49" max="52" width="18.85546875" customWidth="1"/>
    <col min="53" max="53" width="18.85546875" style="178" customWidth="1"/>
    <col min="54" max="55" width="22.42578125" style="51" bestFit="1" customWidth="1"/>
    <col min="56" max="59" width="21.28515625" style="51" bestFit="1" customWidth="1"/>
    <col min="60" max="60" width="18" style="51" bestFit="1" customWidth="1"/>
    <col min="61" max="61" width="16.85546875" style="51" bestFit="1" customWidth="1"/>
    <col min="62" max="68" width="20.7109375" style="29" customWidth="1"/>
    <col min="69" max="69" width="27.42578125" style="29" bestFit="1" customWidth="1"/>
    <col min="70" max="70" width="27.28515625" style="29" customWidth="1"/>
    <col min="71" max="72" width="20.7109375" style="29" customWidth="1"/>
    <col min="73" max="73" width="27.42578125" style="29" bestFit="1" customWidth="1"/>
    <col min="74" max="75" width="20.7109375" style="29" customWidth="1"/>
    <col min="76" max="76" width="27.42578125" style="29" bestFit="1" customWidth="1"/>
    <col min="77" max="91" width="20.7109375" style="29" customWidth="1"/>
    <col min="92" max="92" width="26.5703125" style="29" bestFit="1" customWidth="1"/>
    <col min="93" max="93" width="20" style="60" bestFit="1" customWidth="1"/>
    <col min="94" max="94" width="16.85546875" style="29" customWidth="1"/>
    <col min="95" max="95" width="19.7109375" style="29" customWidth="1"/>
    <col min="96" max="96" width="15.5703125" style="60" customWidth="1"/>
    <col min="97" max="97" width="69.5703125" style="51" customWidth="1"/>
    <col min="98" max="98" width="18.42578125" bestFit="1" customWidth="1"/>
    <col min="99" max="99" width="21.140625" customWidth="1"/>
    <col min="100" max="100" width="18.85546875" customWidth="1"/>
    <col min="101" max="101" width="18.140625" bestFit="1" customWidth="1"/>
  </cols>
  <sheetData>
    <row r="1" spans="1:101" ht="84" customHeight="1" x14ac:dyDescent="0.25">
      <c r="A1" s="63" t="s">
        <v>26</v>
      </c>
      <c r="B1" s="43" t="s">
        <v>27</v>
      </c>
      <c r="C1" s="79" t="s">
        <v>28</v>
      </c>
      <c r="D1" s="43" t="s">
        <v>29</v>
      </c>
      <c r="E1" s="46" t="s">
        <v>30</v>
      </c>
      <c r="F1" s="80" t="s">
        <v>31</v>
      </c>
      <c r="G1" s="80" t="s">
        <v>32</v>
      </c>
      <c r="H1" s="80" t="s">
        <v>33</v>
      </c>
      <c r="I1" s="46" t="s">
        <v>34</v>
      </c>
      <c r="J1" s="43" t="s">
        <v>35</v>
      </c>
      <c r="K1" s="43" t="s">
        <v>36</v>
      </c>
      <c r="L1" s="46" t="s">
        <v>37</v>
      </c>
      <c r="M1" s="81" t="s">
        <v>38</v>
      </c>
      <c r="N1" s="81" t="s">
        <v>39</v>
      </c>
      <c r="O1" s="82" t="s">
        <v>40</v>
      </c>
      <c r="P1" s="82" t="s">
        <v>41</v>
      </c>
      <c r="Q1" s="82" t="s">
        <v>42</v>
      </c>
      <c r="R1" s="82" t="s">
        <v>43</v>
      </c>
      <c r="S1" s="82" t="s">
        <v>44</v>
      </c>
      <c r="T1" s="82" t="s">
        <v>45</v>
      </c>
      <c r="U1" s="43" t="s">
        <v>46</v>
      </c>
      <c r="V1" s="43" t="s">
        <v>47</v>
      </c>
      <c r="W1" s="43" t="s">
        <v>48</v>
      </c>
      <c r="X1" s="43" t="s">
        <v>49</v>
      </c>
      <c r="Y1" s="43" t="s">
        <v>50</v>
      </c>
      <c r="Z1" s="43" t="s">
        <v>51</v>
      </c>
      <c r="AA1" s="43" t="s">
        <v>52</v>
      </c>
      <c r="AB1" s="83" t="s">
        <v>53</v>
      </c>
      <c r="AC1" s="83" t="s">
        <v>54</v>
      </c>
      <c r="AD1" s="80" t="s">
        <v>55</v>
      </c>
      <c r="AE1" s="80" t="s">
        <v>56</v>
      </c>
      <c r="AF1" s="80" t="s">
        <v>57</v>
      </c>
      <c r="AG1" s="80" t="s">
        <v>58</v>
      </c>
      <c r="AH1" s="80" t="s">
        <v>59</v>
      </c>
      <c r="AI1" s="84" t="s">
        <v>60</v>
      </c>
      <c r="AJ1" s="84" t="s">
        <v>61</v>
      </c>
      <c r="AK1" s="84" t="s">
        <v>62</v>
      </c>
      <c r="AL1" s="84" t="s">
        <v>63</v>
      </c>
      <c r="AM1" s="179" t="s">
        <v>64</v>
      </c>
      <c r="AN1" s="85" t="s">
        <v>65</v>
      </c>
      <c r="AO1" s="85" t="s">
        <v>66</v>
      </c>
      <c r="AP1" s="85" t="s">
        <v>67</v>
      </c>
      <c r="AQ1" s="85" t="s">
        <v>68</v>
      </c>
      <c r="AR1" s="180" t="s">
        <v>69</v>
      </c>
      <c r="AS1" s="86" t="s">
        <v>70</v>
      </c>
      <c r="AT1" s="86" t="s">
        <v>71</v>
      </c>
      <c r="AU1" s="86" t="s">
        <v>72</v>
      </c>
      <c r="AV1" s="86" t="s">
        <v>73</v>
      </c>
      <c r="AW1" s="87" t="s">
        <v>74</v>
      </c>
      <c r="AX1" s="87" t="s">
        <v>75</v>
      </c>
      <c r="AY1" s="87" t="s">
        <v>76</v>
      </c>
      <c r="AZ1" s="87" t="s">
        <v>77</v>
      </c>
      <c r="BA1" s="181" t="s">
        <v>78</v>
      </c>
      <c r="BB1" s="45" t="s">
        <v>79</v>
      </c>
      <c r="BC1" s="45" t="s">
        <v>80</v>
      </c>
      <c r="BD1" s="45" t="s">
        <v>81</v>
      </c>
      <c r="BE1" s="45" t="s">
        <v>82</v>
      </c>
      <c r="BF1" s="45" t="s">
        <v>83</v>
      </c>
      <c r="BG1" s="45" t="s">
        <v>84</v>
      </c>
      <c r="BH1" s="45" t="s">
        <v>85</v>
      </c>
      <c r="BI1" s="45" t="s">
        <v>86</v>
      </c>
      <c r="BJ1" s="88" t="s">
        <v>87</v>
      </c>
      <c r="BK1" s="89" t="s">
        <v>88</v>
      </c>
      <c r="BL1" s="90" t="s">
        <v>89</v>
      </c>
      <c r="BM1" s="90" t="s">
        <v>90</v>
      </c>
      <c r="BN1" s="90" t="s">
        <v>91</v>
      </c>
      <c r="BO1" s="91" t="s">
        <v>92</v>
      </c>
      <c r="BP1" s="91" t="s">
        <v>93</v>
      </c>
      <c r="BQ1" s="89" t="s">
        <v>94</v>
      </c>
      <c r="BR1" s="89" t="s">
        <v>95</v>
      </c>
      <c r="BS1" s="90" t="s">
        <v>96</v>
      </c>
      <c r="BT1" s="91" t="s">
        <v>97</v>
      </c>
      <c r="BU1" s="89" t="s">
        <v>98</v>
      </c>
      <c r="BV1" s="90" t="s">
        <v>99</v>
      </c>
      <c r="BW1" s="91" t="s">
        <v>100</v>
      </c>
      <c r="BX1" s="89" t="s">
        <v>101</v>
      </c>
      <c r="BY1" s="90" t="s">
        <v>102</v>
      </c>
      <c r="BZ1" s="91" t="s">
        <v>103</v>
      </c>
      <c r="CA1" s="89" t="s">
        <v>104</v>
      </c>
      <c r="CB1" s="90" t="s">
        <v>105</v>
      </c>
      <c r="CC1" s="91" t="s">
        <v>106</v>
      </c>
      <c r="CD1" s="89" t="s">
        <v>107</v>
      </c>
      <c r="CE1" s="90" t="s">
        <v>108</v>
      </c>
      <c r="CF1" s="91" t="s">
        <v>109</v>
      </c>
      <c r="CG1" s="89" t="s">
        <v>110</v>
      </c>
      <c r="CH1" s="90" t="s">
        <v>111</v>
      </c>
      <c r="CI1" s="91" t="s">
        <v>112</v>
      </c>
      <c r="CJ1" s="89" t="s">
        <v>113</v>
      </c>
      <c r="CK1" s="90" t="s">
        <v>114</v>
      </c>
      <c r="CL1" s="91" t="s">
        <v>115</v>
      </c>
      <c r="CM1" s="89" t="s">
        <v>116</v>
      </c>
      <c r="CN1" s="89" t="s">
        <v>117</v>
      </c>
      <c r="CO1" s="59" t="s">
        <v>118</v>
      </c>
      <c r="CP1" s="80" t="s">
        <v>119</v>
      </c>
      <c r="CQ1" s="80" t="s">
        <v>120</v>
      </c>
      <c r="CR1" s="59" t="s">
        <v>121</v>
      </c>
      <c r="CS1" s="45" t="s">
        <v>122</v>
      </c>
      <c r="CT1" s="68" t="s">
        <v>123</v>
      </c>
      <c r="CU1" s="161" t="s">
        <v>124</v>
      </c>
      <c r="CV1" s="161" t="s">
        <v>125</v>
      </c>
      <c r="CW1" s="161" t="s">
        <v>126</v>
      </c>
    </row>
    <row r="2" spans="1:101" s="52" customFormat="1" ht="19.899999999999999" customHeight="1" x14ac:dyDescent="0.3">
      <c r="A2" s="92"/>
      <c r="B2" s="49">
        <v>10031292940</v>
      </c>
      <c r="C2" s="92" t="s">
        <v>127</v>
      </c>
      <c r="D2" s="93" t="s">
        <v>128</v>
      </c>
      <c r="E2" s="93" t="s">
        <v>129</v>
      </c>
      <c r="F2" s="94">
        <v>17000</v>
      </c>
      <c r="G2" s="182">
        <v>0.46</v>
      </c>
      <c r="H2" s="95">
        <f t="shared" ref="H2:H65" si="0">F2*G2</f>
        <v>7820</v>
      </c>
      <c r="I2" s="93" t="s">
        <v>130</v>
      </c>
      <c r="J2" s="96" t="s">
        <v>131</v>
      </c>
      <c r="K2" s="49" t="s">
        <v>132</v>
      </c>
      <c r="L2" s="93"/>
      <c r="M2" s="97" t="s">
        <v>133</v>
      </c>
      <c r="N2" s="97" t="s">
        <v>134</v>
      </c>
      <c r="O2" s="183">
        <v>113.84</v>
      </c>
      <c r="P2" s="183">
        <f t="shared" ref="P2:P13" si="1">(R2*AA2)+CV2</f>
        <v>2614.9970742739042</v>
      </c>
      <c r="Q2" s="183">
        <v>0</v>
      </c>
      <c r="R2" s="131">
        <v>90</v>
      </c>
      <c r="S2" s="183">
        <v>27.78</v>
      </c>
      <c r="T2" s="183">
        <v>0</v>
      </c>
      <c r="U2" s="183"/>
      <c r="V2" s="183"/>
      <c r="W2" s="183"/>
      <c r="X2" s="183"/>
      <c r="Y2" s="183"/>
      <c r="Z2" s="183"/>
      <c r="AA2" s="183">
        <v>29.42437860304338</v>
      </c>
      <c r="AB2" s="184">
        <v>2.45086</v>
      </c>
      <c r="AC2" s="184">
        <v>0.52863000000000004</v>
      </c>
      <c r="AD2" s="95">
        <v>0</v>
      </c>
      <c r="AE2" s="95">
        <v>14138.1</v>
      </c>
      <c r="AF2" s="95">
        <v>0</v>
      </c>
      <c r="AG2" s="95">
        <f t="shared" ref="AG2:AG33" si="2">SUM(AD2:AF2)</f>
        <v>14138.1</v>
      </c>
      <c r="AH2" s="95">
        <f t="shared" ref="AH2:AH33" si="3">(AD2*AB2)+((AE2+AF2)*AC2)</f>
        <v>7473.8238030000011</v>
      </c>
      <c r="AI2" s="95">
        <f t="shared" ref="AI2:AI65" si="4">AD2-AS2</f>
        <v>0</v>
      </c>
      <c r="AJ2" s="95">
        <f t="shared" ref="AJ2:AJ65" si="5">AE2-AT2</f>
        <v>9387.9000000000015</v>
      </c>
      <c r="AK2" s="95">
        <f t="shared" ref="AK2:AK65" si="6">AF2-AU2</f>
        <v>0</v>
      </c>
      <c r="AL2" s="95">
        <f t="shared" ref="AL2:AL65" si="7">SUM(AI2:AK2)</f>
        <v>9387.9000000000015</v>
      </c>
      <c r="AM2" s="185">
        <f t="shared" ref="AM2:AM65" si="8">(AI2*AB2)+((AJ2+AK2)*AC2)</f>
        <v>4962.7255770000011</v>
      </c>
      <c r="AN2" s="95">
        <v>547.59</v>
      </c>
      <c r="AO2" s="95">
        <v>3607.8</v>
      </c>
      <c r="AP2" s="95">
        <v>1003.8</v>
      </c>
      <c r="AQ2" s="95">
        <f t="shared" ref="AQ2:AQ65" si="9">SUM(AN2:AP2)</f>
        <v>5159.1900000000005</v>
      </c>
      <c r="AR2" s="183">
        <f t="shared" ref="AR2:AR65" si="10">(AN2*AB2)+((AO2+AP2)*AC2)</f>
        <v>3779.8965354000006</v>
      </c>
      <c r="AS2" s="95">
        <v>0</v>
      </c>
      <c r="AT2" s="95">
        <v>4750.2</v>
      </c>
      <c r="AU2" s="95">
        <v>0</v>
      </c>
      <c r="AV2" s="95">
        <f t="shared" ref="AV2:AV26" si="11">SUM(AS2:AU2)</f>
        <v>4750.2</v>
      </c>
      <c r="AW2" s="95">
        <v>547.59</v>
      </c>
      <c r="AX2" s="95">
        <v>3507.8</v>
      </c>
      <c r="AY2" s="95">
        <v>1003.8</v>
      </c>
      <c r="AZ2" s="95">
        <f t="shared" ref="AZ2:AZ27" si="12">SUM(AW2:AY2)</f>
        <v>5059.1900000000005</v>
      </c>
      <c r="BA2" s="185">
        <f t="shared" ref="BA2:BA27" si="13">(AW2*AB2)+((AX2+AY2)*AC2)</f>
        <v>3727.0335354000003</v>
      </c>
      <c r="BB2" s="94">
        <f t="shared" ref="BB2:BB65" si="14">AN2-AW2</f>
        <v>0</v>
      </c>
      <c r="BC2" s="94">
        <f>BB2*0.86064</f>
        <v>0</v>
      </c>
      <c r="BD2" s="94">
        <f t="shared" ref="BD2:BD65" si="15">AO2-AX2</f>
        <v>100</v>
      </c>
      <c r="BE2" s="94">
        <f>BD2*0.86064</f>
        <v>86.063999999999993</v>
      </c>
      <c r="BF2" s="94">
        <f t="shared" ref="BF2:BF65" si="16">AP2-AY2</f>
        <v>0</v>
      </c>
      <c r="BG2" s="94">
        <f>BF2*0.86064</f>
        <v>0</v>
      </c>
      <c r="BH2" s="94">
        <f t="shared" ref="BH2:BH65" si="17">BB2+BD2+BF2</f>
        <v>100</v>
      </c>
      <c r="BI2" s="94">
        <f t="shared" ref="BI2:BI65" si="18">BC2+BE2+BG2</f>
        <v>86.063999999999993</v>
      </c>
      <c r="BJ2" s="186">
        <f t="shared" ref="BJ2:BJ65" si="19">BL2+BS2+BV2+BY2+CB2+CE2+CH2+CK2</f>
        <v>14447.090000000002</v>
      </c>
      <c r="BK2" s="185">
        <f t="shared" ref="BK2:BK65" si="20">((AI2+AW2)*AB2)+((AJ2+AK2+AX2+AY2)*AC2)</f>
        <v>8689.759112400001</v>
      </c>
      <c r="BL2" s="98">
        <f t="shared" ref="BL2:BL65" si="21">BM2+BN2+AL2</f>
        <v>14447.090000000002</v>
      </c>
      <c r="BM2" s="99">
        <f t="shared" ref="BM2:BM27" si="22">AW2</f>
        <v>547.59</v>
      </c>
      <c r="BN2" s="99">
        <f t="shared" ref="BN2:BN27" si="23">AX2+AY2</f>
        <v>4511.6000000000004</v>
      </c>
      <c r="BO2" s="182"/>
      <c r="BP2" s="182"/>
      <c r="BQ2" s="182">
        <v>0</v>
      </c>
      <c r="BR2" s="182"/>
      <c r="BS2" s="95">
        <v>0</v>
      </c>
      <c r="BT2" s="182"/>
      <c r="BU2" s="182">
        <v>0</v>
      </c>
      <c r="BV2" s="95">
        <v>0</v>
      </c>
      <c r="BW2" s="182"/>
      <c r="BX2" s="182">
        <v>0</v>
      </c>
      <c r="BY2" s="95"/>
      <c r="BZ2" s="182"/>
      <c r="CA2" s="95"/>
      <c r="CB2" s="95"/>
      <c r="CC2" s="182"/>
      <c r="CD2" s="95"/>
      <c r="CE2" s="95"/>
      <c r="CF2" s="182"/>
      <c r="CG2" s="95"/>
      <c r="CH2" s="95"/>
      <c r="CI2" s="182"/>
      <c r="CJ2" s="95"/>
      <c r="CK2" s="95"/>
      <c r="CL2" s="182"/>
      <c r="CM2" s="95"/>
      <c r="CN2" s="182">
        <f t="shared" ref="CN2:CN27" si="24">BK2+BU2+BX2+CA2+CD2+CG2+CJ2+CM2</f>
        <v>8689.759112400001</v>
      </c>
      <c r="CO2" s="100">
        <f>AV2-(AZ2+BS2+BV2+BY2)+3622.87</f>
        <v>3313.8799999999992</v>
      </c>
      <c r="CP2" s="182">
        <f t="shared" ref="CP2:CP26" si="25">CR2*G2</f>
        <v>-142.1354</v>
      </c>
      <c r="CQ2" s="95">
        <f t="shared" ref="CQ2:CQ27" si="26">AL2+AZ2+AQ2</f>
        <v>19606.280000000002</v>
      </c>
      <c r="CR2" s="100">
        <v>-308.99</v>
      </c>
      <c r="CS2" s="101"/>
      <c r="CT2" s="101"/>
      <c r="CU2" s="187">
        <f t="shared" ref="CU2:CU12" si="27">(BB2* AB2)+(BD2* AC2)+(BF2* AC2)+(S2+T2+U2+V2+W2+X2+Y2+Z2)</f>
        <v>80.643000000000001</v>
      </c>
      <c r="CV2" s="187">
        <f t="shared" ref="CV2:CV12" si="28">CU2-O2</f>
        <v>-33.197000000000003</v>
      </c>
      <c r="CW2" s="240"/>
    </row>
    <row r="3" spans="1:101" s="152" customFormat="1" ht="19.899999999999999" customHeight="1" x14ac:dyDescent="0.3">
      <c r="A3" s="148"/>
      <c r="B3" s="50">
        <v>10031292940</v>
      </c>
      <c r="C3" s="148" t="s">
        <v>127</v>
      </c>
      <c r="D3" s="104" t="s">
        <v>128</v>
      </c>
      <c r="E3" s="104" t="s">
        <v>129</v>
      </c>
      <c r="F3" s="105">
        <v>17000</v>
      </c>
      <c r="G3" s="188">
        <v>0.46</v>
      </c>
      <c r="H3" s="118">
        <f t="shared" si="0"/>
        <v>7820</v>
      </c>
      <c r="I3" s="104" t="s">
        <v>130</v>
      </c>
      <c r="J3" s="107" t="s">
        <v>131</v>
      </c>
      <c r="K3" s="50" t="s">
        <v>132</v>
      </c>
      <c r="L3" s="104"/>
      <c r="M3" s="149" t="s">
        <v>135</v>
      </c>
      <c r="N3" s="149" t="s">
        <v>136</v>
      </c>
      <c r="O3" s="189">
        <v>313.47000000000003</v>
      </c>
      <c r="P3" s="189">
        <f t="shared" si="1"/>
        <v>2625.2857586293203</v>
      </c>
      <c r="Q3" s="189">
        <v>0</v>
      </c>
      <c r="R3" s="150">
        <v>90</v>
      </c>
      <c r="S3" s="189">
        <f>226.24+0.83</f>
        <v>227.07000000000002</v>
      </c>
      <c r="T3" s="189">
        <v>0</v>
      </c>
      <c r="U3" s="189"/>
      <c r="V3" s="189"/>
      <c r="W3" s="189"/>
      <c r="X3" s="189"/>
      <c r="Y3" s="189"/>
      <c r="Z3" s="189"/>
      <c r="AA3" s="189">
        <v>29.540141762548</v>
      </c>
      <c r="AB3" s="190">
        <v>2.4605229999999998</v>
      </c>
      <c r="AC3" s="190">
        <v>0.53073000000000004</v>
      </c>
      <c r="AD3" s="118">
        <v>0</v>
      </c>
      <c r="AE3" s="118">
        <v>13035.4</v>
      </c>
      <c r="AF3" s="118">
        <v>0</v>
      </c>
      <c r="AG3" s="118">
        <f t="shared" si="2"/>
        <v>13035.4</v>
      </c>
      <c r="AH3" s="118">
        <f t="shared" si="3"/>
        <v>6918.2778420000004</v>
      </c>
      <c r="AI3" s="118">
        <f t="shared" si="4"/>
        <v>0</v>
      </c>
      <c r="AJ3" s="118">
        <f t="shared" si="5"/>
        <v>9263.7999999999993</v>
      </c>
      <c r="AK3" s="118">
        <f t="shared" si="6"/>
        <v>0</v>
      </c>
      <c r="AL3" s="118">
        <f t="shared" si="7"/>
        <v>9263.7999999999993</v>
      </c>
      <c r="AM3" s="191">
        <f t="shared" si="8"/>
        <v>4916.5765739999997</v>
      </c>
      <c r="AN3" s="118">
        <v>414.07</v>
      </c>
      <c r="AO3" s="118">
        <v>3565.8</v>
      </c>
      <c r="AP3" s="118">
        <v>949.2</v>
      </c>
      <c r="AQ3" s="118">
        <f t="shared" si="9"/>
        <v>4929.0700000000006</v>
      </c>
      <c r="AR3" s="189">
        <f t="shared" si="10"/>
        <v>3415.07470861</v>
      </c>
      <c r="AS3" s="118">
        <v>0</v>
      </c>
      <c r="AT3" s="118">
        <v>3771.6</v>
      </c>
      <c r="AU3" s="118">
        <v>0</v>
      </c>
      <c r="AV3" s="118">
        <f t="shared" si="11"/>
        <v>3771.6</v>
      </c>
      <c r="AW3" s="118">
        <v>414.07</v>
      </c>
      <c r="AX3" s="118">
        <v>3465.8</v>
      </c>
      <c r="AY3" s="118">
        <v>949.2</v>
      </c>
      <c r="AZ3" s="118">
        <f t="shared" si="12"/>
        <v>4829.0700000000006</v>
      </c>
      <c r="BA3" s="191">
        <f t="shared" si="13"/>
        <v>3362.0017086100002</v>
      </c>
      <c r="BB3" s="105">
        <f t="shared" si="14"/>
        <v>0</v>
      </c>
      <c r="BC3" s="105">
        <f>BB3* 0.864042</f>
        <v>0</v>
      </c>
      <c r="BD3" s="105">
        <f t="shared" si="15"/>
        <v>100</v>
      </c>
      <c r="BE3" s="105">
        <f>BD3* 0.864042</f>
        <v>86.404200000000003</v>
      </c>
      <c r="BF3" s="105">
        <f t="shared" si="16"/>
        <v>0</v>
      </c>
      <c r="BG3" s="105">
        <f>BF3* 0.864042</f>
        <v>0</v>
      </c>
      <c r="BH3" s="105">
        <f t="shared" si="17"/>
        <v>100</v>
      </c>
      <c r="BI3" s="105">
        <f t="shared" si="18"/>
        <v>86.404200000000003</v>
      </c>
      <c r="BJ3" s="186">
        <f t="shared" si="19"/>
        <v>14092.869999999999</v>
      </c>
      <c r="BK3" s="191">
        <f t="shared" si="20"/>
        <v>8278.5782826100003</v>
      </c>
      <c r="BL3" s="98">
        <f t="shared" si="21"/>
        <v>14092.869999999999</v>
      </c>
      <c r="BM3" s="118">
        <f t="shared" si="22"/>
        <v>414.07</v>
      </c>
      <c r="BN3" s="118">
        <f t="shared" si="23"/>
        <v>4415</v>
      </c>
      <c r="BO3" s="188"/>
      <c r="BP3" s="188"/>
      <c r="BQ3" s="188">
        <v>0</v>
      </c>
      <c r="BR3" s="188"/>
      <c r="BS3" s="118">
        <v>0</v>
      </c>
      <c r="BT3" s="188"/>
      <c r="BU3" s="188">
        <v>0</v>
      </c>
      <c r="BV3" s="118">
        <v>0</v>
      </c>
      <c r="BW3" s="188"/>
      <c r="BX3" s="188">
        <v>0</v>
      </c>
      <c r="BY3" s="118"/>
      <c r="BZ3" s="188"/>
      <c r="CA3" s="118"/>
      <c r="CB3" s="118"/>
      <c r="CC3" s="188"/>
      <c r="CD3" s="118"/>
      <c r="CE3" s="118"/>
      <c r="CF3" s="188"/>
      <c r="CG3" s="118"/>
      <c r="CH3" s="118"/>
      <c r="CI3" s="188"/>
      <c r="CJ3" s="118"/>
      <c r="CK3" s="118"/>
      <c r="CL3" s="188"/>
      <c r="CM3" s="118"/>
      <c r="CN3" s="188">
        <f t="shared" si="24"/>
        <v>8278.5782826100003</v>
      </c>
      <c r="CO3" s="112">
        <f t="shared" ref="CO3:CO13" si="29">(AV3-(AZ3+BV3+BY3+CB3+CE3+CH3+CK3+BS3)+CO2)</f>
        <v>2256.4099999999985</v>
      </c>
      <c r="CP3" s="188">
        <f t="shared" si="25"/>
        <v>-486.43620000000004</v>
      </c>
      <c r="CQ3" s="118">
        <f t="shared" si="26"/>
        <v>19021.939999999999</v>
      </c>
      <c r="CR3" s="112">
        <v>-1057.47</v>
      </c>
      <c r="CS3" s="151"/>
      <c r="CT3" s="151"/>
      <c r="CU3" s="192">
        <f t="shared" si="27"/>
        <v>280.14300000000003</v>
      </c>
      <c r="CV3" s="192">
        <f t="shared" si="28"/>
        <v>-33.326999999999998</v>
      </c>
      <c r="CW3" s="241"/>
    </row>
    <row r="4" spans="1:101" s="52" customFormat="1" ht="19.899999999999999" customHeight="1" x14ac:dyDescent="0.3">
      <c r="A4" s="92"/>
      <c r="B4" s="49">
        <v>10031292940</v>
      </c>
      <c r="C4" s="92" t="s">
        <v>127</v>
      </c>
      <c r="D4" s="93" t="s">
        <v>128</v>
      </c>
      <c r="E4" s="93" t="s">
        <v>129</v>
      </c>
      <c r="F4" s="94">
        <v>17000</v>
      </c>
      <c r="G4" s="182">
        <v>0.46</v>
      </c>
      <c r="H4" s="95">
        <f t="shared" si="0"/>
        <v>7820</v>
      </c>
      <c r="I4" s="93" t="s">
        <v>130</v>
      </c>
      <c r="J4" s="96" t="s">
        <v>131</v>
      </c>
      <c r="K4" s="49" t="s">
        <v>132</v>
      </c>
      <c r="L4" s="93"/>
      <c r="M4" s="97" t="s">
        <v>137</v>
      </c>
      <c r="N4" s="97" t="s">
        <v>138</v>
      </c>
      <c r="O4" s="183">
        <v>128.29</v>
      </c>
      <c r="P4" s="183">
        <f t="shared" si="1"/>
        <v>2505.406143307122</v>
      </c>
      <c r="Q4" s="183">
        <v>0</v>
      </c>
      <c r="R4" s="131">
        <v>90</v>
      </c>
      <c r="S4" s="183">
        <v>45.84</v>
      </c>
      <c r="T4" s="183">
        <v>0</v>
      </c>
      <c r="U4" s="183"/>
      <c r="V4" s="183"/>
      <c r="W4" s="183"/>
      <c r="X4" s="183"/>
      <c r="Y4" s="183"/>
      <c r="Z4" s="183"/>
      <c r="AA4" s="183">
        <v>28.191186036745801</v>
      </c>
      <c r="AB4" s="184">
        <v>2.3481619999999999</v>
      </c>
      <c r="AC4" s="184">
        <v>0.506494</v>
      </c>
      <c r="AD4" s="95">
        <v>0</v>
      </c>
      <c r="AE4" s="95">
        <v>12640.5</v>
      </c>
      <c r="AF4" s="95">
        <v>0</v>
      </c>
      <c r="AG4" s="95">
        <f t="shared" si="2"/>
        <v>12640.5</v>
      </c>
      <c r="AH4" s="95">
        <f t="shared" si="3"/>
        <v>6402.337407</v>
      </c>
      <c r="AI4" s="95">
        <f t="shared" si="4"/>
        <v>0</v>
      </c>
      <c r="AJ4" s="95">
        <f t="shared" si="5"/>
        <v>9515.7000000000007</v>
      </c>
      <c r="AK4" s="95">
        <f t="shared" si="6"/>
        <v>0</v>
      </c>
      <c r="AL4" s="95">
        <f t="shared" si="7"/>
        <v>9515.7000000000007</v>
      </c>
      <c r="AM4" s="185">
        <f t="shared" si="8"/>
        <v>4819.6449558000004</v>
      </c>
      <c r="AN4" s="95">
        <v>589</v>
      </c>
      <c r="AO4" s="95">
        <v>3431.4</v>
      </c>
      <c r="AP4" s="95">
        <v>1146.5999999999999</v>
      </c>
      <c r="AQ4" s="95">
        <f t="shared" si="9"/>
        <v>5167</v>
      </c>
      <c r="AR4" s="183">
        <f t="shared" si="10"/>
        <v>3701.7969499999999</v>
      </c>
      <c r="AS4" s="95">
        <v>0</v>
      </c>
      <c r="AT4" s="95">
        <v>3124.8</v>
      </c>
      <c r="AU4" s="95">
        <v>0</v>
      </c>
      <c r="AV4" s="95">
        <f t="shared" si="11"/>
        <v>3124.8</v>
      </c>
      <c r="AW4" s="95">
        <v>589</v>
      </c>
      <c r="AX4" s="95">
        <v>3331.4</v>
      </c>
      <c r="AY4" s="95">
        <v>1146.5999999999999</v>
      </c>
      <c r="AZ4" s="95">
        <f t="shared" si="12"/>
        <v>5067</v>
      </c>
      <c r="BA4" s="185">
        <f t="shared" si="13"/>
        <v>3651.1475499999997</v>
      </c>
      <c r="BB4" s="94">
        <f t="shared" si="14"/>
        <v>0</v>
      </c>
      <c r="BC4" s="94">
        <f>BB4*0.824586</f>
        <v>0</v>
      </c>
      <c r="BD4" s="94">
        <f t="shared" si="15"/>
        <v>100</v>
      </c>
      <c r="BE4" s="94">
        <f>BD4*0.824586</f>
        <v>82.458600000000004</v>
      </c>
      <c r="BF4" s="94">
        <f t="shared" si="16"/>
        <v>0</v>
      </c>
      <c r="BG4" s="94">
        <f>BF4*0.824586</f>
        <v>0</v>
      </c>
      <c r="BH4" s="94">
        <f t="shared" si="17"/>
        <v>100</v>
      </c>
      <c r="BI4" s="94">
        <f t="shared" si="18"/>
        <v>82.458600000000004</v>
      </c>
      <c r="BJ4" s="186">
        <f t="shared" si="19"/>
        <v>14582.7</v>
      </c>
      <c r="BK4" s="185">
        <f t="shared" si="20"/>
        <v>8470.7925058000001</v>
      </c>
      <c r="BL4" s="98">
        <f t="shared" si="21"/>
        <v>14582.7</v>
      </c>
      <c r="BM4" s="99">
        <f t="shared" si="22"/>
        <v>589</v>
      </c>
      <c r="BN4" s="99">
        <f t="shared" si="23"/>
        <v>4478</v>
      </c>
      <c r="BO4" s="182"/>
      <c r="BP4" s="182"/>
      <c r="BQ4" s="182">
        <v>0</v>
      </c>
      <c r="BR4" s="182"/>
      <c r="BS4" s="95">
        <v>0</v>
      </c>
      <c r="BT4" s="182"/>
      <c r="BU4" s="182">
        <v>0</v>
      </c>
      <c r="BV4" s="95">
        <v>0</v>
      </c>
      <c r="BW4" s="182"/>
      <c r="BX4" s="182">
        <v>0</v>
      </c>
      <c r="BY4" s="95"/>
      <c r="BZ4" s="182"/>
      <c r="CA4" s="95"/>
      <c r="CB4" s="95"/>
      <c r="CC4" s="182"/>
      <c r="CD4" s="95"/>
      <c r="CE4" s="95"/>
      <c r="CF4" s="182"/>
      <c r="CG4" s="95"/>
      <c r="CH4" s="95"/>
      <c r="CI4" s="182"/>
      <c r="CJ4" s="95"/>
      <c r="CK4" s="95"/>
      <c r="CL4" s="182"/>
      <c r="CM4" s="95"/>
      <c r="CN4" s="182">
        <f t="shared" si="24"/>
        <v>8470.7925058000001</v>
      </c>
      <c r="CO4" s="102">
        <f t="shared" si="29"/>
        <v>314.20999999999867</v>
      </c>
      <c r="CP4" s="182">
        <f t="shared" si="25"/>
        <v>-893.41200000000003</v>
      </c>
      <c r="CQ4" s="95">
        <f t="shared" si="26"/>
        <v>19749.7</v>
      </c>
      <c r="CR4" s="102">
        <v>-1942.2</v>
      </c>
      <c r="CS4" s="101"/>
      <c r="CT4" s="101"/>
      <c r="CU4" s="187">
        <f t="shared" si="27"/>
        <v>96.489400000000003</v>
      </c>
      <c r="CV4" s="187">
        <f t="shared" si="28"/>
        <v>-31.800599999999989</v>
      </c>
      <c r="CW4" s="240"/>
    </row>
    <row r="5" spans="1:101" s="52" customFormat="1" ht="19.899999999999999" customHeight="1" x14ac:dyDescent="0.3">
      <c r="A5" s="148"/>
      <c r="B5" s="50">
        <v>10031292940</v>
      </c>
      <c r="C5" s="148" t="s">
        <v>127</v>
      </c>
      <c r="D5" s="104" t="s">
        <v>128</v>
      </c>
      <c r="E5" s="104" t="s">
        <v>129</v>
      </c>
      <c r="F5" s="105">
        <v>17000</v>
      </c>
      <c r="G5" s="188">
        <v>0.46</v>
      </c>
      <c r="H5" s="118">
        <f t="shared" si="0"/>
        <v>7820</v>
      </c>
      <c r="I5" s="104" t="s">
        <v>130</v>
      </c>
      <c r="J5" s="107" t="s">
        <v>131</v>
      </c>
      <c r="K5" s="50" t="s">
        <v>132</v>
      </c>
      <c r="L5" s="104"/>
      <c r="M5" s="149" t="s">
        <v>139</v>
      </c>
      <c r="N5" s="108" t="s">
        <v>140</v>
      </c>
      <c r="O5" s="193">
        <v>2052.6999999999998</v>
      </c>
      <c r="P5" s="193">
        <f t="shared" si="1"/>
        <v>2765.2109759954219</v>
      </c>
      <c r="Q5" s="193">
        <v>0</v>
      </c>
      <c r="R5" s="109">
        <v>90</v>
      </c>
      <c r="S5" s="193">
        <v>0</v>
      </c>
      <c r="T5" s="193">
        <v>0</v>
      </c>
      <c r="U5" s="193"/>
      <c r="V5" s="193"/>
      <c r="W5" s="193"/>
      <c r="X5" s="193"/>
      <c r="Y5" s="193"/>
      <c r="Z5" s="193"/>
      <c r="AA5" s="193">
        <v>28.550603237282459</v>
      </c>
      <c r="AB5" s="194">
        <v>2.3780990000000002</v>
      </c>
      <c r="AC5" s="194">
        <v>0.51295100000000005</v>
      </c>
      <c r="AD5" s="106">
        <v>0</v>
      </c>
      <c r="AE5" s="106">
        <v>8693.4</v>
      </c>
      <c r="AF5" s="106">
        <v>0</v>
      </c>
      <c r="AG5" s="106">
        <f t="shared" si="2"/>
        <v>8693.4</v>
      </c>
      <c r="AH5" s="106">
        <f t="shared" si="3"/>
        <v>4459.2882233999999</v>
      </c>
      <c r="AI5" s="106">
        <f t="shared" si="4"/>
        <v>0</v>
      </c>
      <c r="AJ5" s="106">
        <f t="shared" si="5"/>
        <v>6223.7999999999993</v>
      </c>
      <c r="AK5" s="106">
        <f t="shared" si="6"/>
        <v>0</v>
      </c>
      <c r="AL5" s="106">
        <f t="shared" si="7"/>
        <v>6223.7999999999993</v>
      </c>
      <c r="AM5" s="191">
        <f t="shared" si="8"/>
        <v>3192.5044337999998</v>
      </c>
      <c r="AN5" s="106">
        <v>529.45000000000005</v>
      </c>
      <c r="AO5" s="106">
        <v>3540.6</v>
      </c>
      <c r="AP5" s="106">
        <v>1171.8</v>
      </c>
      <c r="AQ5" s="106">
        <f t="shared" si="9"/>
        <v>5241.8500000000004</v>
      </c>
      <c r="AR5" s="193">
        <f t="shared" si="10"/>
        <v>3676.3148079500002</v>
      </c>
      <c r="AS5" s="106">
        <v>0</v>
      </c>
      <c r="AT5" s="106">
        <v>2469.6</v>
      </c>
      <c r="AU5" s="106">
        <v>0</v>
      </c>
      <c r="AV5" s="106">
        <f t="shared" si="11"/>
        <v>2469.6</v>
      </c>
      <c r="AW5" s="106">
        <v>0</v>
      </c>
      <c r="AX5" s="106">
        <v>2783.81</v>
      </c>
      <c r="AY5" s="106">
        <v>0</v>
      </c>
      <c r="AZ5" s="106">
        <f t="shared" si="12"/>
        <v>2783.81</v>
      </c>
      <c r="BA5" s="195">
        <f t="shared" si="13"/>
        <v>1427.95812331</v>
      </c>
      <c r="BB5" s="105">
        <f t="shared" si="14"/>
        <v>529.45000000000005</v>
      </c>
      <c r="BC5" s="105">
        <f>BB5* 0.835099</f>
        <v>442.14316555000005</v>
      </c>
      <c r="BD5" s="105">
        <f t="shared" si="15"/>
        <v>756.79</v>
      </c>
      <c r="BE5" s="105">
        <f>BD5* 0.835099</f>
        <v>631.99457221</v>
      </c>
      <c r="BF5" s="105">
        <f t="shared" si="16"/>
        <v>1171.8</v>
      </c>
      <c r="BG5" s="105">
        <f>BF5* 0.835099</f>
        <v>978.56900819999998</v>
      </c>
      <c r="BH5" s="105">
        <f t="shared" si="17"/>
        <v>2458.04</v>
      </c>
      <c r="BI5" s="105">
        <f t="shared" si="18"/>
        <v>2052.7067459600003</v>
      </c>
      <c r="BJ5" s="186">
        <f t="shared" si="19"/>
        <v>9007.6099999999988</v>
      </c>
      <c r="BK5" s="195">
        <f t="shared" si="20"/>
        <v>4620.4625571099996</v>
      </c>
      <c r="BL5" s="98">
        <f t="shared" si="21"/>
        <v>9007.6099999999988</v>
      </c>
      <c r="BM5" s="99">
        <f t="shared" si="22"/>
        <v>0</v>
      </c>
      <c r="BN5" s="99">
        <f t="shared" si="23"/>
        <v>2783.81</v>
      </c>
      <c r="BO5" s="196"/>
      <c r="BP5" s="196"/>
      <c r="BQ5" s="196">
        <v>0</v>
      </c>
      <c r="BR5" s="196"/>
      <c r="BS5" s="106">
        <v>0</v>
      </c>
      <c r="BT5" s="196"/>
      <c r="BU5" s="188">
        <v>0</v>
      </c>
      <c r="BV5" s="118">
        <v>0</v>
      </c>
      <c r="BW5" s="188"/>
      <c r="BX5" s="188">
        <v>0</v>
      </c>
      <c r="BY5" s="118"/>
      <c r="BZ5" s="188"/>
      <c r="CA5" s="118"/>
      <c r="CB5" s="118"/>
      <c r="CC5" s="188"/>
      <c r="CD5" s="106"/>
      <c r="CE5" s="106"/>
      <c r="CF5" s="196"/>
      <c r="CG5" s="106"/>
      <c r="CH5" s="106"/>
      <c r="CI5" s="196"/>
      <c r="CJ5" s="106"/>
      <c r="CK5" s="106"/>
      <c r="CL5" s="196"/>
      <c r="CM5" s="106"/>
      <c r="CN5" s="182">
        <f t="shared" si="24"/>
        <v>4620.4625571099996</v>
      </c>
      <c r="CO5" s="102">
        <f t="shared" si="29"/>
        <v>-1.3642420526593924E-12</v>
      </c>
      <c r="CP5" s="182">
        <f t="shared" si="25"/>
        <v>-144.53659999999999</v>
      </c>
      <c r="CQ5" s="95">
        <f t="shared" si="26"/>
        <v>14249.46</v>
      </c>
      <c r="CR5" s="102">
        <v>-314.20999999999998</v>
      </c>
      <c r="CS5" s="101"/>
      <c r="CT5" s="101"/>
      <c r="CU5" s="187">
        <f t="shared" si="27"/>
        <v>2248.3566846400004</v>
      </c>
      <c r="CV5" s="187">
        <f t="shared" si="28"/>
        <v>195.65668464000055</v>
      </c>
      <c r="CW5" s="240"/>
    </row>
    <row r="6" spans="1:101" s="52" customFormat="1" ht="19.899999999999999" customHeight="1" x14ac:dyDescent="0.3">
      <c r="A6" s="92"/>
      <c r="B6" s="49">
        <v>10031292940</v>
      </c>
      <c r="C6" s="92" t="s">
        <v>127</v>
      </c>
      <c r="D6" s="93" t="s">
        <v>128</v>
      </c>
      <c r="E6" s="93" t="s">
        <v>129</v>
      </c>
      <c r="F6" s="94">
        <v>17000</v>
      </c>
      <c r="G6" s="182">
        <v>0.46</v>
      </c>
      <c r="H6" s="95">
        <f t="shared" si="0"/>
        <v>7820</v>
      </c>
      <c r="I6" s="93" t="s">
        <v>130</v>
      </c>
      <c r="J6" s="96" t="s">
        <v>131</v>
      </c>
      <c r="K6" s="49" t="s">
        <v>132</v>
      </c>
      <c r="L6" s="93"/>
      <c r="M6" s="97" t="s">
        <v>141</v>
      </c>
      <c r="N6" s="97" t="s">
        <v>142</v>
      </c>
      <c r="O6" s="183">
        <v>3353.88</v>
      </c>
      <c r="P6" s="183">
        <f t="shared" si="1"/>
        <v>2157.5823050260851</v>
      </c>
      <c r="Q6" s="183">
        <v>0</v>
      </c>
      <c r="R6" s="131">
        <v>90</v>
      </c>
      <c r="S6" s="183">
        <v>4.54</v>
      </c>
      <c r="T6" s="183">
        <f>0.68+41.05</f>
        <v>41.73</v>
      </c>
      <c r="U6" s="183"/>
      <c r="V6" s="183"/>
      <c r="W6" s="183"/>
      <c r="X6" s="183"/>
      <c r="Y6" s="183"/>
      <c r="Z6" s="183"/>
      <c r="AA6" s="183">
        <v>28.87935573606762</v>
      </c>
      <c r="AB6" s="184">
        <v>2.4054829999999998</v>
      </c>
      <c r="AC6" s="184">
        <v>0.51885800000000004</v>
      </c>
      <c r="AD6" s="95">
        <v>0</v>
      </c>
      <c r="AE6" s="95">
        <v>8138.7</v>
      </c>
      <c r="AF6" s="95">
        <v>0</v>
      </c>
      <c r="AG6" s="95">
        <f t="shared" si="2"/>
        <v>8138.7</v>
      </c>
      <c r="AH6" s="95">
        <f t="shared" si="3"/>
        <v>4222.8296046000005</v>
      </c>
      <c r="AI6" s="95">
        <f t="shared" si="4"/>
        <v>0</v>
      </c>
      <c r="AJ6" s="95">
        <f t="shared" si="5"/>
        <v>6345.2999999999993</v>
      </c>
      <c r="AK6" s="95">
        <f t="shared" si="6"/>
        <v>0</v>
      </c>
      <c r="AL6" s="95">
        <f t="shared" si="7"/>
        <v>6345.2999999999993</v>
      </c>
      <c r="AM6" s="185">
        <f t="shared" si="8"/>
        <v>3292.3096673999999</v>
      </c>
      <c r="AN6" s="95">
        <v>442.26</v>
      </c>
      <c r="AO6" s="95">
        <v>4250.3999999999996</v>
      </c>
      <c r="AP6" s="95">
        <v>1016.4</v>
      </c>
      <c r="AQ6" s="95">
        <f t="shared" si="9"/>
        <v>5709.0599999999995</v>
      </c>
      <c r="AR6" s="183">
        <f t="shared" si="10"/>
        <v>3796.5702259799996</v>
      </c>
      <c r="AS6" s="95">
        <v>0</v>
      </c>
      <c r="AT6" s="95">
        <v>1793.4</v>
      </c>
      <c r="AU6" s="95">
        <v>0</v>
      </c>
      <c r="AV6" s="95">
        <f t="shared" si="11"/>
        <v>1793.4</v>
      </c>
      <c r="AW6" s="95">
        <v>0</v>
      </c>
      <c r="AX6" s="95">
        <v>1793.4</v>
      </c>
      <c r="AY6" s="95">
        <v>0</v>
      </c>
      <c r="AZ6" s="95">
        <f t="shared" si="12"/>
        <v>1793.4</v>
      </c>
      <c r="BA6" s="185">
        <f t="shared" si="13"/>
        <v>930.51993720000007</v>
      </c>
      <c r="BB6" s="94">
        <f t="shared" si="14"/>
        <v>442.26</v>
      </c>
      <c r="BC6" s="94">
        <f>BB6* 0.844714</f>
        <v>373.58321364</v>
      </c>
      <c r="BD6" s="94">
        <f t="shared" si="15"/>
        <v>2456.9999999999995</v>
      </c>
      <c r="BE6" s="94">
        <f>BD6* 0.844714</f>
        <v>2075.4622979999995</v>
      </c>
      <c r="BF6" s="94">
        <f t="shared" si="16"/>
        <v>1016.4</v>
      </c>
      <c r="BG6" s="94">
        <f>BF6* 0.844714</f>
        <v>858.56730959999993</v>
      </c>
      <c r="BH6" s="94">
        <f t="shared" si="17"/>
        <v>3915.6599999999994</v>
      </c>
      <c r="BI6" s="94">
        <f t="shared" si="18"/>
        <v>3307.6128212399994</v>
      </c>
      <c r="BJ6" s="186">
        <f t="shared" si="19"/>
        <v>8138.6999999999989</v>
      </c>
      <c r="BK6" s="185">
        <f t="shared" si="20"/>
        <v>4222.8296045999996</v>
      </c>
      <c r="BL6" s="98">
        <f t="shared" si="21"/>
        <v>8138.6999999999989</v>
      </c>
      <c r="BM6" s="99">
        <f t="shared" si="22"/>
        <v>0</v>
      </c>
      <c r="BN6" s="99">
        <f t="shared" si="23"/>
        <v>1793.4</v>
      </c>
      <c r="BO6" s="182"/>
      <c r="BP6" s="182"/>
      <c r="BQ6" s="182">
        <v>0</v>
      </c>
      <c r="BR6" s="182"/>
      <c r="BS6" s="95">
        <v>0</v>
      </c>
      <c r="BT6" s="182"/>
      <c r="BU6" s="182">
        <v>0</v>
      </c>
      <c r="BV6" s="95">
        <v>0</v>
      </c>
      <c r="BW6" s="182"/>
      <c r="BX6" s="182">
        <v>0</v>
      </c>
      <c r="BY6" s="95"/>
      <c r="BZ6" s="182"/>
      <c r="CA6" s="95"/>
      <c r="CB6" s="95"/>
      <c r="CC6" s="182"/>
      <c r="CD6" s="95"/>
      <c r="CE6" s="95"/>
      <c r="CF6" s="182"/>
      <c r="CG6" s="95"/>
      <c r="CH6" s="95"/>
      <c r="CI6" s="182"/>
      <c r="CJ6" s="95"/>
      <c r="CK6" s="95"/>
      <c r="CL6" s="182"/>
      <c r="CM6" s="95"/>
      <c r="CN6" s="182">
        <f t="shared" si="24"/>
        <v>4222.8296045999996</v>
      </c>
      <c r="CO6" s="102">
        <f t="shared" si="29"/>
        <v>-1.3642420526593924E-12</v>
      </c>
      <c r="CP6" s="182">
        <f t="shared" si="25"/>
        <v>0</v>
      </c>
      <c r="CQ6" s="95">
        <f t="shared" si="26"/>
        <v>13847.759999999998</v>
      </c>
      <c r="CR6" s="102">
        <v>0</v>
      </c>
      <c r="CS6" s="101"/>
      <c r="CT6" s="101"/>
      <c r="CU6" s="187">
        <f t="shared" si="27"/>
        <v>2912.3202887799994</v>
      </c>
      <c r="CV6" s="187">
        <f t="shared" si="28"/>
        <v>-441.55971122000074</v>
      </c>
      <c r="CW6" s="240"/>
    </row>
    <row r="7" spans="1:101" s="52" customFormat="1" ht="19.899999999999999" customHeight="1" x14ac:dyDescent="0.3">
      <c r="A7" s="148"/>
      <c r="B7" s="50">
        <v>10031292940</v>
      </c>
      <c r="C7" s="148" t="s">
        <v>127</v>
      </c>
      <c r="D7" s="104" t="s">
        <v>128</v>
      </c>
      <c r="E7" s="104" t="s">
        <v>129</v>
      </c>
      <c r="F7" s="105">
        <v>17000</v>
      </c>
      <c r="G7" s="188">
        <v>0.46</v>
      </c>
      <c r="H7" s="118">
        <f t="shared" si="0"/>
        <v>7820</v>
      </c>
      <c r="I7" s="104" t="s">
        <v>130</v>
      </c>
      <c r="J7" s="107" t="s">
        <v>131</v>
      </c>
      <c r="K7" s="50" t="s">
        <v>132</v>
      </c>
      <c r="L7" s="104"/>
      <c r="M7" s="149" t="s">
        <v>130</v>
      </c>
      <c r="N7" s="108" t="s">
        <v>143</v>
      </c>
      <c r="O7" s="193">
        <v>4807.43</v>
      </c>
      <c r="P7" s="193">
        <f t="shared" si="1"/>
        <v>2507.5187546379748</v>
      </c>
      <c r="Q7" s="193">
        <v>0</v>
      </c>
      <c r="R7" s="109">
        <v>90</v>
      </c>
      <c r="S7" s="193">
        <v>73.72</v>
      </c>
      <c r="T7" s="193">
        <v>0</v>
      </c>
      <c r="U7" s="193"/>
      <c r="V7" s="193"/>
      <c r="W7" s="193"/>
      <c r="X7" s="193"/>
      <c r="Y7" s="193"/>
      <c r="Z7" s="193"/>
      <c r="AA7" s="193">
        <v>28.107471158199719</v>
      </c>
      <c r="AB7" s="194">
        <v>2.3411900000000001</v>
      </c>
      <c r="AC7" s="194">
        <v>0.50498900000000002</v>
      </c>
      <c r="AD7" s="106">
        <v>0</v>
      </c>
      <c r="AE7" s="106">
        <v>13366.1</v>
      </c>
      <c r="AF7" s="106">
        <v>0</v>
      </c>
      <c r="AG7" s="106">
        <f t="shared" si="2"/>
        <v>13366.1</v>
      </c>
      <c r="AH7" s="106">
        <f t="shared" si="3"/>
        <v>6749.7334729000004</v>
      </c>
      <c r="AI7" s="106">
        <f t="shared" si="4"/>
        <v>0</v>
      </c>
      <c r="AJ7" s="106">
        <f t="shared" si="5"/>
        <v>10195.1</v>
      </c>
      <c r="AK7" s="106">
        <f t="shared" si="6"/>
        <v>0</v>
      </c>
      <c r="AL7" s="106">
        <f t="shared" si="7"/>
        <v>10195.1</v>
      </c>
      <c r="AM7" s="191">
        <f t="shared" si="8"/>
        <v>5148.4133539000004</v>
      </c>
      <c r="AN7" s="106">
        <v>982.42</v>
      </c>
      <c r="AO7" s="106">
        <v>6295.8</v>
      </c>
      <c r="AP7" s="106">
        <v>1650.6</v>
      </c>
      <c r="AQ7" s="106">
        <f t="shared" si="9"/>
        <v>8928.82</v>
      </c>
      <c r="AR7" s="193">
        <f t="shared" si="10"/>
        <v>6312.8764694000001</v>
      </c>
      <c r="AS7" s="106">
        <v>0</v>
      </c>
      <c r="AT7" s="106">
        <v>3171</v>
      </c>
      <c r="AU7" s="106">
        <v>0</v>
      </c>
      <c r="AV7" s="106">
        <f t="shared" si="11"/>
        <v>3171</v>
      </c>
      <c r="AW7" s="106">
        <v>0</v>
      </c>
      <c r="AX7" s="106">
        <v>3171</v>
      </c>
      <c r="AY7" s="106">
        <v>0</v>
      </c>
      <c r="AZ7" s="106">
        <f t="shared" si="12"/>
        <v>3171</v>
      </c>
      <c r="BA7" s="195">
        <f t="shared" si="13"/>
        <v>1601.320119</v>
      </c>
      <c r="BB7" s="105">
        <f t="shared" si="14"/>
        <v>982.42</v>
      </c>
      <c r="BC7" s="105">
        <f>BB7* 0.822137</f>
        <v>807.68383154000003</v>
      </c>
      <c r="BD7" s="105">
        <f t="shared" si="15"/>
        <v>3124.8</v>
      </c>
      <c r="BE7" s="105">
        <f>BD7* 0.822137</f>
        <v>2569.0136976000003</v>
      </c>
      <c r="BF7" s="105">
        <f t="shared" si="16"/>
        <v>1650.6</v>
      </c>
      <c r="BG7" s="105">
        <f>BF7* 0.822137</f>
        <v>1357.0193322</v>
      </c>
      <c r="BH7" s="105">
        <f t="shared" si="17"/>
        <v>5757.82</v>
      </c>
      <c r="BI7" s="105">
        <f t="shared" si="18"/>
        <v>4733.7168613400008</v>
      </c>
      <c r="BJ7" s="186">
        <f t="shared" si="19"/>
        <v>13366.1</v>
      </c>
      <c r="BK7" s="195">
        <f t="shared" si="20"/>
        <v>6749.7334729000004</v>
      </c>
      <c r="BL7" s="98">
        <f t="shared" si="21"/>
        <v>13366.1</v>
      </c>
      <c r="BM7" s="99">
        <f t="shared" si="22"/>
        <v>0</v>
      </c>
      <c r="BN7" s="99">
        <f t="shared" si="23"/>
        <v>3171</v>
      </c>
      <c r="BO7" s="196"/>
      <c r="BP7" s="196"/>
      <c r="BQ7" s="196">
        <v>0</v>
      </c>
      <c r="BR7" s="196"/>
      <c r="BS7" s="106">
        <v>0</v>
      </c>
      <c r="BT7" s="196"/>
      <c r="BU7" s="188">
        <v>0</v>
      </c>
      <c r="BV7" s="118">
        <v>0</v>
      </c>
      <c r="BW7" s="188"/>
      <c r="BX7" s="188">
        <v>0</v>
      </c>
      <c r="BY7" s="118"/>
      <c r="BZ7" s="188"/>
      <c r="CA7" s="118"/>
      <c r="CB7" s="118"/>
      <c r="CC7" s="188"/>
      <c r="CD7" s="106"/>
      <c r="CE7" s="106"/>
      <c r="CF7" s="196"/>
      <c r="CG7" s="106"/>
      <c r="CH7" s="106"/>
      <c r="CI7" s="196"/>
      <c r="CJ7" s="106"/>
      <c r="CK7" s="106"/>
      <c r="CL7" s="196"/>
      <c r="CM7" s="106"/>
      <c r="CN7" s="182">
        <f t="shared" si="24"/>
        <v>6749.7334729000004</v>
      </c>
      <c r="CO7" s="110">
        <f t="shared" si="29"/>
        <v>-1.3642420526593924E-12</v>
      </c>
      <c r="CP7" s="182">
        <f t="shared" si="25"/>
        <v>0</v>
      </c>
      <c r="CQ7" s="95">
        <f t="shared" si="26"/>
        <v>22294.92</v>
      </c>
      <c r="CR7" s="110">
        <v>0</v>
      </c>
      <c r="CS7" s="101"/>
      <c r="CT7" s="101"/>
      <c r="CU7" s="187">
        <f t="shared" si="27"/>
        <v>4785.2763504000004</v>
      </c>
      <c r="CV7" s="187">
        <f t="shared" si="28"/>
        <v>-22.153649599999881</v>
      </c>
      <c r="CW7" s="240"/>
    </row>
    <row r="8" spans="1:101" s="52" customFormat="1" ht="19.899999999999999" customHeight="1" x14ac:dyDescent="0.3">
      <c r="A8" s="92"/>
      <c r="B8" s="49">
        <v>10031292940</v>
      </c>
      <c r="C8" s="92" t="s">
        <v>127</v>
      </c>
      <c r="D8" s="93" t="s">
        <v>128</v>
      </c>
      <c r="E8" s="93" t="s">
        <v>129</v>
      </c>
      <c r="F8" s="94">
        <v>17000</v>
      </c>
      <c r="G8" s="182">
        <v>0.46</v>
      </c>
      <c r="H8" s="95">
        <f t="shared" si="0"/>
        <v>7820</v>
      </c>
      <c r="I8" s="93" t="s">
        <v>130</v>
      </c>
      <c r="J8" s="96" t="s">
        <v>131</v>
      </c>
      <c r="K8" s="49" t="s">
        <v>132</v>
      </c>
      <c r="L8" s="93"/>
      <c r="M8" s="97" t="s">
        <v>144</v>
      </c>
      <c r="N8" s="97" t="s">
        <v>145</v>
      </c>
      <c r="O8" s="183">
        <v>3153.76</v>
      </c>
      <c r="P8" s="183">
        <f t="shared" si="1"/>
        <v>3613.6007536586817</v>
      </c>
      <c r="Q8" s="183">
        <v>0</v>
      </c>
      <c r="R8" s="131">
        <v>90</v>
      </c>
      <c r="S8" s="183">
        <v>141.5</v>
      </c>
      <c r="T8" s="183">
        <f>1.6+96.15</f>
        <v>97.75</v>
      </c>
      <c r="U8" s="183"/>
      <c r="V8" s="183"/>
      <c r="W8" s="183"/>
      <c r="X8" s="183"/>
      <c r="Y8" s="183"/>
      <c r="Z8" s="183"/>
      <c r="AA8" s="183">
        <v>28.697670442207581</v>
      </c>
      <c r="AB8" s="184">
        <v>2.3903490000000001</v>
      </c>
      <c r="AC8" s="184">
        <v>0.515594</v>
      </c>
      <c r="AD8" s="95">
        <v>1.78</v>
      </c>
      <c r="AE8" s="95">
        <v>16615.63</v>
      </c>
      <c r="AF8" s="95">
        <v>0.02</v>
      </c>
      <c r="AG8" s="95">
        <f t="shared" si="2"/>
        <v>16617.43</v>
      </c>
      <c r="AH8" s="95">
        <f t="shared" si="3"/>
        <v>8571.1842673200008</v>
      </c>
      <c r="AI8" s="95">
        <f t="shared" si="4"/>
        <v>1.78</v>
      </c>
      <c r="AJ8" s="95">
        <f t="shared" si="5"/>
        <v>12348.43</v>
      </c>
      <c r="AK8" s="95">
        <f t="shared" si="6"/>
        <v>0.02</v>
      </c>
      <c r="AL8" s="95">
        <f t="shared" si="7"/>
        <v>12350.230000000001</v>
      </c>
      <c r="AM8" s="185">
        <f t="shared" si="8"/>
        <v>6371.0415505199999</v>
      </c>
      <c r="AN8" s="95">
        <v>1149.54</v>
      </c>
      <c r="AO8" s="95">
        <v>4964.3999999999996</v>
      </c>
      <c r="AP8" s="95">
        <v>1625.4</v>
      </c>
      <c r="AQ8" s="95">
        <f t="shared" si="9"/>
        <v>7739.34</v>
      </c>
      <c r="AR8" s="183">
        <f t="shared" si="10"/>
        <v>6145.4631306599995</v>
      </c>
      <c r="AS8" s="95">
        <v>0</v>
      </c>
      <c r="AT8" s="95">
        <v>4267.2</v>
      </c>
      <c r="AU8" s="95">
        <v>0</v>
      </c>
      <c r="AV8" s="95">
        <f t="shared" si="11"/>
        <v>4267.2</v>
      </c>
      <c r="AW8" s="95">
        <v>0</v>
      </c>
      <c r="AX8" s="95">
        <v>4267.2</v>
      </c>
      <c r="AY8" s="95">
        <v>0</v>
      </c>
      <c r="AZ8" s="95">
        <f t="shared" si="12"/>
        <v>4267.2</v>
      </c>
      <c r="BA8" s="185">
        <f t="shared" si="13"/>
        <v>2200.1427168</v>
      </c>
      <c r="BB8" s="94">
        <f t="shared" si="14"/>
        <v>1149.54</v>
      </c>
      <c r="BC8" s="94">
        <f>BB8* 0.8394</f>
        <v>964.92387600000006</v>
      </c>
      <c r="BD8" s="94">
        <f t="shared" si="15"/>
        <v>697.19999999999982</v>
      </c>
      <c r="BE8" s="94">
        <f>BD8* 0.8394</f>
        <v>585.22967999999992</v>
      </c>
      <c r="BF8" s="94">
        <f t="shared" si="16"/>
        <v>1625.4</v>
      </c>
      <c r="BG8" s="94">
        <f>BF8* 0.8394</f>
        <v>1364.36076</v>
      </c>
      <c r="BH8" s="94">
        <f t="shared" si="17"/>
        <v>3472.14</v>
      </c>
      <c r="BI8" s="94">
        <f t="shared" si="18"/>
        <v>2914.5143159999998</v>
      </c>
      <c r="BJ8" s="186">
        <f t="shared" si="19"/>
        <v>16617.43</v>
      </c>
      <c r="BK8" s="185">
        <f t="shared" si="20"/>
        <v>8571.1842673200008</v>
      </c>
      <c r="BL8" s="98">
        <f t="shared" si="21"/>
        <v>16617.43</v>
      </c>
      <c r="BM8" s="95">
        <f t="shared" si="22"/>
        <v>0</v>
      </c>
      <c r="BN8" s="95">
        <f t="shared" si="23"/>
        <v>4267.2</v>
      </c>
      <c r="BO8" s="182"/>
      <c r="BP8" s="182"/>
      <c r="BQ8" s="182">
        <v>0</v>
      </c>
      <c r="BR8" s="182"/>
      <c r="BS8" s="95">
        <v>0</v>
      </c>
      <c r="BT8" s="182"/>
      <c r="BU8" s="182">
        <v>0</v>
      </c>
      <c r="BV8" s="95">
        <v>0</v>
      </c>
      <c r="BW8" s="182"/>
      <c r="BX8" s="182">
        <v>0</v>
      </c>
      <c r="BY8" s="95"/>
      <c r="BZ8" s="182"/>
      <c r="CA8" s="95"/>
      <c r="CB8" s="95"/>
      <c r="CC8" s="182"/>
      <c r="CD8" s="95"/>
      <c r="CE8" s="95"/>
      <c r="CF8" s="182"/>
      <c r="CG8" s="95"/>
      <c r="CH8" s="95"/>
      <c r="CI8" s="182"/>
      <c r="CJ8" s="95"/>
      <c r="CK8" s="95"/>
      <c r="CL8" s="182"/>
      <c r="CM8" s="95"/>
      <c r="CN8" s="182">
        <f t="shared" si="24"/>
        <v>8571.1842673200008</v>
      </c>
      <c r="CO8" s="110">
        <f t="shared" si="29"/>
        <v>-1.3642420526593924E-12</v>
      </c>
      <c r="CP8" s="182">
        <f t="shared" si="25"/>
        <v>0</v>
      </c>
      <c r="CQ8" s="95">
        <f t="shared" si="26"/>
        <v>24356.77</v>
      </c>
      <c r="CR8" s="110">
        <v>0</v>
      </c>
      <c r="CS8" s="111"/>
      <c r="CT8" s="101"/>
      <c r="CU8" s="187">
        <f t="shared" si="27"/>
        <v>4184.5704138599995</v>
      </c>
      <c r="CV8" s="187">
        <f t="shared" si="28"/>
        <v>1030.8104138599992</v>
      </c>
      <c r="CW8" s="240"/>
    </row>
    <row r="9" spans="1:101" s="52" customFormat="1" ht="19.899999999999999" customHeight="1" x14ac:dyDescent="0.3">
      <c r="A9" s="148"/>
      <c r="B9" s="50">
        <v>10031292940</v>
      </c>
      <c r="C9" s="148" t="s">
        <v>127</v>
      </c>
      <c r="D9" s="104" t="s">
        <v>128</v>
      </c>
      <c r="E9" s="104" t="s">
        <v>129</v>
      </c>
      <c r="F9" s="105">
        <v>17000</v>
      </c>
      <c r="G9" s="188">
        <v>0.46</v>
      </c>
      <c r="H9" s="118">
        <f t="shared" si="0"/>
        <v>7820</v>
      </c>
      <c r="I9" s="104" t="s">
        <v>130</v>
      </c>
      <c r="J9" s="107" t="s">
        <v>131</v>
      </c>
      <c r="K9" s="50" t="s">
        <v>132</v>
      </c>
      <c r="L9" s="104"/>
      <c r="M9" s="149" t="s">
        <v>146</v>
      </c>
      <c r="N9" s="108" t="s">
        <v>147</v>
      </c>
      <c r="O9" s="193">
        <v>4479.95</v>
      </c>
      <c r="P9" s="193">
        <f t="shared" si="1"/>
        <v>3574.7876833376686</v>
      </c>
      <c r="Q9" s="193">
        <v>0</v>
      </c>
      <c r="R9" s="109">
        <v>90.552000000000007</v>
      </c>
      <c r="S9" s="193">
        <v>34.86</v>
      </c>
      <c r="T9" s="193">
        <v>0</v>
      </c>
      <c r="U9" s="193"/>
      <c r="V9" s="193"/>
      <c r="W9" s="193"/>
      <c r="X9" s="193"/>
      <c r="Y9" s="193"/>
      <c r="Z9" s="193"/>
      <c r="AA9" s="193">
        <v>30.064220932697999</v>
      </c>
      <c r="AB9" s="194">
        <v>2.455708</v>
      </c>
      <c r="AC9" s="194">
        <v>0.50116300000000003</v>
      </c>
      <c r="AD9" s="106">
        <v>2.39</v>
      </c>
      <c r="AE9" s="118">
        <v>15286.67</v>
      </c>
      <c r="AF9" s="106">
        <v>4.32</v>
      </c>
      <c r="AG9" s="106">
        <f t="shared" si="2"/>
        <v>15293.38</v>
      </c>
      <c r="AH9" s="106">
        <f t="shared" si="3"/>
        <v>7669.1475634900007</v>
      </c>
      <c r="AI9" s="106">
        <f t="shared" si="4"/>
        <v>2.39</v>
      </c>
      <c r="AJ9" s="106">
        <f t="shared" si="5"/>
        <v>10822.07</v>
      </c>
      <c r="AK9" s="106">
        <f t="shared" si="6"/>
        <v>4.32</v>
      </c>
      <c r="AL9" s="106">
        <f t="shared" si="7"/>
        <v>10828.779999999999</v>
      </c>
      <c r="AM9" s="191">
        <f t="shared" si="8"/>
        <v>5431.6552336900004</v>
      </c>
      <c r="AN9" s="106">
        <v>1396.08</v>
      </c>
      <c r="AO9" s="106">
        <v>6329.4</v>
      </c>
      <c r="AP9" s="106">
        <v>1864.8</v>
      </c>
      <c r="AQ9" s="106">
        <f t="shared" si="9"/>
        <v>9590.2799999999988</v>
      </c>
      <c r="AR9" s="193">
        <f t="shared" si="10"/>
        <v>7534.9946792399996</v>
      </c>
      <c r="AS9" s="106">
        <v>0</v>
      </c>
      <c r="AT9" s="106">
        <v>4464.6000000000004</v>
      </c>
      <c r="AU9" s="106">
        <v>0</v>
      </c>
      <c r="AV9" s="106">
        <f t="shared" si="11"/>
        <v>4464.6000000000004</v>
      </c>
      <c r="AW9" s="106">
        <v>0</v>
      </c>
      <c r="AX9" s="106">
        <v>4464.6000000000004</v>
      </c>
      <c r="AY9" s="106">
        <v>0</v>
      </c>
      <c r="AZ9" s="106">
        <f t="shared" si="12"/>
        <v>4464.6000000000004</v>
      </c>
      <c r="BA9" s="195">
        <f t="shared" si="13"/>
        <v>2237.4923298000003</v>
      </c>
      <c r="BB9" s="105">
        <f t="shared" si="14"/>
        <v>1396.08</v>
      </c>
      <c r="BC9" s="105">
        <f>BB9* 0.867219</f>
        <v>1210.7071015199999</v>
      </c>
      <c r="BD9" s="105">
        <f t="shared" si="15"/>
        <v>1864.7999999999993</v>
      </c>
      <c r="BE9" s="105">
        <f>BD9* 0.867219</f>
        <v>1617.1899911999992</v>
      </c>
      <c r="BF9" s="105">
        <f t="shared" si="16"/>
        <v>1864.8</v>
      </c>
      <c r="BG9" s="105">
        <f>BF9* 0.867219</f>
        <v>1617.1899911999999</v>
      </c>
      <c r="BH9" s="105">
        <f t="shared" si="17"/>
        <v>5125.6799999999994</v>
      </c>
      <c r="BI9" s="105">
        <f t="shared" si="18"/>
        <v>4445.0870839199988</v>
      </c>
      <c r="BJ9" s="186">
        <f t="shared" si="19"/>
        <v>15293.38</v>
      </c>
      <c r="BK9" s="195">
        <f t="shared" si="20"/>
        <v>7669.1475634900007</v>
      </c>
      <c r="BL9" s="98">
        <f t="shared" si="21"/>
        <v>15293.38</v>
      </c>
      <c r="BM9" s="99">
        <f t="shared" si="22"/>
        <v>0</v>
      </c>
      <c r="BN9" s="99">
        <f t="shared" si="23"/>
        <v>4464.6000000000004</v>
      </c>
      <c r="BO9" s="196"/>
      <c r="BP9" s="196"/>
      <c r="BQ9" s="196">
        <v>0</v>
      </c>
      <c r="BR9" s="196"/>
      <c r="BS9" s="106">
        <v>0</v>
      </c>
      <c r="BT9" s="196"/>
      <c r="BU9" s="188">
        <v>0</v>
      </c>
      <c r="BV9" s="118">
        <v>0</v>
      </c>
      <c r="BW9" s="188"/>
      <c r="BX9" s="188">
        <v>0</v>
      </c>
      <c r="BY9" s="118"/>
      <c r="BZ9" s="188"/>
      <c r="CA9" s="118"/>
      <c r="CB9" s="118"/>
      <c r="CC9" s="188"/>
      <c r="CD9" s="106"/>
      <c r="CE9" s="106"/>
      <c r="CF9" s="196"/>
      <c r="CG9" s="106"/>
      <c r="CH9" s="106"/>
      <c r="CI9" s="196"/>
      <c r="CJ9" s="106"/>
      <c r="CK9" s="106"/>
      <c r="CL9" s="196"/>
      <c r="CM9" s="106"/>
      <c r="CN9" s="182">
        <f t="shared" si="24"/>
        <v>7669.1475634900007</v>
      </c>
      <c r="CO9" s="102">
        <f t="shared" si="29"/>
        <v>-1.3642420526593924E-12</v>
      </c>
      <c r="CP9" s="182">
        <f t="shared" si="25"/>
        <v>0</v>
      </c>
      <c r="CQ9" s="95">
        <f t="shared" si="26"/>
        <v>24883.659999999996</v>
      </c>
      <c r="CR9" s="102">
        <v>0</v>
      </c>
      <c r="CS9" s="111"/>
      <c r="CT9" s="101"/>
      <c r="CU9" s="187">
        <f t="shared" si="27"/>
        <v>5332.362349439999</v>
      </c>
      <c r="CV9" s="187">
        <f t="shared" si="28"/>
        <v>852.41234943999916</v>
      </c>
      <c r="CW9" s="240"/>
    </row>
    <row r="10" spans="1:101" s="52" customFormat="1" ht="19.899999999999999" customHeight="1" x14ac:dyDescent="0.3">
      <c r="A10" s="92"/>
      <c r="B10" s="49">
        <v>10031292940</v>
      </c>
      <c r="C10" s="92" t="s">
        <v>127</v>
      </c>
      <c r="D10" s="93" t="s">
        <v>128</v>
      </c>
      <c r="E10" s="93" t="s">
        <v>129</v>
      </c>
      <c r="F10" s="94">
        <v>17000</v>
      </c>
      <c r="G10" s="182">
        <v>0.46</v>
      </c>
      <c r="H10" s="95">
        <f t="shared" si="0"/>
        <v>7820</v>
      </c>
      <c r="I10" s="93" t="s">
        <v>130</v>
      </c>
      <c r="J10" s="96" t="s">
        <v>131</v>
      </c>
      <c r="K10" s="49" t="s">
        <v>132</v>
      </c>
      <c r="L10" s="93"/>
      <c r="M10" s="97" t="s">
        <v>148</v>
      </c>
      <c r="N10" s="97" t="s">
        <v>149</v>
      </c>
      <c r="O10" s="183">
        <v>3129.34</v>
      </c>
      <c r="P10" s="183">
        <f t="shared" si="1"/>
        <v>4099.2006752218331</v>
      </c>
      <c r="Q10" s="183">
        <v>0</v>
      </c>
      <c r="R10" s="131">
        <v>96.768000000000001</v>
      </c>
      <c r="S10" s="183">
        <v>48.34</v>
      </c>
      <c r="T10" s="183">
        <v>0</v>
      </c>
      <c r="U10" s="183"/>
      <c r="V10" s="183"/>
      <c r="W10" s="183"/>
      <c r="X10" s="183"/>
      <c r="Y10" s="183"/>
      <c r="Z10" s="183"/>
      <c r="AA10" s="183">
        <v>32.127528913916102</v>
      </c>
      <c r="AB10" s="184">
        <v>2.5385840000000002</v>
      </c>
      <c r="AC10" s="184">
        <v>0.46666400000000002</v>
      </c>
      <c r="AD10" s="95">
        <v>7.53</v>
      </c>
      <c r="AE10" s="95">
        <v>15516.32</v>
      </c>
      <c r="AF10" s="95">
        <v>16.29</v>
      </c>
      <c r="AG10" s="95">
        <f t="shared" si="2"/>
        <v>15540.140000000001</v>
      </c>
      <c r="AH10" s="95">
        <f t="shared" si="3"/>
        <v>7267.62545056</v>
      </c>
      <c r="AI10" s="95">
        <f t="shared" si="4"/>
        <v>7.53</v>
      </c>
      <c r="AJ10" s="95">
        <f t="shared" si="5"/>
        <v>10736.72</v>
      </c>
      <c r="AK10" s="95">
        <f t="shared" si="6"/>
        <v>16.29</v>
      </c>
      <c r="AL10" s="95">
        <f t="shared" si="7"/>
        <v>10760.54</v>
      </c>
      <c r="AM10" s="185">
        <f t="shared" si="8"/>
        <v>5037.1581961599995</v>
      </c>
      <c r="AN10" s="95">
        <v>1198.42</v>
      </c>
      <c r="AO10" s="95">
        <v>5485.2</v>
      </c>
      <c r="AP10" s="95">
        <v>1499.4</v>
      </c>
      <c r="AQ10" s="95">
        <f t="shared" si="9"/>
        <v>8183.02</v>
      </c>
      <c r="AR10" s="183">
        <f t="shared" si="10"/>
        <v>6301.7512116800008</v>
      </c>
      <c r="AS10" s="95">
        <v>0</v>
      </c>
      <c r="AT10" s="95">
        <v>4779.6000000000004</v>
      </c>
      <c r="AU10" s="95">
        <v>0</v>
      </c>
      <c r="AV10" s="95">
        <f t="shared" si="11"/>
        <v>4779.6000000000004</v>
      </c>
      <c r="AW10" s="95">
        <v>0</v>
      </c>
      <c r="AX10" s="95">
        <v>4779.6000000000004</v>
      </c>
      <c r="AY10" s="95">
        <v>0</v>
      </c>
      <c r="AZ10" s="95">
        <f t="shared" si="12"/>
        <v>4779.6000000000004</v>
      </c>
      <c r="BA10" s="185">
        <f t="shared" si="13"/>
        <v>2230.4672544000005</v>
      </c>
      <c r="BB10" s="94">
        <f t="shared" si="14"/>
        <v>1198.42</v>
      </c>
      <c r="BC10" s="94">
        <f>BB10*0.905265</f>
        <v>1084.8876812999999</v>
      </c>
      <c r="BD10" s="94">
        <f t="shared" si="15"/>
        <v>705.59999999999945</v>
      </c>
      <c r="BE10" s="94">
        <f>BD10*0.905265</f>
        <v>638.75498399999947</v>
      </c>
      <c r="BF10" s="94">
        <f t="shared" si="16"/>
        <v>1499.4</v>
      </c>
      <c r="BG10" s="94">
        <f>BF10*0.905265</f>
        <v>1357.354341</v>
      </c>
      <c r="BH10" s="94">
        <f t="shared" si="17"/>
        <v>3403.4199999999996</v>
      </c>
      <c r="BI10" s="94">
        <f t="shared" si="18"/>
        <v>3080.9970062999992</v>
      </c>
      <c r="BJ10" s="186">
        <f t="shared" si="19"/>
        <v>15540.140000000001</v>
      </c>
      <c r="BK10" s="185">
        <f t="shared" si="20"/>
        <v>7267.62545056</v>
      </c>
      <c r="BL10" s="98">
        <f t="shared" si="21"/>
        <v>15540.140000000001</v>
      </c>
      <c r="BM10" s="99">
        <f t="shared" si="22"/>
        <v>0</v>
      </c>
      <c r="BN10" s="99">
        <f t="shared" si="23"/>
        <v>4779.6000000000004</v>
      </c>
      <c r="BO10" s="182"/>
      <c r="BP10" s="182"/>
      <c r="BQ10" s="182">
        <v>0</v>
      </c>
      <c r="BR10" s="182"/>
      <c r="BS10" s="95">
        <v>0</v>
      </c>
      <c r="BT10" s="182"/>
      <c r="BU10" s="182">
        <v>0</v>
      </c>
      <c r="BV10" s="95">
        <v>0</v>
      </c>
      <c r="BW10" s="182"/>
      <c r="BX10" s="182">
        <v>0</v>
      </c>
      <c r="BY10" s="95"/>
      <c r="BZ10" s="182"/>
      <c r="CA10" s="95"/>
      <c r="CB10" s="95"/>
      <c r="CC10" s="182"/>
      <c r="CD10" s="95"/>
      <c r="CE10" s="95"/>
      <c r="CF10" s="182"/>
      <c r="CG10" s="95"/>
      <c r="CH10" s="95"/>
      <c r="CI10" s="182"/>
      <c r="CJ10" s="95"/>
      <c r="CK10" s="95"/>
      <c r="CL10" s="182"/>
      <c r="CM10" s="95"/>
      <c r="CN10" s="182">
        <f t="shared" si="24"/>
        <v>7267.62545056</v>
      </c>
      <c r="CO10" s="102">
        <f t="shared" si="29"/>
        <v>-1.3642420526593924E-12</v>
      </c>
      <c r="CP10" s="182">
        <f t="shared" si="25"/>
        <v>0</v>
      </c>
      <c r="CQ10" s="95">
        <f t="shared" si="26"/>
        <v>23723.160000000003</v>
      </c>
      <c r="CR10" s="102">
        <v>0</v>
      </c>
      <c r="CS10" s="111"/>
      <c r="CT10" s="101"/>
      <c r="CU10" s="187">
        <f t="shared" si="27"/>
        <v>4119.6239572800005</v>
      </c>
      <c r="CV10" s="187">
        <f t="shared" si="28"/>
        <v>990.28395728000032</v>
      </c>
      <c r="CW10" s="240"/>
    </row>
    <row r="11" spans="1:101" s="52" customFormat="1" ht="19.899999999999999" customHeight="1" x14ac:dyDescent="0.3">
      <c r="A11" s="148"/>
      <c r="B11" s="50">
        <v>10031292940</v>
      </c>
      <c r="C11" s="148" t="s">
        <v>127</v>
      </c>
      <c r="D11" s="104" t="s">
        <v>128</v>
      </c>
      <c r="E11" s="104" t="s">
        <v>129</v>
      </c>
      <c r="F11" s="105">
        <v>17000</v>
      </c>
      <c r="G11" s="188">
        <v>0.46</v>
      </c>
      <c r="H11" s="118">
        <f t="shared" si="0"/>
        <v>7820</v>
      </c>
      <c r="I11" s="104" t="s">
        <v>130</v>
      </c>
      <c r="J11" s="107" t="s">
        <v>131</v>
      </c>
      <c r="K11" s="50" t="s">
        <v>132</v>
      </c>
      <c r="L11" s="104"/>
      <c r="M11" s="149" t="s">
        <v>150</v>
      </c>
      <c r="N11" s="108" t="s">
        <v>151</v>
      </c>
      <c r="O11" s="193">
        <v>702.74</v>
      </c>
      <c r="P11" s="193">
        <f t="shared" si="1"/>
        <v>3836.7113962625831</v>
      </c>
      <c r="Q11" s="193">
        <v>0</v>
      </c>
      <c r="R11" s="109">
        <v>90</v>
      </c>
      <c r="S11" s="193">
        <v>43.2</v>
      </c>
      <c r="T11" s="193">
        <v>0</v>
      </c>
      <c r="U11" s="193"/>
      <c r="V11" s="193"/>
      <c r="W11" s="193"/>
      <c r="X11" s="193"/>
      <c r="Y11" s="193"/>
      <c r="Z11" s="193"/>
      <c r="AA11" s="193">
        <v>31.6780708140287</v>
      </c>
      <c r="AB11" s="194">
        <v>2.5030700000000001</v>
      </c>
      <c r="AC11" s="194">
        <v>0.46013599999999999</v>
      </c>
      <c r="AD11" s="106">
        <v>22.95</v>
      </c>
      <c r="AE11" s="118">
        <v>16446.5</v>
      </c>
      <c r="AF11" s="106">
        <v>11.39</v>
      </c>
      <c r="AG11" s="106">
        <f t="shared" si="2"/>
        <v>16480.84</v>
      </c>
      <c r="AH11" s="106">
        <f t="shared" si="3"/>
        <v>7630.313129539999</v>
      </c>
      <c r="AI11" s="106">
        <f t="shared" si="4"/>
        <v>22.95</v>
      </c>
      <c r="AJ11" s="106">
        <f t="shared" si="5"/>
        <v>11347.7</v>
      </c>
      <c r="AK11" s="106">
        <f t="shared" si="6"/>
        <v>11.39</v>
      </c>
      <c r="AL11" s="106">
        <f t="shared" si="7"/>
        <v>11382.04</v>
      </c>
      <c r="AM11" s="191">
        <f t="shared" si="8"/>
        <v>5284.1716927399993</v>
      </c>
      <c r="AN11" s="106">
        <v>852.3</v>
      </c>
      <c r="AO11" s="106">
        <v>3565.8</v>
      </c>
      <c r="AP11" s="106">
        <v>1419.6</v>
      </c>
      <c r="AQ11" s="106">
        <f t="shared" si="9"/>
        <v>5837.7000000000007</v>
      </c>
      <c r="AR11" s="193">
        <f t="shared" si="10"/>
        <v>4427.328575399999</v>
      </c>
      <c r="AS11" s="106">
        <v>0</v>
      </c>
      <c r="AT11" s="106">
        <v>5098.8</v>
      </c>
      <c r="AU11" s="106">
        <v>0</v>
      </c>
      <c r="AV11" s="106">
        <f t="shared" si="11"/>
        <v>5098.8</v>
      </c>
      <c r="AW11" s="106">
        <v>213.4</v>
      </c>
      <c r="AX11" s="106">
        <v>3465.8</v>
      </c>
      <c r="AY11" s="106">
        <v>1419.6</v>
      </c>
      <c r="AZ11" s="106">
        <f t="shared" si="12"/>
        <v>5098.8</v>
      </c>
      <c r="BA11" s="195">
        <f t="shared" si="13"/>
        <v>2782.1035523999999</v>
      </c>
      <c r="BB11" s="105">
        <f t="shared" si="14"/>
        <v>638.9</v>
      </c>
      <c r="BC11" s="105">
        <f>BB11* 0.8926</f>
        <v>570.28213999999991</v>
      </c>
      <c r="BD11" s="105">
        <f t="shared" si="15"/>
        <v>100</v>
      </c>
      <c r="BE11" s="105">
        <f>BD11* 0.8926</f>
        <v>89.259999999999991</v>
      </c>
      <c r="BF11" s="105">
        <f t="shared" si="16"/>
        <v>0</v>
      </c>
      <c r="BG11" s="105">
        <f>BF11* 0.8926</f>
        <v>0</v>
      </c>
      <c r="BH11" s="105">
        <f t="shared" si="17"/>
        <v>738.9</v>
      </c>
      <c r="BI11" s="105">
        <f t="shared" si="18"/>
        <v>659.5421399999999</v>
      </c>
      <c r="BJ11" s="186">
        <f t="shared" si="19"/>
        <v>16480.84</v>
      </c>
      <c r="BK11" s="195">
        <f t="shared" si="20"/>
        <v>8066.2752451399992</v>
      </c>
      <c r="BL11" s="98">
        <f t="shared" si="21"/>
        <v>16480.84</v>
      </c>
      <c r="BM11" s="99">
        <f t="shared" si="22"/>
        <v>213.4</v>
      </c>
      <c r="BN11" s="99">
        <f t="shared" si="23"/>
        <v>4885.3999999999996</v>
      </c>
      <c r="BO11" s="196"/>
      <c r="BP11" s="196"/>
      <c r="BQ11" s="196">
        <v>0</v>
      </c>
      <c r="BR11" s="196"/>
      <c r="BS11" s="106">
        <v>0</v>
      </c>
      <c r="BT11" s="196"/>
      <c r="BU11" s="188">
        <v>0</v>
      </c>
      <c r="BV11" s="118">
        <v>0</v>
      </c>
      <c r="BW11" s="188"/>
      <c r="BX11" s="188">
        <v>0</v>
      </c>
      <c r="BY11" s="118"/>
      <c r="BZ11" s="188"/>
      <c r="CA11" s="118"/>
      <c r="CB11" s="118"/>
      <c r="CC11" s="188"/>
      <c r="CD11" s="106"/>
      <c r="CE11" s="106"/>
      <c r="CF11" s="196"/>
      <c r="CG11" s="106"/>
      <c r="CH11" s="106"/>
      <c r="CI11" s="196"/>
      <c r="CJ11" s="106"/>
      <c r="CK11" s="106"/>
      <c r="CL11" s="196"/>
      <c r="CM11" s="106"/>
      <c r="CN11" s="182">
        <f t="shared" si="24"/>
        <v>8066.2752451399992</v>
      </c>
      <c r="CO11" s="102">
        <f t="shared" si="29"/>
        <v>-1.3642420526593924E-12</v>
      </c>
      <c r="CP11" s="182">
        <f t="shared" si="25"/>
        <v>0</v>
      </c>
      <c r="CQ11" s="95">
        <f t="shared" si="26"/>
        <v>22318.54</v>
      </c>
      <c r="CR11" s="102">
        <v>0</v>
      </c>
      <c r="CS11" s="111"/>
      <c r="CT11" s="101"/>
      <c r="CU11" s="187">
        <f t="shared" si="27"/>
        <v>1688.425023</v>
      </c>
      <c r="CV11" s="187">
        <f t="shared" si="28"/>
        <v>985.685023</v>
      </c>
      <c r="CW11" s="240"/>
    </row>
    <row r="12" spans="1:101" s="52" customFormat="1" ht="19.899999999999999" customHeight="1" x14ac:dyDescent="0.3">
      <c r="A12" s="92"/>
      <c r="B12" s="49">
        <v>10031292940</v>
      </c>
      <c r="C12" s="92" t="s">
        <v>127</v>
      </c>
      <c r="D12" s="93" t="s">
        <v>128</v>
      </c>
      <c r="E12" s="93" t="s">
        <v>129</v>
      </c>
      <c r="F12" s="94">
        <v>17000</v>
      </c>
      <c r="G12" s="182">
        <v>0.46</v>
      </c>
      <c r="H12" s="95">
        <f t="shared" si="0"/>
        <v>7820</v>
      </c>
      <c r="I12" s="93" t="s">
        <v>130</v>
      </c>
      <c r="J12" s="96" t="s">
        <v>131</v>
      </c>
      <c r="K12" s="49" t="s">
        <v>132</v>
      </c>
      <c r="L12" s="93"/>
      <c r="M12" s="97" t="s">
        <v>152</v>
      </c>
      <c r="N12" s="108" t="s">
        <v>153</v>
      </c>
      <c r="O12" s="193">
        <v>367.87</v>
      </c>
      <c r="P12" s="193">
        <f t="shared" si="1"/>
        <v>3591.9738364510872</v>
      </c>
      <c r="Q12" s="193">
        <v>0</v>
      </c>
      <c r="R12" s="109">
        <v>90</v>
      </c>
      <c r="S12" s="193">
        <v>222.82</v>
      </c>
      <c r="T12" s="193">
        <v>0</v>
      </c>
      <c r="U12" s="193"/>
      <c r="V12" s="193"/>
      <c r="W12" s="193"/>
      <c r="X12" s="193"/>
      <c r="Y12" s="193"/>
      <c r="Z12" s="193">
        <v>-2133.81</v>
      </c>
      <c r="AA12" s="183">
        <v>31.5928634452343</v>
      </c>
      <c r="AB12" s="194">
        <v>2.496337</v>
      </c>
      <c r="AC12" s="194">
        <v>0.45889799999999997</v>
      </c>
      <c r="AD12" s="106">
        <v>56.91</v>
      </c>
      <c r="AE12" s="118">
        <v>15470.9</v>
      </c>
      <c r="AF12" s="106">
        <v>1.24</v>
      </c>
      <c r="AG12" s="106">
        <f t="shared" si="2"/>
        <v>15529.05</v>
      </c>
      <c r="AH12" s="106">
        <f t="shared" si="3"/>
        <v>7242.2006403899995</v>
      </c>
      <c r="AI12" s="106">
        <f t="shared" si="4"/>
        <v>54.099999999999994</v>
      </c>
      <c r="AJ12" s="106">
        <f t="shared" si="5"/>
        <v>11035.7</v>
      </c>
      <c r="AK12" s="106">
        <f t="shared" si="6"/>
        <v>1.24</v>
      </c>
      <c r="AL12" s="106">
        <f t="shared" si="7"/>
        <v>11091.04</v>
      </c>
      <c r="AM12" s="191">
        <f t="shared" si="8"/>
        <v>5199.8815238199995</v>
      </c>
      <c r="AN12" s="106">
        <v>912.15</v>
      </c>
      <c r="AO12" s="106">
        <v>4502.3999999999996</v>
      </c>
      <c r="AP12" s="106">
        <v>1583.4</v>
      </c>
      <c r="AQ12" s="106">
        <f t="shared" si="9"/>
        <v>6997.9499999999989</v>
      </c>
      <c r="AR12" s="193">
        <f t="shared" si="10"/>
        <v>5069.7952429500001</v>
      </c>
      <c r="AS12" s="106">
        <v>2.81</v>
      </c>
      <c r="AT12" s="106">
        <v>4435.2</v>
      </c>
      <c r="AU12" s="106">
        <v>0</v>
      </c>
      <c r="AV12" s="106">
        <f t="shared" si="11"/>
        <v>4438.01</v>
      </c>
      <c r="AW12" s="106">
        <v>2.81</v>
      </c>
      <c r="AX12" s="106">
        <v>4402.3999999999996</v>
      </c>
      <c r="AY12" s="106">
        <v>32.799999999999997</v>
      </c>
      <c r="AZ12" s="106">
        <f t="shared" si="12"/>
        <v>4438.01</v>
      </c>
      <c r="BA12" s="195">
        <f t="shared" si="13"/>
        <v>2042.3191165699998</v>
      </c>
      <c r="BB12" s="105">
        <f t="shared" si="14"/>
        <v>909.34</v>
      </c>
      <c r="BC12" s="105">
        <f>BB12*0.890199</f>
        <v>809.49355865999996</v>
      </c>
      <c r="BD12" s="105">
        <f t="shared" si="15"/>
        <v>100</v>
      </c>
      <c r="BE12" s="105">
        <f>BD12*0.890199</f>
        <v>89.019899999999993</v>
      </c>
      <c r="BF12" s="105">
        <f t="shared" si="16"/>
        <v>1550.6000000000001</v>
      </c>
      <c r="BG12" s="105">
        <f>BF12*0.890199</f>
        <v>1380.3425694</v>
      </c>
      <c r="BH12" s="105">
        <f t="shared" si="17"/>
        <v>2559.94</v>
      </c>
      <c r="BI12" s="105">
        <f t="shared" si="18"/>
        <v>2278.85602806</v>
      </c>
      <c r="BJ12" s="186">
        <f t="shared" si="19"/>
        <v>15529.050000000001</v>
      </c>
      <c r="BK12" s="195">
        <f t="shared" si="20"/>
        <v>7242.2006403899995</v>
      </c>
      <c r="BL12" s="98">
        <f t="shared" si="21"/>
        <v>15529.050000000001</v>
      </c>
      <c r="BM12" s="99">
        <f t="shared" si="22"/>
        <v>2.81</v>
      </c>
      <c r="BN12" s="99">
        <f t="shared" si="23"/>
        <v>4435.2</v>
      </c>
      <c r="BO12" s="196"/>
      <c r="BP12" s="196"/>
      <c r="BQ12" s="196"/>
      <c r="BR12" s="196"/>
      <c r="BS12" s="106"/>
      <c r="BT12" s="196"/>
      <c r="BU12" s="182"/>
      <c r="BV12" s="95"/>
      <c r="BW12" s="182"/>
      <c r="BX12" s="182"/>
      <c r="BY12" s="95"/>
      <c r="BZ12" s="182"/>
      <c r="CA12" s="95"/>
      <c r="CB12" s="95"/>
      <c r="CC12" s="182"/>
      <c r="CD12" s="106"/>
      <c r="CE12" s="106"/>
      <c r="CF12" s="196"/>
      <c r="CG12" s="106"/>
      <c r="CH12" s="106"/>
      <c r="CI12" s="196"/>
      <c r="CJ12" s="106"/>
      <c r="CK12" s="106"/>
      <c r="CL12" s="196"/>
      <c r="CM12" s="106"/>
      <c r="CN12" s="182">
        <f t="shared" si="24"/>
        <v>7242.2006403899995</v>
      </c>
      <c r="CO12" s="102">
        <f t="shared" si="29"/>
        <v>-1.3642420526593924E-12</v>
      </c>
      <c r="CP12" s="182">
        <f t="shared" si="25"/>
        <v>0</v>
      </c>
      <c r="CQ12" s="95">
        <f t="shared" si="26"/>
        <v>22527</v>
      </c>
      <c r="CR12" s="102">
        <v>0</v>
      </c>
      <c r="CS12" s="144" t="s">
        <v>154</v>
      </c>
      <c r="CT12" s="101"/>
      <c r="CU12" s="187">
        <f t="shared" si="27"/>
        <v>1116.4861263800001</v>
      </c>
      <c r="CV12" s="187">
        <f t="shared" si="28"/>
        <v>748.61612638000008</v>
      </c>
      <c r="CW12" s="240"/>
    </row>
    <row r="13" spans="1:101" s="52" customFormat="1" ht="19.899999999999999" customHeight="1" x14ac:dyDescent="0.3">
      <c r="A13" s="148"/>
      <c r="B13" s="50">
        <v>10031292940</v>
      </c>
      <c r="C13" s="148" t="s">
        <v>127</v>
      </c>
      <c r="D13" s="104" t="s">
        <v>128</v>
      </c>
      <c r="E13" s="104" t="s">
        <v>129</v>
      </c>
      <c r="F13" s="105">
        <v>17000</v>
      </c>
      <c r="G13" s="188">
        <v>0.46</v>
      </c>
      <c r="H13" s="118">
        <f t="shared" si="0"/>
        <v>7820</v>
      </c>
      <c r="I13" s="104" t="s">
        <v>130</v>
      </c>
      <c r="J13" s="107" t="s">
        <v>131</v>
      </c>
      <c r="K13" s="50" t="s">
        <v>132</v>
      </c>
      <c r="L13" s="93"/>
      <c r="M13" s="97" t="s">
        <v>155</v>
      </c>
      <c r="N13" s="108" t="s">
        <v>156</v>
      </c>
      <c r="O13" s="193">
        <v>4805.8</v>
      </c>
      <c r="P13" s="193">
        <f t="shared" si="1"/>
        <v>3005.6034279599999</v>
      </c>
      <c r="Q13" s="193">
        <v>0</v>
      </c>
      <c r="R13" s="109">
        <v>93.24</v>
      </c>
      <c r="S13" s="193">
        <v>92.46</v>
      </c>
      <c r="T13" s="193">
        <v>0</v>
      </c>
      <c r="U13" s="193"/>
      <c r="V13" s="193"/>
      <c r="W13" s="193"/>
      <c r="X13" s="193"/>
      <c r="Y13" s="193"/>
      <c r="Z13" s="193"/>
      <c r="AA13" s="183">
        <v>32.235129000000001</v>
      </c>
      <c r="AB13" s="194">
        <v>2.5470839999999999</v>
      </c>
      <c r="AC13" s="194">
        <v>0.468225</v>
      </c>
      <c r="AD13" s="106">
        <v>24.81</v>
      </c>
      <c r="AE13" s="118">
        <v>10662.48</v>
      </c>
      <c r="AF13" s="106">
        <v>0</v>
      </c>
      <c r="AG13" s="106">
        <f t="shared" si="2"/>
        <v>10687.289999999999</v>
      </c>
      <c r="AH13" s="106">
        <f t="shared" si="3"/>
        <v>5055.6328520400002</v>
      </c>
      <c r="AI13" s="106">
        <f t="shared" si="4"/>
        <v>24.81</v>
      </c>
      <c r="AJ13" s="106">
        <f t="shared" si="5"/>
        <v>8226.48</v>
      </c>
      <c r="AK13" s="106">
        <f t="shared" si="6"/>
        <v>0</v>
      </c>
      <c r="AL13" s="106">
        <f t="shared" si="7"/>
        <v>8251.2899999999991</v>
      </c>
      <c r="AM13" s="191">
        <f t="shared" si="8"/>
        <v>3915.03675204</v>
      </c>
      <c r="AN13" s="106">
        <v>871.62</v>
      </c>
      <c r="AO13" s="106">
        <v>5397</v>
      </c>
      <c r="AP13" s="106">
        <v>1356.6</v>
      </c>
      <c r="AQ13" s="106">
        <f t="shared" si="9"/>
        <v>7625.2199999999993</v>
      </c>
      <c r="AR13" s="193">
        <f t="shared" si="10"/>
        <v>5382.2937160800002</v>
      </c>
      <c r="AS13" s="106">
        <v>0</v>
      </c>
      <c r="AT13" s="106">
        <v>2436</v>
      </c>
      <c r="AU13" s="106">
        <v>0</v>
      </c>
      <c r="AV13" s="106">
        <f t="shared" si="11"/>
        <v>2436</v>
      </c>
      <c r="AW13" s="106">
        <v>0</v>
      </c>
      <c r="AX13" s="106">
        <v>2436</v>
      </c>
      <c r="AY13" s="106">
        <v>0</v>
      </c>
      <c r="AZ13" s="106">
        <f t="shared" si="12"/>
        <v>2436</v>
      </c>
      <c r="BA13" s="195">
        <f t="shared" si="13"/>
        <v>1140.5961</v>
      </c>
      <c r="BB13" s="105">
        <f t="shared" si="14"/>
        <v>871.62</v>
      </c>
      <c r="BC13" s="105">
        <f>BB13*0.908296</f>
        <v>791.68895952000003</v>
      </c>
      <c r="BD13" s="105">
        <f t="shared" si="15"/>
        <v>2961</v>
      </c>
      <c r="BE13" s="105">
        <f>BD13*0.908296</f>
        <v>2689.4644560000002</v>
      </c>
      <c r="BF13" s="105">
        <f t="shared" si="16"/>
        <v>1356.6</v>
      </c>
      <c r="BG13" s="105">
        <f>BF13*0.908296</f>
        <v>1232.1943535999999</v>
      </c>
      <c r="BH13" s="105">
        <f t="shared" si="17"/>
        <v>5189.2199999999993</v>
      </c>
      <c r="BI13" s="105">
        <f t="shared" si="18"/>
        <v>4713.3477691200005</v>
      </c>
      <c r="BJ13" s="186">
        <f t="shared" si="19"/>
        <v>10687.289999999999</v>
      </c>
      <c r="BK13" s="195">
        <f t="shared" si="20"/>
        <v>5055.6328520400002</v>
      </c>
      <c r="BL13" s="98">
        <f t="shared" si="21"/>
        <v>10687.289999999999</v>
      </c>
      <c r="BM13" s="99">
        <f t="shared" si="22"/>
        <v>0</v>
      </c>
      <c r="BN13" s="99">
        <f t="shared" si="23"/>
        <v>2436</v>
      </c>
      <c r="BO13" s="196"/>
      <c r="BP13" s="196"/>
      <c r="BQ13" s="196"/>
      <c r="BR13" s="196"/>
      <c r="BS13" s="106"/>
      <c r="BT13" s="196"/>
      <c r="BU13" s="182"/>
      <c r="BV13" s="95"/>
      <c r="BW13" s="182"/>
      <c r="BX13" s="182"/>
      <c r="BY13" s="95"/>
      <c r="BZ13" s="182"/>
      <c r="CA13" s="95"/>
      <c r="CB13" s="95"/>
      <c r="CC13" s="182"/>
      <c r="CD13" s="106"/>
      <c r="CE13" s="106"/>
      <c r="CF13" s="196"/>
      <c r="CG13" s="106"/>
      <c r="CH13" s="106"/>
      <c r="CI13" s="196"/>
      <c r="CJ13" s="106"/>
      <c r="CK13" s="106"/>
      <c r="CL13" s="196"/>
      <c r="CM13" s="106"/>
      <c r="CN13" s="182">
        <f t="shared" si="24"/>
        <v>5055.6328520400002</v>
      </c>
      <c r="CO13" s="102">
        <f t="shared" si="29"/>
        <v>-1.3642420526593924E-12</v>
      </c>
      <c r="CP13" s="182">
        <f t="shared" si="25"/>
        <v>0</v>
      </c>
      <c r="CQ13" s="95">
        <f t="shared" si="26"/>
        <v>18312.509999999998</v>
      </c>
      <c r="CR13" s="102">
        <v>0</v>
      </c>
      <c r="CS13" s="159" t="s">
        <v>157</v>
      </c>
      <c r="CT13" s="101"/>
      <c r="CU13" s="187"/>
      <c r="CV13" s="187"/>
      <c r="CW13" s="240"/>
    </row>
    <row r="14" spans="1:101" s="51" customFormat="1" ht="19.899999999999999" customHeight="1" x14ac:dyDescent="0.3">
      <c r="A14" s="148"/>
      <c r="B14" s="50">
        <v>10032831143</v>
      </c>
      <c r="C14" s="148" t="s">
        <v>158</v>
      </c>
      <c r="D14" s="104" t="s">
        <v>128</v>
      </c>
      <c r="E14" s="104"/>
      <c r="F14" s="105">
        <v>34560</v>
      </c>
      <c r="G14" s="188"/>
      <c r="H14" s="118">
        <f t="shared" si="0"/>
        <v>0</v>
      </c>
      <c r="I14" s="93" t="s">
        <v>159</v>
      </c>
      <c r="J14" s="96" t="s">
        <v>160</v>
      </c>
      <c r="K14" s="49" t="s">
        <v>161</v>
      </c>
      <c r="L14" s="93">
        <v>45155</v>
      </c>
      <c r="M14" s="97" t="s">
        <v>159</v>
      </c>
      <c r="N14" s="97" t="s">
        <v>162</v>
      </c>
      <c r="O14" s="183">
        <v>45894.9</v>
      </c>
      <c r="P14" s="183">
        <v>0</v>
      </c>
      <c r="Q14" s="183">
        <v>10251.06</v>
      </c>
      <c r="R14" s="131"/>
      <c r="S14" s="183">
        <v>2212.27</v>
      </c>
      <c r="T14" s="183">
        <v>0</v>
      </c>
      <c r="U14" s="183">
        <v>13.06</v>
      </c>
      <c r="V14" s="183">
        <v>0</v>
      </c>
      <c r="W14" s="183"/>
      <c r="X14" s="183"/>
      <c r="Y14" s="183"/>
      <c r="Z14" s="183"/>
      <c r="AA14" s="183"/>
      <c r="AB14" s="184">
        <v>2.3717999999999999</v>
      </c>
      <c r="AC14" s="184">
        <v>0.51156000000000001</v>
      </c>
      <c r="AD14" s="95">
        <v>0.1</v>
      </c>
      <c r="AE14" s="95">
        <v>24744.47</v>
      </c>
      <c r="AF14" s="95">
        <v>37.81</v>
      </c>
      <c r="AG14" s="95">
        <f t="shared" si="2"/>
        <v>24782.38</v>
      </c>
      <c r="AH14" s="95">
        <f t="shared" si="3"/>
        <v>12677.860336800002</v>
      </c>
      <c r="AI14" s="95">
        <f t="shared" si="4"/>
        <v>0</v>
      </c>
      <c r="AJ14" s="95">
        <f t="shared" si="5"/>
        <v>18538.97</v>
      </c>
      <c r="AK14" s="95">
        <f t="shared" si="6"/>
        <v>37.81</v>
      </c>
      <c r="AL14" s="95">
        <f t="shared" si="7"/>
        <v>18576.780000000002</v>
      </c>
      <c r="AM14" s="185">
        <f t="shared" si="8"/>
        <v>9503.1375768000016</v>
      </c>
      <c r="AN14" s="95">
        <v>5656.35</v>
      </c>
      <c r="AO14" s="95">
        <v>40215</v>
      </c>
      <c r="AP14" s="95">
        <v>5092.5</v>
      </c>
      <c r="AQ14" s="95">
        <f t="shared" si="9"/>
        <v>50963.85</v>
      </c>
      <c r="AR14" s="183">
        <f t="shared" si="10"/>
        <v>36593.235630000003</v>
      </c>
      <c r="AS14" s="95">
        <v>0.1</v>
      </c>
      <c r="AT14" s="95">
        <v>6205.5</v>
      </c>
      <c r="AU14" s="95">
        <v>0</v>
      </c>
      <c r="AV14" s="95">
        <f t="shared" si="11"/>
        <v>6205.6</v>
      </c>
      <c r="AW14" s="95">
        <v>0.1</v>
      </c>
      <c r="AX14" s="95">
        <v>6205.5</v>
      </c>
      <c r="AY14" s="95">
        <v>0</v>
      </c>
      <c r="AZ14" s="95">
        <f t="shared" si="12"/>
        <v>6205.6</v>
      </c>
      <c r="BA14" s="185">
        <f t="shared" si="13"/>
        <v>3174.7227600000001</v>
      </c>
      <c r="BB14" s="94">
        <f t="shared" si="14"/>
        <v>5656.25</v>
      </c>
      <c r="BC14" s="94">
        <f t="shared" ref="BC14:BC77" si="30">BB14*AB14</f>
        <v>13415.49375</v>
      </c>
      <c r="BD14" s="94">
        <f t="shared" si="15"/>
        <v>34009.5</v>
      </c>
      <c r="BE14" s="94">
        <f t="shared" ref="BE14:BE77" si="31">BD14*AC14</f>
        <v>17397.899819999999</v>
      </c>
      <c r="BF14" s="94">
        <f t="shared" si="16"/>
        <v>5092.5</v>
      </c>
      <c r="BG14" s="94">
        <f t="shared" ref="BG14:BG77" si="32">BF14*AC14</f>
        <v>2605.1193000000003</v>
      </c>
      <c r="BH14" s="94">
        <f t="shared" si="17"/>
        <v>44758.25</v>
      </c>
      <c r="BI14" s="94">
        <f t="shared" si="18"/>
        <v>33418.512869999999</v>
      </c>
      <c r="BJ14" s="186">
        <f t="shared" si="19"/>
        <v>24782.380000000005</v>
      </c>
      <c r="BK14" s="182">
        <f t="shared" si="20"/>
        <v>12677.860336800002</v>
      </c>
      <c r="BL14" s="98">
        <f t="shared" si="21"/>
        <v>24782.380000000005</v>
      </c>
      <c r="BM14" s="95">
        <f t="shared" si="22"/>
        <v>0.1</v>
      </c>
      <c r="BN14" s="95">
        <f t="shared" si="23"/>
        <v>6205.5</v>
      </c>
      <c r="BO14" s="182"/>
      <c r="BP14" s="182"/>
      <c r="BQ14" s="182">
        <v>0</v>
      </c>
      <c r="BR14" s="182"/>
      <c r="BS14" s="95">
        <v>0</v>
      </c>
      <c r="BT14" s="182"/>
      <c r="BU14" s="188">
        <v>0</v>
      </c>
      <c r="BV14" s="118">
        <v>0</v>
      </c>
      <c r="BW14" s="188"/>
      <c r="BX14" s="188">
        <v>0</v>
      </c>
      <c r="BY14" s="118"/>
      <c r="BZ14" s="188"/>
      <c r="CA14" s="118"/>
      <c r="CB14" s="118"/>
      <c r="CC14" s="188"/>
      <c r="CD14" s="95"/>
      <c r="CE14" s="95"/>
      <c r="CF14" s="182"/>
      <c r="CG14" s="95"/>
      <c r="CH14" s="95"/>
      <c r="CI14" s="182"/>
      <c r="CJ14" s="95"/>
      <c r="CK14" s="95"/>
      <c r="CL14" s="182"/>
      <c r="CM14" s="95"/>
      <c r="CN14" s="182">
        <f t="shared" si="24"/>
        <v>12677.860336800002</v>
      </c>
      <c r="CO14" s="110">
        <f>AV14-(AZ14+BS14+BV14+BY14)</f>
        <v>0</v>
      </c>
      <c r="CP14" s="182">
        <f t="shared" si="25"/>
        <v>0</v>
      </c>
      <c r="CQ14" s="95">
        <f t="shared" si="26"/>
        <v>75746.23000000001</v>
      </c>
      <c r="CR14" s="110"/>
      <c r="CS14" s="113"/>
      <c r="CT14" s="113"/>
      <c r="CU14" s="187"/>
      <c r="CV14" s="187"/>
      <c r="CW14" s="240"/>
    </row>
    <row r="15" spans="1:101" s="51" customFormat="1" ht="19.899999999999999" customHeight="1" x14ac:dyDescent="0.3">
      <c r="A15" s="92"/>
      <c r="B15" s="49">
        <v>10032831143</v>
      </c>
      <c r="C15" s="92" t="s">
        <v>158</v>
      </c>
      <c r="D15" s="93" t="s">
        <v>128</v>
      </c>
      <c r="E15" s="93"/>
      <c r="F15" s="94">
        <v>34560</v>
      </c>
      <c r="G15" s="182"/>
      <c r="H15" s="95">
        <f t="shared" si="0"/>
        <v>0</v>
      </c>
      <c r="I15" s="104" t="s">
        <v>159</v>
      </c>
      <c r="J15" s="107" t="s">
        <v>160</v>
      </c>
      <c r="K15" s="50" t="s">
        <v>161</v>
      </c>
      <c r="L15" s="104">
        <v>45155</v>
      </c>
      <c r="M15" s="108" t="s">
        <v>163</v>
      </c>
      <c r="N15" s="108" t="s">
        <v>164</v>
      </c>
      <c r="O15" s="193">
        <v>34592.94</v>
      </c>
      <c r="P15" s="193">
        <v>0</v>
      </c>
      <c r="Q15" s="193">
        <v>10242.65</v>
      </c>
      <c r="R15" s="109"/>
      <c r="S15" s="193">
        <v>1804.71</v>
      </c>
      <c r="T15" s="193">
        <v>0</v>
      </c>
      <c r="U15" s="193">
        <v>13.06</v>
      </c>
      <c r="V15" s="193">
        <v>70.209999999999994</v>
      </c>
      <c r="W15" s="193"/>
      <c r="X15" s="193"/>
      <c r="Y15" s="193"/>
      <c r="Z15" s="193"/>
      <c r="AA15" s="193"/>
      <c r="AB15" s="194">
        <v>2.36985</v>
      </c>
      <c r="AC15" s="194">
        <v>0.51114999999999999</v>
      </c>
      <c r="AD15" s="106">
        <v>2.62</v>
      </c>
      <c r="AE15" s="118">
        <v>25097.57</v>
      </c>
      <c r="AF15" s="106">
        <v>78.819999999999993</v>
      </c>
      <c r="AG15" s="106">
        <f t="shared" si="2"/>
        <v>25179.01</v>
      </c>
      <c r="AH15" s="106">
        <f t="shared" si="3"/>
        <v>12875.120755499998</v>
      </c>
      <c r="AI15" s="106">
        <f t="shared" si="4"/>
        <v>0</v>
      </c>
      <c r="AJ15" s="106">
        <f t="shared" si="5"/>
        <v>18209.57</v>
      </c>
      <c r="AK15" s="106">
        <f t="shared" si="6"/>
        <v>78.819999999999993</v>
      </c>
      <c r="AL15" s="118">
        <f t="shared" si="7"/>
        <v>18288.39</v>
      </c>
      <c r="AM15" s="191">
        <f t="shared" si="8"/>
        <v>9348.1105484999989</v>
      </c>
      <c r="AN15" s="118">
        <v>3520.23</v>
      </c>
      <c r="AO15" s="118">
        <v>33390</v>
      </c>
      <c r="AP15" s="118">
        <v>1134</v>
      </c>
      <c r="AQ15" s="106">
        <f t="shared" si="9"/>
        <v>38044.230000000003</v>
      </c>
      <c r="AR15" s="193">
        <f t="shared" si="10"/>
        <v>25989.3596655</v>
      </c>
      <c r="AS15" s="118">
        <v>2.62</v>
      </c>
      <c r="AT15" s="118">
        <v>6888</v>
      </c>
      <c r="AU15" s="118">
        <v>0</v>
      </c>
      <c r="AV15" s="118">
        <f t="shared" si="11"/>
        <v>6890.62</v>
      </c>
      <c r="AW15" s="118">
        <v>2.62</v>
      </c>
      <c r="AX15" s="118">
        <v>6888</v>
      </c>
      <c r="AY15" s="118">
        <v>0</v>
      </c>
      <c r="AZ15" s="118">
        <f t="shared" si="12"/>
        <v>6890.62</v>
      </c>
      <c r="BA15" s="197">
        <f t="shared" si="13"/>
        <v>3527.0102069999998</v>
      </c>
      <c r="BB15" s="94">
        <f t="shared" si="14"/>
        <v>3517.61</v>
      </c>
      <c r="BC15" s="105">
        <f t="shared" si="30"/>
        <v>8336.2080585000003</v>
      </c>
      <c r="BD15" s="94">
        <f t="shared" si="15"/>
        <v>26502</v>
      </c>
      <c r="BE15" s="94">
        <f t="shared" si="31"/>
        <v>13546.497299999999</v>
      </c>
      <c r="BF15" s="94">
        <f t="shared" si="16"/>
        <v>1134</v>
      </c>
      <c r="BG15" s="94">
        <f t="shared" si="32"/>
        <v>579.64409999999998</v>
      </c>
      <c r="BH15" s="94">
        <f t="shared" si="17"/>
        <v>31153.61</v>
      </c>
      <c r="BI15" s="94">
        <f t="shared" si="18"/>
        <v>22462.349458500001</v>
      </c>
      <c r="BJ15" s="186">
        <f t="shared" si="19"/>
        <v>25179.01</v>
      </c>
      <c r="BK15" s="182">
        <f t="shared" si="20"/>
        <v>12875.120755499998</v>
      </c>
      <c r="BL15" s="98">
        <f t="shared" si="21"/>
        <v>25179.01</v>
      </c>
      <c r="BM15" s="99">
        <f t="shared" si="22"/>
        <v>2.62</v>
      </c>
      <c r="BN15" s="99">
        <f t="shared" si="23"/>
        <v>6888</v>
      </c>
      <c r="BO15" s="182"/>
      <c r="BP15" s="182"/>
      <c r="BQ15" s="182">
        <v>0</v>
      </c>
      <c r="BR15" s="182"/>
      <c r="BS15" s="95">
        <v>0</v>
      </c>
      <c r="BT15" s="182"/>
      <c r="BU15" s="182">
        <v>0</v>
      </c>
      <c r="BV15" s="95">
        <v>0</v>
      </c>
      <c r="BW15" s="182"/>
      <c r="BX15" s="182">
        <v>0</v>
      </c>
      <c r="BY15" s="95"/>
      <c r="BZ15" s="182"/>
      <c r="CA15" s="95"/>
      <c r="CB15" s="95"/>
      <c r="CC15" s="182"/>
      <c r="CD15" s="95"/>
      <c r="CE15" s="95"/>
      <c r="CF15" s="182"/>
      <c r="CG15" s="95"/>
      <c r="CH15" s="95"/>
      <c r="CI15" s="182"/>
      <c r="CJ15" s="95"/>
      <c r="CK15" s="95"/>
      <c r="CL15" s="182"/>
      <c r="CM15" s="95"/>
      <c r="CN15" s="182">
        <f t="shared" si="24"/>
        <v>12875.120755499998</v>
      </c>
      <c r="CO15" s="110">
        <f t="shared" ref="CO15:CO26" si="33">(AV15-(AZ15+BV15+BY15+CB15+CE15+CH15+CK15+BS15)+CO14)</f>
        <v>0</v>
      </c>
      <c r="CP15" s="182">
        <f t="shared" si="25"/>
        <v>0</v>
      </c>
      <c r="CQ15" s="95">
        <f t="shared" si="26"/>
        <v>63223.240000000005</v>
      </c>
      <c r="CR15" s="110"/>
      <c r="CS15" s="113"/>
      <c r="CT15" s="113"/>
      <c r="CU15" s="187"/>
      <c r="CV15" s="187"/>
      <c r="CW15" s="240"/>
    </row>
    <row r="16" spans="1:101" s="51" customFormat="1" ht="19.899999999999999" customHeight="1" x14ac:dyDescent="0.3">
      <c r="A16" s="148"/>
      <c r="B16" s="50">
        <v>10032831143</v>
      </c>
      <c r="C16" s="148" t="s">
        <v>158</v>
      </c>
      <c r="D16" s="104" t="s">
        <v>128</v>
      </c>
      <c r="E16" s="104"/>
      <c r="F16" s="105">
        <v>34560</v>
      </c>
      <c r="G16" s="188"/>
      <c r="H16" s="118">
        <f t="shared" si="0"/>
        <v>0</v>
      </c>
      <c r="I16" s="93" t="s">
        <v>159</v>
      </c>
      <c r="J16" s="96" t="s">
        <v>160</v>
      </c>
      <c r="K16" s="49" t="s">
        <v>161</v>
      </c>
      <c r="L16" s="93">
        <v>45155</v>
      </c>
      <c r="M16" s="97" t="s">
        <v>165</v>
      </c>
      <c r="N16" s="97" t="s">
        <v>166</v>
      </c>
      <c r="O16" s="183">
        <v>49661.47</v>
      </c>
      <c r="P16" s="183">
        <v>0</v>
      </c>
      <c r="Q16" s="183">
        <v>10657.18</v>
      </c>
      <c r="R16" s="131"/>
      <c r="S16" s="183">
        <v>1740.62</v>
      </c>
      <c r="T16" s="183">
        <v>0</v>
      </c>
      <c r="U16" s="183">
        <v>13.06</v>
      </c>
      <c r="V16" s="183">
        <v>0</v>
      </c>
      <c r="W16" s="183"/>
      <c r="X16" s="183"/>
      <c r="Y16" s="183"/>
      <c r="Z16" s="183">
        <v>73.849999999999994</v>
      </c>
      <c r="AA16" s="183"/>
      <c r="AB16" s="184">
        <v>2.46576</v>
      </c>
      <c r="AC16" s="184">
        <v>0.53185000000000004</v>
      </c>
      <c r="AD16" s="95">
        <v>0</v>
      </c>
      <c r="AE16" s="95">
        <v>13601.58</v>
      </c>
      <c r="AF16" s="95">
        <v>31.98</v>
      </c>
      <c r="AG16" s="95">
        <f t="shared" si="2"/>
        <v>13633.56</v>
      </c>
      <c r="AH16" s="95">
        <f t="shared" si="3"/>
        <v>7251.0088860000005</v>
      </c>
      <c r="AI16" s="95">
        <f t="shared" si="4"/>
        <v>0</v>
      </c>
      <c r="AJ16" s="95">
        <f t="shared" si="5"/>
        <v>8614.08</v>
      </c>
      <c r="AK16" s="95">
        <f t="shared" si="6"/>
        <v>31.98</v>
      </c>
      <c r="AL16" s="95">
        <f t="shared" si="7"/>
        <v>8646.06</v>
      </c>
      <c r="AM16" s="185">
        <f t="shared" si="8"/>
        <v>4598.4070110000002</v>
      </c>
      <c r="AN16" s="95">
        <v>8226.2199999999993</v>
      </c>
      <c r="AO16" s="95">
        <v>35521.5</v>
      </c>
      <c r="AP16" s="95">
        <v>1228.5</v>
      </c>
      <c r="AQ16" s="95">
        <f t="shared" si="9"/>
        <v>44976.22</v>
      </c>
      <c r="AR16" s="183">
        <f t="shared" si="10"/>
        <v>39829.371727199999</v>
      </c>
      <c r="AS16" s="95">
        <v>0</v>
      </c>
      <c r="AT16" s="95">
        <v>4987.5</v>
      </c>
      <c r="AU16" s="95">
        <v>0</v>
      </c>
      <c r="AV16" s="135">
        <f t="shared" si="11"/>
        <v>4987.5</v>
      </c>
      <c r="AW16" s="95">
        <v>0</v>
      </c>
      <c r="AX16" s="95">
        <v>4987.5</v>
      </c>
      <c r="AY16" s="95">
        <v>0</v>
      </c>
      <c r="AZ16" s="95">
        <f t="shared" si="12"/>
        <v>4987.5</v>
      </c>
      <c r="BA16" s="185">
        <f t="shared" si="13"/>
        <v>2652.6018750000003</v>
      </c>
      <c r="BB16" s="94">
        <f t="shared" si="14"/>
        <v>8226.2199999999993</v>
      </c>
      <c r="BC16" s="94">
        <f t="shared" si="30"/>
        <v>20283.884227199997</v>
      </c>
      <c r="BD16" s="94">
        <f t="shared" si="15"/>
        <v>30534</v>
      </c>
      <c r="BE16" s="94">
        <f t="shared" si="31"/>
        <v>16239.507900000001</v>
      </c>
      <c r="BF16" s="94">
        <f t="shared" si="16"/>
        <v>1228.5</v>
      </c>
      <c r="BG16" s="94">
        <f t="shared" si="32"/>
        <v>653.37772500000005</v>
      </c>
      <c r="BH16" s="94">
        <f t="shared" si="17"/>
        <v>39988.720000000001</v>
      </c>
      <c r="BI16" s="94">
        <f t="shared" si="18"/>
        <v>37176.769852199999</v>
      </c>
      <c r="BJ16" s="186">
        <f t="shared" si="19"/>
        <v>13633.56</v>
      </c>
      <c r="BK16" s="182">
        <f t="shared" si="20"/>
        <v>7251.0088860000005</v>
      </c>
      <c r="BL16" s="98">
        <f t="shared" si="21"/>
        <v>13633.56</v>
      </c>
      <c r="BM16" s="95">
        <f t="shared" si="22"/>
        <v>0</v>
      </c>
      <c r="BN16" s="95">
        <f t="shared" si="23"/>
        <v>4987.5</v>
      </c>
      <c r="BO16" s="182"/>
      <c r="BP16" s="182"/>
      <c r="BQ16" s="182">
        <v>0</v>
      </c>
      <c r="BR16" s="182"/>
      <c r="BS16" s="95">
        <v>0</v>
      </c>
      <c r="BT16" s="182"/>
      <c r="BU16" s="188">
        <v>0</v>
      </c>
      <c r="BV16" s="118">
        <v>0</v>
      </c>
      <c r="BW16" s="188"/>
      <c r="BX16" s="188">
        <v>0</v>
      </c>
      <c r="BY16" s="118"/>
      <c r="BZ16" s="188"/>
      <c r="CA16" s="118"/>
      <c r="CB16" s="118"/>
      <c r="CC16" s="188"/>
      <c r="CD16" s="95"/>
      <c r="CE16" s="95"/>
      <c r="CF16" s="182"/>
      <c r="CG16" s="95"/>
      <c r="CH16" s="95"/>
      <c r="CI16" s="182"/>
      <c r="CJ16" s="95"/>
      <c r="CK16" s="95"/>
      <c r="CL16" s="182"/>
      <c r="CM16" s="95"/>
      <c r="CN16" s="182">
        <f t="shared" si="24"/>
        <v>7251.0088860000005</v>
      </c>
      <c r="CO16" s="110">
        <f t="shared" si="33"/>
        <v>0</v>
      </c>
      <c r="CP16" s="182">
        <f t="shared" si="25"/>
        <v>0</v>
      </c>
      <c r="CQ16" s="95">
        <f t="shared" si="26"/>
        <v>58609.78</v>
      </c>
      <c r="CR16" s="110"/>
      <c r="CS16" s="113"/>
      <c r="CT16" s="113"/>
      <c r="CU16" s="187"/>
      <c r="CV16" s="187"/>
      <c r="CW16" s="240"/>
    </row>
    <row r="17" spans="1:101" s="51" customFormat="1" ht="19.899999999999999" customHeight="1" x14ac:dyDescent="0.3">
      <c r="A17" s="92"/>
      <c r="B17" s="49">
        <v>10032831143</v>
      </c>
      <c r="C17" s="92" t="s">
        <v>158</v>
      </c>
      <c r="D17" s="93" t="s">
        <v>128</v>
      </c>
      <c r="E17" s="93"/>
      <c r="F17" s="94">
        <v>34560</v>
      </c>
      <c r="G17" s="182"/>
      <c r="H17" s="95">
        <f t="shared" si="0"/>
        <v>0</v>
      </c>
      <c r="I17" s="104" t="s">
        <v>159</v>
      </c>
      <c r="J17" s="107" t="s">
        <v>160</v>
      </c>
      <c r="K17" s="50" t="s">
        <v>161</v>
      </c>
      <c r="L17" s="104">
        <v>45155</v>
      </c>
      <c r="M17" s="108" t="s">
        <v>133</v>
      </c>
      <c r="N17" s="108" t="s">
        <v>134</v>
      </c>
      <c r="O17" s="193">
        <v>56234.04</v>
      </c>
      <c r="P17" s="193">
        <v>0</v>
      </c>
      <c r="Q17" s="193">
        <v>10592.77</v>
      </c>
      <c r="R17" s="109"/>
      <c r="S17" s="193">
        <v>1244.32</v>
      </c>
      <c r="T17" s="193">
        <v>0</v>
      </c>
      <c r="U17" s="193">
        <v>13.06</v>
      </c>
      <c r="V17" s="193">
        <v>0</v>
      </c>
      <c r="W17" s="193"/>
      <c r="X17" s="193"/>
      <c r="Y17" s="193"/>
      <c r="Z17" s="193"/>
      <c r="AA17" s="193"/>
      <c r="AB17" s="194">
        <v>2.45086</v>
      </c>
      <c r="AC17" s="194">
        <v>0.52863000000000004</v>
      </c>
      <c r="AD17" s="106">
        <v>0</v>
      </c>
      <c r="AE17" s="118">
        <v>21715.51</v>
      </c>
      <c r="AF17" s="106">
        <v>12.09</v>
      </c>
      <c r="AG17" s="106">
        <f t="shared" si="2"/>
        <v>21727.599999999999</v>
      </c>
      <c r="AH17" s="106">
        <f t="shared" si="3"/>
        <v>11485.861188000001</v>
      </c>
      <c r="AI17" s="106">
        <f t="shared" si="4"/>
        <v>0</v>
      </c>
      <c r="AJ17" s="106">
        <f t="shared" si="5"/>
        <v>16854.009999999998</v>
      </c>
      <c r="AK17" s="106">
        <f t="shared" si="6"/>
        <v>12.09</v>
      </c>
      <c r="AL17" s="132">
        <f t="shared" si="7"/>
        <v>16866.099999999999</v>
      </c>
      <c r="AM17" s="198">
        <f t="shared" si="8"/>
        <v>8915.9264430000003</v>
      </c>
      <c r="AN17" s="132">
        <v>8873.86</v>
      </c>
      <c r="AO17" s="132">
        <v>43732.5</v>
      </c>
      <c r="AP17" s="132">
        <v>3948</v>
      </c>
      <c r="AQ17" s="106">
        <f t="shared" si="9"/>
        <v>56554.36</v>
      </c>
      <c r="AR17" s="193">
        <f t="shared" si="10"/>
        <v>46953.931234600008</v>
      </c>
      <c r="AS17" s="132">
        <v>0</v>
      </c>
      <c r="AT17" s="132">
        <v>4861.5</v>
      </c>
      <c r="AU17" s="132">
        <v>0</v>
      </c>
      <c r="AV17" s="136">
        <f t="shared" si="11"/>
        <v>4861.5</v>
      </c>
      <c r="AW17" s="132">
        <v>0</v>
      </c>
      <c r="AX17" s="132">
        <v>4861.5</v>
      </c>
      <c r="AY17" s="132">
        <v>0</v>
      </c>
      <c r="AZ17" s="132">
        <f t="shared" si="12"/>
        <v>4861.5</v>
      </c>
      <c r="BA17" s="197">
        <f t="shared" si="13"/>
        <v>2569.934745</v>
      </c>
      <c r="BB17" s="94">
        <f t="shared" si="14"/>
        <v>8873.86</v>
      </c>
      <c r="BC17" s="105">
        <f t="shared" si="30"/>
        <v>21748.588519600002</v>
      </c>
      <c r="BD17" s="94">
        <f t="shared" si="15"/>
        <v>38871</v>
      </c>
      <c r="BE17" s="94">
        <f t="shared" si="31"/>
        <v>20548.37673</v>
      </c>
      <c r="BF17" s="94">
        <f t="shared" si="16"/>
        <v>3948</v>
      </c>
      <c r="BG17" s="94">
        <f t="shared" si="32"/>
        <v>2087.0312400000003</v>
      </c>
      <c r="BH17" s="94">
        <f t="shared" si="17"/>
        <v>51692.86</v>
      </c>
      <c r="BI17" s="94">
        <f t="shared" si="18"/>
        <v>44383.996489600002</v>
      </c>
      <c r="BJ17" s="186">
        <f t="shared" si="19"/>
        <v>21727.599999999999</v>
      </c>
      <c r="BK17" s="182">
        <f t="shared" si="20"/>
        <v>11485.861188000001</v>
      </c>
      <c r="BL17" s="98">
        <f t="shared" si="21"/>
        <v>21727.599999999999</v>
      </c>
      <c r="BM17" s="99">
        <f t="shared" si="22"/>
        <v>0</v>
      </c>
      <c r="BN17" s="99">
        <f t="shared" si="23"/>
        <v>4861.5</v>
      </c>
      <c r="BO17" s="182"/>
      <c r="BP17" s="182"/>
      <c r="BQ17" s="182">
        <v>0</v>
      </c>
      <c r="BR17" s="182"/>
      <c r="BS17" s="95">
        <v>0</v>
      </c>
      <c r="BT17" s="182"/>
      <c r="BU17" s="182">
        <v>0</v>
      </c>
      <c r="BV17" s="95">
        <v>0</v>
      </c>
      <c r="BW17" s="182"/>
      <c r="BX17" s="182">
        <v>0</v>
      </c>
      <c r="BY17" s="95"/>
      <c r="BZ17" s="182"/>
      <c r="CA17" s="95"/>
      <c r="CB17" s="95"/>
      <c r="CC17" s="182"/>
      <c r="CD17" s="95"/>
      <c r="CE17" s="95"/>
      <c r="CF17" s="182"/>
      <c r="CG17" s="95"/>
      <c r="CH17" s="95"/>
      <c r="CI17" s="182"/>
      <c r="CJ17" s="95"/>
      <c r="CK17" s="95"/>
      <c r="CL17" s="182"/>
      <c r="CM17" s="95"/>
      <c r="CN17" s="182">
        <f t="shared" si="24"/>
        <v>11485.861188000001</v>
      </c>
      <c r="CO17" s="110">
        <f t="shared" si="33"/>
        <v>0</v>
      </c>
      <c r="CP17" s="182">
        <f t="shared" si="25"/>
        <v>0</v>
      </c>
      <c r="CQ17" s="95">
        <f t="shared" si="26"/>
        <v>78281.959999999992</v>
      </c>
      <c r="CR17" s="110"/>
      <c r="CS17" s="113"/>
      <c r="CT17" s="113"/>
      <c r="CU17" s="187"/>
      <c r="CV17" s="187"/>
      <c r="CW17" s="240"/>
    </row>
    <row r="18" spans="1:101" s="51" customFormat="1" ht="19.899999999999999" customHeight="1" x14ac:dyDescent="0.3">
      <c r="A18" s="148"/>
      <c r="B18" s="50">
        <v>10032831143</v>
      </c>
      <c r="C18" s="148" t="s">
        <v>158</v>
      </c>
      <c r="D18" s="104" t="s">
        <v>128</v>
      </c>
      <c r="E18" s="104"/>
      <c r="F18" s="105">
        <v>34560</v>
      </c>
      <c r="G18" s="188"/>
      <c r="H18" s="118">
        <f t="shared" si="0"/>
        <v>0</v>
      </c>
      <c r="I18" s="93" t="s">
        <v>159</v>
      </c>
      <c r="J18" s="96" t="s">
        <v>160</v>
      </c>
      <c r="K18" s="49" t="s">
        <v>161</v>
      </c>
      <c r="L18" s="93">
        <v>45155</v>
      </c>
      <c r="M18" s="97" t="s">
        <v>135</v>
      </c>
      <c r="N18" s="97" t="s">
        <v>136</v>
      </c>
      <c r="O18" s="183">
        <v>56356.17</v>
      </c>
      <c r="P18" s="183">
        <v>0</v>
      </c>
      <c r="Q18" s="183">
        <v>10634.45</v>
      </c>
      <c r="R18" s="131"/>
      <c r="S18" s="183">
        <v>1215.24</v>
      </c>
      <c r="T18" s="183">
        <v>0</v>
      </c>
      <c r="U18" s="183">
        <v>13.06</v>
      </c>
      <c r="V18" s="183">
        <v>0</v>
      </c>
      <c r="W18" s="183"/>
      <c r="X18" s="183"/>
      <c r="Y18" s="183"/>
      <c r="Z18" s="183"/>
      <c r="AA18" s="183"/>
      <c r="AB18" s="184">
        <v>2.4605229999999998</v>
      </c>
      <c r="AC18" s="184">
        <v>0.53073000000000004</v>
      </c>
      <c r="AD18" s="95">
        <v>0</v>
      </c>
      <c r="AE18" s="95">
        <v>19887.18</v>
      </c>
      <c r="AF18" s="95">
        <v>0.08</v>
      </c>
      <c r="AG18" s="95">
        <f t="shared" si="2"/>
        <v>19887.260000000002</v>
      </c>
      <c r="AH18" s="95">
        <f t="shared" si="3"/>
        <v>10554.765499800002</v>
      </c>
      <c r="AI18" s="95">
        <f t="shared" si="4"/>
        <v>0</v>
      </c>
      <c r="AJ18" s="95">
        <f t="shared" si="5"/>
        <v>15351.18</v>
      </c>
      <c r="AK18" s="95">
        <f t="shared" si="6"/>
        <v>0.08</v>
      </c>
      <c r="AL18" s="95">
        <f t="shared" si="7"/>
        <v>15351.26</v>
      </c>
      <c r="AM18" s="185">
        <f t="shared" si="8"/>
        <v>8147.3742198000009</v>
      </c>
      <c r="AN18" s="95">
        <v>9571.69</v>
      </c>
      <c r="AO18" s="95">
        <v>42640.5</v>
      </c>
      <c r="AP18" s="95">
        <v>1354.5</v>
      </c>
      <c r="AQ18" s="95">
        <f t="shared" si="9"/>
        <v>53566.69</v>
      </c>
      <c r="AR18" s="183">
        <f t="shared" si="10"/>
        <v>46900.829743870003</v>
      </c>
      <c r="AS18" s="95">
        <v>0</v>
      </c>
      <c r="AT18" s="95">
        <v>4536</v>
      </c>
      <c r="AU18" s="95">
        <v>0</v>
      </c>
      <c r="AV18" s="135">
        <f t="shared" si="11"/>
        <v>4536</v>
      </c>
      <c r="AW18" s="95">
        <v>0</v>
      </c>
      <c r="AX18" s="95">
        <v>4536</v>
      </c>
      <c r="AY18" s="95">
        <v>0</v>
      </c>
      <c r="AZ18" s="95">
        <f t="shared" si="12"/>
        <v>4536</v>
      </c>
      <c r="BA18" s="185">
        <f t="shared" si="13"/>
        <v>2407.3912800000003</v>
      </c>
      <c r="BB18" s="94">
        <f t="shared" si="14"/>
        <v>9571.69</v>
      </c>
      <c r="BC18" s="94">
        <f t="shared" si="30"/>
        <v>23551.36339387</v>
      </c>
      <c r="BD18" s="94">
        <f t="shared" si="15"/>
        <v>38104.5</v>
      </c>
      <c r="BE18" s="94">
        <f t="shared" si="31"/>
        <v>20223.201285000003</v>
      </c>
      <c r="BF18" s="94">
        <f t="shared" si="16"/>
        <v>1354.5</v>
      </c>
      <c r="BG18" s="94">
        <f t="shared" si="32"/>
        <v>718.873785</v>
      </c>
      <c r="BH18" s="94">
        <f t="shared" si="17"/>
        <v>49030.69</v>
      </c>
      <c r="BI18" s="94">
        <f t="shared" si="18"/>
        <v>44493.438463870007</v>
      </c>
      <c r="BJ18" s="186">
        <f t="shared" si="19"/>
        <v>19887.260000000002</v>
      </c>
      <c r="BK18" s="182">
        <f t="shared" si="20"/>
        <v>10554.765499800002</v>
      </c>
      <c r="BL18" s="98">
        <f t="shared" si="21"/>
        <v>19887.260000000002</v>
      </c>
      <c r="BM18" s="95">
        <f t="shared" si="22"/>
        <v>0</v>
      </c>
      <c r="BN18" s="95">
        <f t="shared" si="23"/>
        <v>4536</v>
      </c>
      <c r="BO18" s="182"/>
      <c r="BP18" s="182"/>
      <c r="BQ18" s="182">
        <v>0</v>
      </c>
      <c r="BR18" s="182"/>
      <c r="BS18" s="95">
        <v>0</v>
      </c>
      <c r="BT18" s="182"/>
      <c r="BU18" s="188">
        <v>0</v>
      </c>
      <c r="BV18" s="118">
        <v>0</v>
      </c>
      <c r="BW18" s="188"/>
      <c r="BX18" s="188">
        <v>0</v>
      </c>
      <c r="BY18" s="118"/>
      <c r="BZ18" s="188"/>
      <c r="CA18" s="118"/>
      <c r="CB18" s="118"/>
      <c r="CC18" s="188"/>
      <c r="CD18" s="95"/>
      <c r="CE18" s="95"/>
      <c r="CF18" s="182"/>
      <c r="CG18" s="95"/>
      <c r="CH18" s="95"/>
      <c r="CI18" s="182"/>
      <c r="CJ18" s="95"/>
      <c r="CK18" s="95"/>
      <c r="CL18" s="182"/>
      <c r="CM18" s="95"/>
      <c r="CN18" s="182">
        <f t="shared" si="24"/>
        <v>10554.765499800002</v>
      </c>
      <c r="CO18" s="110">
        <f t="shared" si="33"/>
        <v>0</v>
      </c>
      <c r="CP18" s="182">
        <f t="shared" si="25"/>
        <v>0</v>
      </c>
      <c r="CQ18" s="95">
        <f t="shared" si="26"/>
        <v>73453.950000000012</v>
      </c>
      <c r="CR18" s="110"/>
      <c r="CS18" s="113"/>
      <c r="CT18" s="113"/>
      <c r="CU18" s="187"/>
      <c r="CV18" s="187"/>
      <c r="CW18" s="240"/>
    </row>
    <row r="19" spans="1:101" s="51" customFormat="1" ht="19.899999999999999" customHeight="1" x14ac:dyDescent="0.3">
      <c r="A19" s="92"/>
      <c r="B19" s="49">
        <v>10032831143</v>
      </c>
      <c r="C19" s="92" t="s">
        <v>158</v>
      </c>
      <c r="D19" s="93" t="s">
        <v>128</v>
      </c>
      <c r="E19" s="93"/>
      <c r="F19" s="94">
        <v>34560</v>
      </c>
      <c r="G19" s="182"/>
      <c r="H19" s="95">
        <f t="shared" si="0"/>
        <v>0</v>
      </c>
      <c r="I19" s="104" t="s">
        <v>159</v>
      </c>
      <c r="J19" s="107" t="s">
        <v>160</v>
      </c>
      <c r="K19" s="50" t="s">
        <v>161</v>
      </c>
      <c r="L19" s="104">
        <v>45155</v>
      </c>
      <c r="M19" s="108" t="s">
        <v>137</v>
      </c>
      <c r="N19" s="108" t="s">
        <v>138</v>
      </c>
      <c r="O19" s="193">
        <v>52467.47</v>
      </c>
      <c r="P19" s="193">
        <v>0</v>
      </c>
      <c r="Q19" s="193">
        <v>10148.83</v>
      </c>
      <c r="R19" s="109"/>
      <c r="S19" s="193">
        <v>1196.56</v>
      </c>
      <c r="T19" s="193">
        <v>0</v>
      </c>
      <c r="U19" s="193">
        <v>13.06</v>
      </c>
      <c r="V19" s="193">
        <v>0</v>
      </c>
      <c r="W19" s="193"/>
      <c r="X19" s="193"/>
      <c r="Y19" s="193"/>
      <c r="Z19" s="193"/>
      <c r="AA19" s="193"/>
      <c r="AB19" s="194">
        <v>2.3481619999999999</v>
      </c>
      <c r="AC19" s="194">
        <v>0.506494</v>
      </c>
      <c r="AD19" s="106">
        <v>0</v>
      </c>
      <c r="AE19" s="118">
        <v>22279.55</v>
      </c>
      <c r="AF19" s="106">
        <v>0</v>
      </c>
      <c r="AG19" s="106">
        <f t="shared" si="2"/>
        <v>22279.55</v>
      </c>
      <c r="AH19" s="106">
        <f t="shared" si="3"/>
        <v>11284.4583977</v>
      </c>
      <c r="AI19" s="106">
        <f t="shared" si="4"/>
        <v>0</v>
      </c>
      <c r="AJ19" s="106">
        <f t="shared" si="5"/>
        <v>16767.05</v>
      </c>
      <c r="AK19" s="106">
        <f t="shared" si="6"/>
        <v>0</v>
      </c>
      <c r="AL19" s="132">
        <f t="shared" si="7"/>
        <v>16767.05</v>
      </c>
      <c r="AM19" s="198">
        <f t="shared" si="8"/>
        <v>8492.4102227000003</v>
      </c>
      <c r="AN19" s="132">
        <v>9190.44</v>
      </c>
      <c r="AO19" s="132">
        <v>41947.5</v>
      </c>
      <c r="AP19" s="132">
        <v>2121</v>
      </c>
      <c r="AQ19" s="106">
        <f t="shared" si="9"/>
        <v>53258.94</v>
      </c>
      <c r="AR19" s="193">
        <f t="shared" si="10"/>
        <v>43901.072810280006</v>
      </c>
      <c r="AS19" s="132">
        <v>0</v>
      </c>
      <c r="AT19" s="132">
        <v>5512.5</v>
      </c>
      <c r="AU19" s="132">
        <v>0</v>
      </c>
      <c r="AV19" s="136">
        <f t="shared" si="11"/>
        <v>5512.5</v>
      </c>
      <c r="AW19" s="132">
        <v>0</v>
      </c>
      <c r="AX19" s="132">
        <v>5512.5</v>
      </c>
      <c r="AY19" s="132">
        <v>0</v>
      </c>
      <c r="AZ19" s="132">
        <f t="shared" si="12"/>
        <v>5512.5</v>
      </c>
      <c r="BA19" s="197">
        <f t="shared" si="13"/>
        <v>2792.0481749999999</v>
      </c>
      <c r="BB19" s="94">
        <f t="shared" si="14"/>
        <v>9190.44</v>
      </c>
      <c r="BC19" s="105">
        <f t="shared" si="30"/>
        <v>21580.641971280002</v>
      </c>
      <c r="BD19" s="94">
        <f t="shared" si="15"/>
        <v>36435</v>
      </c>
      <c r="BE19" s="94">
        <f t="shared" si="31"/>
        <v>18454.10889</v>
      </c>
      <c r="BF19" s="94">
        <f t="shared" si="16"/>
        <v>2121</v>
      </c>
      <c r="BG19" s="94">
        <f t="shared" si="32"/>
        <v>1074.273774</v>
      </c>
      <c r="BH19" s="94">
        <f t="shared" si="17"/>
        <v>47746.44</v>
      </c>
      <c r="BI19" s="94">
        <f t="shared" si="18"/>
        <v>41109.024635280002</v>
      </c>
      <c r="BJ19" s="186">
        <f t="shared" si="19"/>
        <v>22279.55</v>
      </c>
      <c r="BK19" s="182">
        <f t="shared" si="20"/>
        <v>11284.4583977</v>
      </c>
      <c r="BL19" s="98">
        <f t="shared" si="21"/>
        <v>22279.55</v>
      </c>
      <c r="BM19" s="99">
        <f t="shared" si="22"/>
        <v>0</v>
      </c>
      <c r="BN19" s="99">
        <f t="shared" si="23"/>
        <v>5512.5</v>
      </c>
      <c r="BO19" s="182"/>
      <c r="BP19" s="182"/>
      <c r="BQ19" s="182">
        <v>0</v>
      </c>
      <c r="BR19" s="182"/>
      <c r="BS19" s="95">
        <v>0</v>
      </c>
      <c r="BT19" s="182"/>
      <c r="BU19" s="182">
        <v>0</v>
      </c>
      <c r="BV19" s="95">
        <v>0</v>
      </c>
      <c r="BW19" s="182"/>
      <c r="BX19" s="182">
        <v>0</v>
      </c>
      <c r="BY19" s="95"/>
      <c r="BZ19" s="182"/>
      <c r="CA19" s="95"/>
      <c r="CB19" s="95"/>
      <c r="CC19" s="182"/>
      <c r="CD19" s="95"/>
      <c r="CE19" s="95"/>
      <c r="CF19" s="182"/>
      <c r="CG19" s="95"/>
      <c r="CH19" s="95"/>
      <c r="CI19" s="182"/>
      <c r="CJ19" s="95"/>
      <c r="CK19" s="95"/>
      <c r="CL19" s="182"/>
      <c r="CM19" s="95"/>
      <c r="CN19" s="182">
        <f t="shared" si="24"/>
        <v>11284.4583977</v>
      </c>
      <c r="CO19" s="110">
        <f t="shared" si="33"/>
        <v>0</v>
      </c>
      <c r="CP19" s="182">
        <f t="shared" si="25"/>
        <v>0</v>
      </c>
      <c r="CQ19" s="95">
        <f t="shared" si="26"/>
        <v>75538.490000000005</v>
      </c>
      <c r="CR19" s="110"/>
      <c r="CS19" s="113"/>
      <c r="CT19" s="113"/>
      <c r="CU19" s="187"/>
      <c r="CV19" s="187"/>
      <c r="CW19" s="240"/>
    </row>
    <row r="20" spans="1:101" s="51" customFormat="1" ht="19.899999999999999" customHeight="1" x14ac:dyDescent="0.3">
      <c r="A20" s="148"/>
      <c r="B20" s="50">
        <v>10032831143</v>
      </c>
      <c r="C20" s="148" t="s">
        <v>158</v>
      </c>
      <c r="D20" s="104" t="s">
        <v>128</v>
      </c>
      <c r="E20" s="104"/>
      <c r="F20" s="105">
        <v>34560</v>
      </c>
      <c r="G20" s="188"/>
      <c r="H20" s="118">
        <f t="shared" si="0"/>
        <v>0</v>
      </c>
      <c r="I20" s="93" t="s">
        <v>159</v>
      </c>
      <c r="J20" s="96" t="s">
        <v>160</v>
      </c>
      <c r="K20" s="49" t="s">
        <v>161</v>
      </c>
      <c r="L20" s="93">
        <v>45155</v>
      </c>
      <c r="M20" s="97" t="s">
        <v>139</v>
      </c>
      <c r="N20" s="97" t="s">
        <v>140</v>
      </c>
      <c r="O20" s="183">
        <v>35572.699999999997</v>
      </c>
      <c r="P20" s="183">
        <v>0</v>
      </c>
      <c r="Q20" s="183">
        <v>10278.219999999999</v>
      </c>
      <c r="R20" s="131"/>
      <c r="S20" s="183">
        <v>555.37</v>
      </c>
      <c r="T20" s="183">
        <v>0</v>
      </c>
      <c r="U20" s="183">
        <v>13.06</v>
      </c>
      <c r="V20" s="183">
        <v>0</v>
      </c>
      <c r="W20" s="183"/>
      <c r="X20" s="183"/>
      <c r="Y20" s="183"/>
      <c r="Z20" s="183">
        <v>-22043.72</v>
      </c>
      <c r="AA20" s="183"/>
      <c r="AB20" s="184">
        <v>2.3780990000000002</v>
      </c>
      <c r="AC20" s="184">
        <v>0.51295100000000005</v>
      </c>
      <c r="AD20" s="95">
        <v>0</v>
      </c>
      <c r="AE20" s="95">
        <v>22129.85</v>
      </c>
      <c r="AF20" s="95">
        <v>0</v>
      </c>
      <c r="AG20" s="95">
        <f t="shared" si="2"/>
        <v>22129.85</v>
      </c>
      <c r="AH20" s="95">
        <f t="shared" si="3"/>
        <v>11351.528687350001</v>
      </c>
      <c r="AI20" s="95">
        <f t="shared" si="4"/>
        <v>0</v>
      </c>
      <c r="AJ20" s="95">
        <f t="shared" si="5"/>
        <v>18045.349999999999</v>
      </c>
      <c r="AK20" s="95">
        <f t="shared" si="6"/>
        <v>0</v>
      </c>
      <c r="AL20" s="95">
        <f t="shared" si="7"/>
        <v>18045.349999999999</v>
      </c>
      <c r="AM20" s="185">
        <f t="shared" si="8"/>
        <v>9256.38032785</v>
      </c>
      <c r="AN20" s="95">
        <v>10156.86</v>
      </c>
      <c r="AO20" s="95">
        <v>45549</v>
      </c>
      <c r="AP20" s="95">
        <v>2625</v>
      </c>
      <c r="AQ20" s="95">
        <f t="shared" si="9"/>
        <v>58330.86</v>
      </c>
      <c r="AR20" s="183">
        <f t="shared" si="10"/>
        <v>48864.920083140009</v>
      </c>
      <c r="AS20" s="95">
        <v>0</v>
      </c>
      <c r="AT20" s="95">
        <v>4084.5</v>
      </c>
      <c r="AU20" s="95">
        <v>0</v>
      </c>
      <c r="AV20" s="135">
        <f t="shared" si="11"/>
        <v>4084.5</v>
      </c>
      <c r="AW20" s="95">
        <v>0</v>
      </c>
      <c r="AX20" s="95">
        <v>4084.5</v>
      </c>
      <c r="AY20" s="95">
        <v>0</v>
      </c>
      <c r="AZ20" s="95">
        <f t="shared" si="12"/>
        <v>4084.5</v>
      </c>
      <c r="BA20" s="185">
        <f t="shared" si="13"/>
        <v>2095.1483595</v>
      </c>
      <c r="BB20" s="94">
        <f t="shared" si="14"/>
        <v>10156.86</v>
      </c>
      <c r="BC20" s="94">
        <f t="shared" si="30"/>
        <v>24154.018609140003</v>
      </c>
      <c r="BD20" s="94">
        <f t="shared" si="15"/>
        <v>41464.5</v>
      </c>
      <c r="BE20" s="94">
        <f t="shared" si="31"/>
        <v>21269.256739500001</v>
      </c>
      <c r="BF20" s="94">
        <f t="shared" si="16"/>
        <v>2625</v>
      </c>
      <c r="BG20" s="94">
        <f t="shared" si="32"/>
        <v>1346.4963750000002</v>
      </c>
      <c r="BH20" s="94">
        <f t="shared" si="17"/>
        <v>54246.36</v>
      </c>
      <c r="BI20" s="94">
        <f t="shared" si="18"/>
        <v>46769.771723640006</v>
      </c>
      <c r="BJ20" s="186">
        <f t="shared" si="19"/>
        <v>22129.85</v>
      </c>
      <c r="BK20" s="182">
        <f t="shared" si="20"/>
        <v>11351.528687350001</v>
      </c>
      <c r="BL20" s="98">
        <f t="shared" si="21"/>
        <v>22129.85</v>
      </c>
      <c r="BM20" s="95">
        <f t="shared" si="22"/>
        <v>0</v>
      </c>
      <c r="BN20" s="95">
        <f t="shared" si="23"/>
        <v>4084.5</v>
      </c>
      <c r="BO20" s="182"/>
      <c r="BP20" s="182"/>
      <c r="BQ20" s="182">
        <v>0</v>
      </c>
      <c r="BR20" s="182"/>
      <c r="BS20" s="95">
        <v>0</v>
      </c>
      <c r="BT20" s="182"/>
      <c r="BU20" s="188">
        <v>0</v>
      </c>
      <c r="BV20" s="118">
        <v>0</v>
      </c>
      <c r="BW20" s="188"/>
      <c r="BX20" s="188">
        <v>0</v>
      </c>
      <c r="BY20" s="118"/>
      <c r="BZ20" s="188"/>
      <c r="CA20" s="118"/>
      <c r="CB20" s="118"/>
      <c r="CC20" s="188"/>
      <c r="CD20" s="95"/>
      <c r="CE20" s="95"/>
      <c r="CF20" s="182"/>
      <c r="CG20" s="95"/>
      <c r="CH20" s="95"/>
      <c r="CI20" s="182"/>
      <c r="CJ20" s="95"/>
      <c r="CK20" s="95"/>
      <c r="CL20" s="182"/>
      <c r="CM20" s="95"/>
      <c r="CN20" s="182">
        <f t="shared" si="24"/>
        <v>11351.528687350001</v>
      </c>
      <c r="CO20" s="110">
        <f t="shared" si="33"/>
        <v>0</v>
      </c>
      <c r="CP20" s="182">
        <f t="shared" si="25"/>
        <v>0</v>
      </c>
      <c r="CQ20" s="95">
        <f t="shared" si="26"/>
        <v>80460.709999999992</v>
      </c>
      <c r="CR20" s="110"/>
      <c r="CS20" s="113"/>
      <c r="CT20" s="113"/>
      <c r="CU20" s="187"/>
      <c r="CV20" s="187"/>
      <c r="CW20" s="240"/>
    </row>
    <row r="21" spans="1:101" s="51" customFormat="1" ht="19.899999999999999" customHeight="1" x14ac:dyDescent="0.3">
      <c r="A21" s="92"/>
      <c r="B21" s="49">
        <v>10032831143</v>
      </c>
      <c r="C21" s="92" t="s">
        <v>158</v>
      </c>
      <c r="D21" s="93" t="s">
        <v>128</v>
      </c>
      <c r="E21" s="93"/>
      <c r="F21" s="94">
        <v>34560</v>
      </c>
      <c r="G21" s="182"/>
      <c r="H21" s="95">
        <f t="shared" si="0"/>
        <v>0</v>
      </c>
      <c r="I21" s="104" t="s">
        <v>159</v>
      </c>
      <c r="J21" s="107" t="s">
        <v>160</v>
      </c>
      <c r="K21" s="50" t="s">
        <v>161</v>
      </c>
      <c r="L21" s="104">
        <v>45155</v>
      </c>
      <c r="M21" s="108" t="s">
        <v>141</v>
      </c>
      <c r="N21" s="108" t="s">
        <v>142</v>
      </c>
      <c r="O21" s="193">
        <v>64637.15</v>
      </c>
      <c r="P21" s="193">
        <v>0</v>
      </c>
      <c r="Q21" s="193">
        <v>14439.68</v>
      </c>
      <c r="R21" s="109"/>
      <c r="S21" s="193">
        <v>469.62</v>
      </c>
      <c r="T21" s="193">
        <v>0</v>
      </c>
      <c r="U21" s="193">
        <v>13.06</v>
      </c>
      <c r="V21" s="193">
        <v>0</v>
      </c>
      <c r="W21" s="193"/>
      <c r="X21" s="193"/>
      <c r="Y21" s="193"/>
      <c r="Z21" s="193"/>
      <c r="AA21" s="193"/>
      <c r="AB21" s="194">
        <v>2.4054829999999998</v>
      </c>
      <c r="AC21" s="194">
        <v>0.51885800000000004</v>
      </c>
      <c r="AD21" s="106">
        <v>0</v>
      </c>
      <c r="AE21" s="118">
        <v>24443.33</v>
      </c>
      <c r="AF21" s="106">
        <v>0</v>
      </c>
      <c r="AG21" s="106">
        <f t="shared" si="2"/>
        <v>24443.33</v>
      </c>
      <c r="AH21" s="106">
        <f t="shared" si="3"/>
        <v>12682.617317140002</v>
      </c>
      <c r="AI21" s="106">
        <f t="shared" si="4"/>
        <v>0</v>
      </c>
      <c r="AJ21" s="106">
        <f t="shared" si="5"/>
        <v>19235.330000000002</v>
      </c>
      <c r="AK21" s="106">
        <f t="shared" si="6"/>
        <v>0</v>
      </c>
      <c r="AL21" s="132">
        <f t="shared" si="7"/>
        <v>19235.330000000002</v>
      </c>
      <c r="AM21" s="198">
        <f t="shared" si="8"/>
        <v>9980.4048531400022</v>
      </c>
      <c r="AN21" s="132">
        <v>10339.66</v>
      </c>
      <c r="AO21" s="132">
        <v>48541.5</v>
      </c>
      <c r="AP21" s="132">
        <v>4546.5</v>
      </c>
      <c r="AQ21" s="106">
        <f t="shared" si="9"/>
        <v>63427.66</v>
      </c>
      <c r="AR21" s="193">
        <f t="shared" si="10"/>
        <v>52417.009859779995</v>
      </c>
      <c r="AS21" s="132">
        <v>0</v>
      </c>
      <c r="AT21" s="132">
        <v>5208</v>
      </c>
      <c r="AU21" s="132">
        <v>0</v>
      </c>
      <c r="AV21" s="136">
        <f t="shared" si="11"/>
        <v>5208</v>
      </c>
      <c r="AW21" s="132">
        <v>0</v>
      </c>
      <c r="AX21" s="132">
        <v>5208</v>
      </c>
      <c r="AY21" s="132">
        <v>0</v>
      </c>
      <c r="AZ21" s="132">
        <f t="shared" si="12"/>
        <v>5208</v>
      </c>
      <c r="BA21" s="197">
        <f t="shared" si="13"/>
        <v>2702.2124640000002</v>
      </c>
      <c r="BB21" s="94">
        <f t="shared" si="14"/>
        <v>10339.66</v>
      </c>
      <c r="BC21" s="105">
        <f t="shared" si="30"/>
        <v>24871.876355779998</v>
      </c>
      <c r="BD21" s="94">
        <f t="shared" si="15"/>
        <v>43333.5</v>
      </c>
      <c r="BE21" s="94">
        <f t="shared" si="31"/>
        <v>22483.933143000002</v>
      </c>
      <c r="BF21" s="94">
        <f t="shared" si="16"/>
        <v>4546.5</v>
      </c>
      <c r="BG21" s="94">
        <f t="shared" si="32"/>
        <v>2358.987897</v>
      </c>
      <c r="BH21" s="94">
        <f t="shared" si="17"/>
        <v>58219.66</v>
      </c>
      <c r="BI21" s="94">
        <f t="shared" si="18"/>
        <v>49714.797395779999</v>
      </c>
      <c r="BJ21" s="186">
        <f t="shared" si="19"/>
        <v>24443.33</v>
      </c>
      <c r="BK21" s="182">
        <f t="shared" si="20"/>
        <v>12682.617317140002</v>
      </c>
      <c r="BL21" s="98">
        <f t="shared" si="21"/>
        <v>24443.33</v>
      </c>
      <c r="BM21" s="99">
        <f t="shared" si="22"/>
        <v>0</v>
      </c>
      <c r="BN21" s="99">
        <f t="shared" si="23"/>
        <v>5208</v>
      </c>
      <c r="BO21" s="182"/>
      <c r="BP21" s="182"/>
      <c r="BQ21" s="182">
        <v>0</v>
      </c>
      <c r="BR21" s="182"/>
      <c r="BS21" s="95">
        <v>0</v>
      </c>
      <c r="BT21" s="182"/>
      <c r="BU21" s="182">
        <v>0</v>
      </c>
      <c r="BV21" s="95">
        <v>0</v>
      </c>
      <c r="BW21" s="182"/>
      <c r="BX21" s="182">
        <v>0</v>
      </c>
      <c r="BY21" s="95"/>
      <c r="BZ21" s="182"/>
      <c r="CA21" s="95"/>
      <c r="CB21" s="95"/>
      <c r="CC21" s="182"/>
      <c r="CD21" s="95"/>
      <c r="CE21" s="95"/>
      <c r="CF21" s="182"/>
      <c r="CG21" s="95"/>
      <c r="CH21" s="95"/>
      <c r="CI21" s="182"/>
      <c r="CJ21" s="95"/>
      <c r="CK21" s="95"/>
      <c r="CL21" s="182"/>
      <c r="CM21" s="95"/>
      <c r="CN21" s="182">
        <f t="shared" si="24"/>
        <v>12682.617317140002</v>
      </c>
      <c r="CO21" s="110">
        <f t="shared" si="33"/>
        <v>0</v>
      </c>
      <c r="CP21" s="182">
        <f t="shared" si="25"/>
        <v>0</v>
      </c>
      <c r="CQ21" s="95">
        <f t="shared" si="26"/>
        <v>87870.99</v>
      </c>
      <c r="CR21" s="110"/>
      <c r="CS21" s="113"/>
      <c r="CT21" s="113"/>
      <c r="CU21" s="187"/>
      <c r="CV21" s="187"/>
      <c r="CW21" s="240"/>
    </row>
    <row r="22" spans="1:101" s="51" customFormat="1" ht="19.899999999999999" customHeight="1" x14ac:dyDescent="0.3">
      <c r="A22" s="148"/>
      <c r="B22" s="50">
        <v>10032831143</v>
      </c>
      <c r="C22" s="148" t="s">
        <v>158</v>
      </c>
      <c r="D22" s="104" t="s">
        <v>128</v>
      </c>
      <c r="E22" s="104"/>
      <c r="F22" s="105">
        <v>34560</v>
      </c>
      <c r="G22" s="188"/>
      <c r="H22" s="118">
        <f t="shared" si="0"/>
        <v>0</v>
      </c>
      <c r="I22" s="93" t="s">
        <v>159</v>
      </c>
      <c r="J22" s="96" t="s">
        <v>160</v>
      </c>
      <c r="K22" s="49" t="s">
        <v>161</v>
      </c>
      <c r="L22" s="93">
        <v>45155</v>
      </c>
      <c r="M22" s="97" t="s">
        <v>130</v>
      </c>
      <c r="N22" s="97" t="s">
        <v>143</v>
      </c>
      <c r="O22" s="183">
        <v>69555.850000000006</v>
      </c>
      <c r="P22" s="183">
        <v>0</v>
      </c>
      <c r="Q22" s="183">
        <v>14053.74</v>
      </c>
      <c r="R22" s="131"/>
      <c r="S22" s="183">
        <v>450.5</v>
      </c>
      <c r="T22" s="183">
        <v>0</v>
      </c>
      <c r="U22" s="183">
        <v>13.06</v>
      </c>
      <c r="V22" s="183">
        <v>0</v>
      </c>
      <c r="W22" s="183"/>
      <c r="X22" s="183"/>
      <c r="Y22" s="183"/>
      <c r="Z22" s="183"/>
      <c r="AA22" s="183"/>
      <c r="AB22" s="184">
        <v>2.3411900000000001</v>
      </c>
      <c r="AC22" s="184">
        <v>0.50498900000000002</v>
      </c>
      <c r="AD22" s="95">
        <v>0</v>
      </c>
      <c r="AE22" s="95">
        <v>19983.78</v>
      </c>
      <c r="AF22" s="95">
        <v>0</v>
      </c>
      <c r="AG22" s="95">
        <f t="shared" si="2"/>
        <v>19983.78</v>
      </c>
      <c r="AH22" s="95">
        <f t="shared" si="3"/>
        <v>10091.58907842</v>
      </c>
      <c r="AI22" s="95">
        <f t="shared" si="4"/>
        <v>0</v>
      </c>
      <c r="AJ22" s="95">
        <f t="shared" si="5"/>
        <v>17484.78</v>
      </c>
      <c r="AK22" s="95">
        <f t="shared" si="6"/>
        <v>0</v>
      </c>
      <c r="AL22" s="95">
        <f t="shared" si="7"/>
        <v>17484.78</v>
      </c>
      <c r="AM22" s="185">
        <f t="shared" si="8"/>
        <v>8829.6215674199993</v>
      </c>
      <c r="AN22" s="95">
        <v>11681.88</v>
      </c>
      <c r="AO22" s="95">
        <v>53917.5</v>
      </c>
      <c r="AP22" s="95">
        <v>3412.5</v>
      </c>
      <c r="AQ22" s="95">
        <f t="shared" si="9"/>
        <v>69011.88</v>
      </c>
      <c r="AR22" s="183">
        <f t="shared" si="10"/>
        <v>56300.520007200001</v>
      </c>
      <c r="AS22" s="95">
        <v>0</v>
      </c>
      <c r="AT22" s="95">
        <v>2499</v>
      </c>
      <c r="AU22" s="95">
        <v>0</v>
      </c>
      <c r="AV22" s="135">
        <f t="shared" si="11"/>
        <v>2499</v>
      </c>
      <c r="AW22" s="95">
        <v>0</v>
      </c>
      <c r="AX22" s="95">
        <v>2499</v>
      </c>
      <c r="AY22" s="95">
        <v>0</v>
      </c>
      <c r="AZ22" s="95">
        <f t="shared" si="12"/>
        <v>2499</v>
      </c>
      <c r="BA22" s="185">
        <f t="shared" si="13"/>
        <v>1261.9675110000001</v>
      </c>
      <c r="BB22" s="94">
        <f t="shared" si="14"/>
        <v>11681.88</v>
      </c>
      <c r="BC22" s="94">
        <f t="shared" si="30"/>
        <v>27349.500637199999</v>
      </c>
      <c r="BD22" s="94">
        <f t="shared" si="15"/>
        <v>51418.5</v>
      </c>
      <c r="BE22" s="94">
        <f t="shared" si="31"/>
        <v>25965.7768965</v>
      </c>
      <c r="BF22" s="94">
        <f t="shared" si="16"/>
        <v>3412.5</v>
      </c>
      <c r="BG22" s="94">
        <f t="shared" si="32"/>
        <v>1723.2749625000001</v>
      </c>
      <c r="BH22" s="94">
        <f t="shared" si="17"/>
        <v>66512.88</v>
      </c>
      <c r="BI22" s="94">
        <f t="shared" si="18"/>
        <v>55038.552496199998</v>
      </c>
      <c r="BJ22" s="186">
        <f t="shared" si="19"/>
        <v>19983.78</v>
      </c>
      <c r="BK22" s="182">
        <f t="shared" si="20"/>
        <v>10091.58907842</v>
      </c>
      <c r="BL22" s="98">
        <f t="shared" si="21"/>
        <v>19983.78</v>
      </c>
      <c r="BM22" s="95">
        <f t="shared" si="22"/>
        <v>0</v>
      </c>
      <c r="BN22" s="95">
        <f t="shared" si="23"/>
        <v>2499</v>
      </c>
      <c r="BO22" s="182"/>
      <c r="BP22" s="182"/>
      <c r="BQ22" s="182">
        <v>0</v>
      </c>
      <c r="BR22" s="182"/>
      <c r="BS22" s="95">
        <v>0</v>
      </c>
      <c r="BT22" s="182"/>
      <c r="BU22" s="188">
        <v>0</v>
      </c>
      <c r="BV22" s="118">
        <v>0</v>
      </c>
      <c r="BW22" s="188"/>
      <c r="BX22" s="188">
        <v>0</v>
      </c>
      <c r="BY22" s="118"/>
      <c r="BZ22" s="188"/>
      <c r="CA22" s="118"/>
      <c r="CB22" s="118"/>
      <c r="CC22" s="188"/>
      <c r="CD22" s="95"/>
      <c r="CE22" s="95"/>
      <c r="CF22" s="182"/>
      <c r="CG22" s="95"/>
      <c r="CH22" s="95"/>
      <c r="CI22" s="182"/>
      <c r="CJ22" s="95"/>
      <c r="CK22" s="95"/>
      <c r="CL22" s="182"/>
      <c r="CM22" s="95"/>
      <c r="CN22" s="182">
        <f t="shared" si="24"/>
        <v>10091.58907842</v>
      </c>
      <c r="CO22" s="110">
        <f t="shared" si="33"/>
        <v>0</v>
      </c>
      <c r="CP22" s="182">
        <f t="shared" si="25"/>
        <v>0</v>
      </c>
      <c r="CQ22" s="95">
        <f t="shared" si="26"/>
        <v>88995.66</v>
      </c>
      <c r="CR22" s="110"/>
      <c r="CS22" s="113"/>
      <c r="CT22" s="113"/>
      <c r="CU22" s="187"/>
      <c r="CV22" s="187"/>
      <c r="CW22" s="240"/>
    </row>
    <row r="23" spans="1:101" s="51" customFormat="1" ht="19.899999999999999" customHeight="1" x14ac:dyDescent="0.3">
      <c r="A23" s="92"/>
      <c r="B23" s="49">
        <v>10032831143</v>
      </c>
      <c r="C23" s="92" t="s">
        <v>158</v>
      </c>
      <c r="D23" s="93" t="s">
        <v>128</v>
      </c>
      <c r="E23" s="93"/>
      <c r="F23" s="94">
        <v>34560</v>
      </c>
      <c r="G23" s="182"/>
      <c r="H23" s="95">
        <f t="shared" si="0"/>
        <v>0</v>
      </c>
      <c r="I23" s="104" t="s">
        <v>159</v>
      </c>
      <c r="J23" s="107" t="s">
        <v>160</v>
      </c>
      <c r="K23" s="50" t="s">
        <v>161</v>
      </c>
      <c r="L23" s="104">
        <v>45155</v>
      </c>
      <c r="M23" s="108" t="s">
        <v>144</v>
      </c>
      <c r="N23" s="108" t="s">
        <v>145</v>
      </c>
      <c r="O23" s="193">
        <v>66393.42</v>
      </c>
      <c r="P23" s="193">
        <v>0</v>
      </c>
      <c r="Q23" s="193">
        <v>14348.84</v>
      </c>
      <c r="R23" s="109"/>
      <c r="S23" s="193">
        <v>485.89</v>
      </c>
      <c r="T23" s="193">
        <v>0</v>
      </c>
      <c r="U23" s="193">
        <v>13.06</v>
      </c>
      <c r="V23" s="193">
        <v>0</v>
      </c>
      <c r="W23" s="193"/>
      <c r="X23" s="193"/>
      <c r="Y23" s="193"/>
      <c r="Z23" s="193"/>
      <c r="AA23" s="193"/>
      <c r="AB23" s="194">
        <v>2.3903490000000001</v>
      </c>
      <c r="AC23" s="194">
        <v>0.515594</v>
      </c>
      <c r="AD23" s="106">
        <v>0</v>
      </c>
      <c r="AE23" s="118">
        <v>26770.94</v>
      </c>
      <c r="AF23" s="106">
        <v>1.0900000000000001</v>
      </c>
      <c r="AG23" s="106">
        <f t="shared" si="2"/>
        <v>26772.03</v>
      </c>
      <c r="AH23" s="106">
        <f t="shared" si="3"/>
        <v>13803.498035819999</v>
      </c>
      <c r="AI23" s="106">
        <f t="shared" si="4"/>
        <v>0</v>
      </c>
      <c r="AJ23" s="106">
        <f t="shared" si="5"/>
        <v>22864.94</v>
      </c>
      <c r="AK23" s="106">
        <f t="shared" si="6"/>
        <v>1.0900000000000001</v>
      </c>
      <c r="AL23" s="132">
        <f t="shared" si="7"/>
        <v>22866.03</v>
      </c>
      <c r="AM23" s="198">
        <f t="shared" si="8"/>
        <v>11789.58787182</v>
      </c>
      <c r="AN23" s="132">
        <v>11766.4</v>
      </c>
      <c r="AO23" s="132">
        <v>46861.5</v>
      </c>
      <c r="AP23" s="132">
        <v>2467.5</v>
      </c>
      <c r="AQ23" s="106">
        <f t="shared" si="9"/>
        <v>61095.4</v>
      </c>
      <c r="AR23" s="193">
        <f t="shared" si="10"/>
        <v>53559.538899599997</v>
      </c>
      <c r="AS23" s="132">
        <v>0</v>
      </c>
      <c r="AT23" s="132">
        <v>3906</v>
      </c>
      <c r="AU23" s="132">
        <v>0</v>
      </c>
      <c r="AV23" s="136">
        <f t="shared" si="11"/>
        <v>3906</v>
      </c>
      <c r="AW23" s="132">
        <v>0</v>
      </c>
      <c r="AX23" s="132">
        <v>3906</v>
      </c>
      <c r="AY23" s="132">
        <v>0</v>
      </c>
      <c r="AZ23" s="132">
        <f t="shared" si="12"/>
        <v>3906</v>
      </c>
      <c r="BA23" s="197">
        <f t="shared" si="13"/>
        <v>2013.9101639999999</v>
      </c>
      <c r="BB23" s="94">
        <f t="shared" si="14"/>
        <v>11766.4</v>
      </c>
      <c r="BC23" s="105">
        <f t="shared" si="30"/>
        <v>28125.802473600001</v>
      </c>
      <c r="BD23" s="94">
        <f t="shared" si="15"/>
        <v>42955.5</v>
      </c>
      <c r="BE23" s="94">
        <f t="shared" si="31"/>
        <v>22147.598066999999</v>
      </c>
      <c r="BF23" s="94">
        <f t="shared" si="16"/>
        <v>2467.5</v>
      </c>
      <c r="BG23" s="94">
        <f t="shared" si="32"/>
        <v>1272.2281949999999</v>
      </c>
      <c r="BH23" s="94">
        <f t="shared" si="17"/>
        <v>57189.4</v>
      </c>
      <c r="BI23" s="94">
        <f t="shared" si="18"/>
        <v>51545.628735600003</v>
      </c>
      <c r="BJ23" s="186">
        <f t="shared" si="19"/>
        <v>26772.03</v>
      </c>
      <c r="BK23" s="182">
        <f t="shared" si="20"/>
        <v>13803.498035819999</v>
      </c>
      <c r="BL23" s="98">
        <f t="shared" si="21"/>
        <v>26772.03</v>
      </c>
      <c r="BM23" s="99">
        <f t="shared" si="22"/>
        <v>0</v>
      </c>
      <c r="BN23" s="99">
        <f t="shared" si="23"/>
        <v>3906</v>
      </c>
      <c r="BO23" s="182"/>
      <c r="BP23" s="182"/>
      <c r="BQ23" s="182">
        <v>0</v>
      </c>
      <c r="BR23" s="182"/>
      <c r="BS23" s="95">
        <v>0</v>
      </c>
      <c r="BT23" s="182"/>
      <c r="BU23" s="182">
        <v>0</v>
      </c>
      <c r="BV23" s="95">
        <v>0</v>
      </c>
      <c r="BW23" s="182"/>
      <c r="BX23" s="182">
        <v>0</v>
      </c>
      <c r="BY23" s="95"/>
      <c r="BZ23" s="182"/>
      <c r="CA23" s="95"/>
      <c r="CB23" s="95"/>
      <c r="CC23" s="182"/>
      <c r="CD23" s="95"/>
      <c r="CE23" s="95"/>
      <c r="CF23" s="182"/>
      <c r="CG23" s="95"/>
      <c r="CH23" s="95"/>
      <c r="CI23" s="182"/>
      <c r="CJ23" s="95"/>
      <c r="CK23" s="95"/>
      <c r="CL23" s="182"/>
      <c r="CM23" s="95"/>
      <c r="CN23" s="182">
        <f t="shared" si="24"/>
        <v>13803.498035819999</v>
      </c>
      <c r="CO23" s="110">
        <f t="shared" si="33"/>
        <v>0</v>
      </c>
      <c r="CP23" s="182">
        <f t="shared" si="25"/>
        <v>0</v>
      </c>
      <c r="CQ23" s="95">
        <f t="shared" si="26"/>
        <v>87867.43</v>
      </c>
      <c r="CR23" s="110"/>
      <c r="CS23" s="113"/>
      <c r="CT23" s="113"/>
      <c r="CU23" s="187"/>
      <c r="CV23" s="187"/>
      <c r="CW23" s="240"/>
    </row>
    <row r="24" spans="1:101" s="51" customFormat="1" ht="19.899999999999999" customHeight="1" x14ac:dyDescent="0.3">
      <c r="A24" s="148"/>
      <c r="B24" s="50">
        <v>10032831143</v>
      </c>
      <c r="C24" s="148" t="s">
        <v>158</v>
      </c>
      <c r="D24" s="104" t="s">
        <v>128</v>
      </c>
      <c r="E24" s="104"/>
      <c r="F24" s="105">
        <v>34560</v>
      </c>
      <c r="G24" s="188"/>
      <c r="H24" s="118">
        <f t="shared" si="0"/>
        <v>0</v>
      </c>
      <c r="I24" s="93" t="s">
        <v>159</v>
      </c>
      <c r="J24" s="96" t="s">
        <v>160</v>
      </c>
      <c r="K24" s="49" t="s">
        <v>161</v>
      </c>
      <c r="L24" s="93">
        <v>45155</v>
      </c>
      <c r="M24" s="97" t="s">
        <v>146</v>
      </c>
      <c r="N24" s="97" t="s">
        <v>147</v>
      </c>
      <c r="O24" s="183">
        <v>75000.67</v>
      </c>
      <c r="P24" s="183">
        <v>0</v>
      </c>
      <c r="Q24" s="183">
        <v>15032.11</v>
      </c>
      <c r="R24" s="131"/>
      <c r="S24" s="183">
        <v>1066.3900000000001</v>
      </c>
      <c r="T24" s="183">
        <v>0</v>
      </c>
      <c r="U24" s="183">
        <v>13.06</v>
      </c>
      <c r="V24" s="183">
        <v>0</v>
      </c>
      <c r="W24" s="183"/>
      <c r="X24" s="183"/>
      <c r="Y24" s="183"/>
      <c r="Z24" s="183"/>
      <c r="AA24" s="183"/>
      <c r="AB24" s="184">
        <v>2.4557060000000002</v>
      </c>
      <c r="AC24" s="184">
        <v>0.501162</v>
      </c>
      <c r="AD24" s="95">
        <v>2.29</v>
      </c>
      <c r="AE24" s="95">
        <v>18558.330000000002</v>
      </c>
      <c r="AF24" s="95">
        <v>0</v>
      </c>
      <c r="AG24" s="95">
        <f t="shared" si="2"/>
        <v>18560.620000000003</v>
      </c>
      <c r="AH24" s="95">
        <f t="shared" si="3"/>
        <v>9306.3533461999996</v>
      </c>
      <c r="AI24" s="95">
        <f t="shared" si="4"/>
        <v>2.29</v>
      </c>
      <c r="AJ24" s="95">
        <f t="shared" si="5"/>
        <v>14904.330000000002</v>
      </c>
      <c r="AK24" s="95">
        <f t="shared" si="6"/>
        <v>0</v>
      </c>
      <c r="AL24" s="133">
        <f t="shared" si="7"/>
        <v>14906.620000000003</v>
      </c>
      <c r="AM24" s="199">
        <f t="shared" si="8"/>
        <v>7475.1073982000007</v>
      </c>
      <c r="AN24" s="133">
        <v>11567.01</v>
      </c>
      <c r="AO24" s="133">
        <v>62548.5</v>
      </c>
      <c r="AP24" s="133">
        <v>1932</v>
      </c>
      <c r="AQ24" s="133">
        <f t="shared" si="9"/>
        <v>76047.509999999995</v>
      </c>
      <c r="AR24" s="200">
        <f t="shared" si="10"/>
        <v>60720.352200060006</v>
      </c>
      <c r="AS24" s="133">
        <v>0</v>
      </c>
      <c r="AT24" s="133">
        <v>3654</v>
      </c>
      <c r="AU24" s="133">
        <v>0</v>
      </c>
      <c r="AV24" s="135">
        <f t="shared" si="11"/>
        <v>3654</v>
      </c>
      <c r="AW24" s="133">
        <v>0</v>
      </c>
      <c r="AX24" s="133">
        <v>3654</v>
      </c>
      <c r="AY24" s="133">
        <v>0</v>
      </c>
      <c r="AZ24" s="133">
        <f t="shared" si="12"/>
        <v>3654</v>
      </c>
      <c r="BA24" s="197">
        <f t="shared" si="13"/>
        <v>1831.245948</v>
      </c>
      <c r="BB24" s="105">
        <f t="shared" si="14"/>
        <v>11567.01</v>
      </c>
      <c r="BC24" s="105">
        <f t="shared" si="30"/>
        <v>28405.175859060004</v>
      </c>
      <c r="BD24" s="105">
        <f t="shared" si="15"/>
        <v>58894.5</v>
      </c>
      <c r="BE24" s="105">
        <f t="shared" si="31"/>
        <v>29515.685409000002</v>
      </c>
      <c r="BF24" s="105">
        <f t="shared" si="16"/>
        <v>1932</v>
      </c>
      <c r="BG24" s="105">
        <f t="shared" si="32"/>
        <v>968.24498400000004</v>
      </c>
      <c r="BH24" s="105">
        <f t="shared" si="17"/>
        <v>72393.509999999995</v>
      </c>
      <c r="BI24" s="105">
        <f t="shared" si="18"/>
        <v>58889.106252060003</v>
      </c>
      <c r="BJ24" s="186">
        <f t="shared" si="19"/>
        <v>18560.620000000003</v>
      </c>
      <c r="BK24" s="182">
        <f t="shared" si="20"/>
        <v>9306.3533461999996</v>
      </c>
      <c r="BL24" s="98">
        <f t="shared" si="21"/>
        <v>18560.620000000003</v>
      </c>
      <c r="BM24" s="99">
        <f t="shared" si="22"/>
        <v>0</v>
      </c>
      <c r="BN24" s="99">
        <f t="shared" si="23"/>
        <v>3654</v>
      </c>
      <c r="BO24" s="196"/>
      <c r="BP24" s="196"/>
      <c r="BQ24" s="196">
        <v>0</v>
      </c>
      <c r="BR24" s="196"/>
      <c r="BS24" s="106">
        <v>0</v>
      </c>
      <c r="BT24" s="196"/>
      <c r="BU24" s="188">
        <v>0</v>
      </c>
      <c r="BV24" s="118">
        <v>0</v>
      </c>
      <c r="BW24" s="188"/>
      <c r="BX24" s="188">
        <v>0</v>
      </c>
      <c r="BY24" s="118"/>
      <c r="BZ24" s="188"/>
      <c r="CA24" s="118"/>
      <c r="CB24" s="118"/>
      <c r="CC24" s="188"/>
      <c r="CD24" s="106"/>
      <c r="CE24" s="106"/>
      <c r="CF24" s="196"/>
      <c r="CG24" s="106"/>
      <c r="CH24" s="106"/>
      <c r="CI24" s="196"/>
      <c r="CJ24" s="106"/>
      <c r="CK24" s="106"/>
      <c r="CL24" s="196"/>
      <c r="CM24" s="106"/>
      <c r="CN24" s="182">
        <f t="shared" si="24"/>
        <v>9306.3533461999996</v>
      </c>
      <c r="CO24" s="110">
        <f t="shared" si="33"/>
        <v>0</v>
      </c>
      <c r="CP24" s="182">
        <f t="shared" si="25"/>
        <v>0</v>
      </c>
      <c r="CQ24" s="95">
        <f t="shared" si="26"/>
        <v>94608.13</v>
      </c>
      <c r="CR24" s="112"/>
      <c r="CS24" s="113"/>
      <c r="CT24" s="113"/>
      <c r="CU24" s="187"/>
      <c r="CV24" s="187"/>
      <c r="CW24" s="240"/>
    </row>
    <row r="25" spans="1:101" s="51" customFormat="1" ht="19.899999999999999" customHeight="1" x14ac:dyDescent="0.3">
      <c r="A25" s="92"/>
      <c r="B25" s="49">
        <v>10032831143</v>
      </c>
      <c r="C25" s="92" t="s">
        <v>158</v>
      </c>
      <c r="D25" s="93" t="s">
        <v>128</v>
      </c>
      <c r="E25" s="93"/>
      <c r="F25" s="94">
        <v>34560</v>
      </c>
      <c r="G25" s="182"/>
      <c r="H25" s="95">
        <f t="shared" si="0"/>
        <v>0</v>
      </c>
      <c r="I25" s="104" t="s">
        <v>159</v>
      </c>
      <c r="J25" s="107" t="s">
        <v>160</v>
      </c>
      <c r="K25" s="50" t="s">
        <v>161</v>
      </c>
      <c r="L25" s="104">
        <v>45155</v>
      </c>
      <c r="M25" s="108" t="s">
        <v>148</v>
      </c>
      <c r="N25" s="108" t="s">
        <v>149</v>
      </c>
      <c r="O25" s="193">
        <v>58206.9</v>
      </c>
      <c r="P25" s="193">
        <v>0</v>
      </c>
      <c r="Q25" s="193">
        <v>16063.76</v>
      </c>
      <c r="R25" s="109"/>
      <c r="S25" s="193">
        <v>509.83</v>
      </c>
      <c r="T25" s="193">
        <v>0</v>
      </c>
      <c r="U25" s="193">
        <v>13.06</v>
      </c>
      <c r="V25" s="193">
        <v>0</v>
      </c>
      <c r="W25" s="193"/>
      <c r="X25" s="193"/>
      <c r="Y25" s="193"/>
      <c r="Z25" s="193"/>
      <c r="AA25" s="193"/>
      <c r="AB25" s="194">
        <f>2.002225+0.536358</f>
        <v>2.538583</v>
      </c>
      <c r="AC25" s="194">
        <f>0.124624+0.342039</f>
        <v>0.46666299999999999</v>
      </c>
      <c r="AD25" s="106">
        <v>3.55</v>
      </c>
      <c r="AE25" s="118">
        <v>33936.54</v>
      </c>
      <c r="AF25" s="106">
        <v>14.36</v>
      </c>
      <c r="AG25" s="106">
        <f t="shared" si="2"/>
        <v>33954.450000000004</v>
      </c>
      <c r="AH25" s="106">
        <f t="shared" si="3"/>
        <v>15852.640816350002</v>
      </c>
      <c r="AI25" s="106">
        <f t="shared" si="4"/>
        <v>3.55</v>
      </c>
      <c r="AJ25" s="106">
        <f t="shared" si="5"/>
        <v>27615.54</v>
      </c>
      <c r="AK25" s="106">
        <f t="shared" si="6"/>
        <v>14.36</v>
      </c>
      <c r="AL25" s="132">
        <f t="shared" si="7"/>
        <v>27633.45</v>
      </c>
      <c r="AM25" s="198">
        <f t="shared" si="8"/>
        <v>12902.863993350002</v>
      </c>
      <c r="AN25" s="132">
        <v>8828.7099999999991</v>
      </c>
      <c r="AO25" s="132">
        <v>43743</v>
      </c>
      <c r="AP25" s="132">
        <v>3738</v>
      </c>
      <c r="AQ25" s="106">
        <f t="shared" si="9"/>
        <v>56309.71</v>
      </c>
      <c r="AR25" s="193">
        <f t="shared" si="10"/>
        <v>44570.039020929995</v>
      </c>
      <c r="AS25" s="132">
        <v>0</v>
      </c>
      <c r="AT25" s="132">
        <v>6321</v>
      </c>
      <c r="AU25" s="132">
        <v>0</v>
      </c>
      <c r="AV25" s="136">
        <f t="shared" si="11"/>
        <v>6321</v>
      </c>
      <c r="AW25" s="132">
        <v>0</v>
      </c>
      <c r="AX25" s="132">
        <v>6321</v>
      </c>
      <c r="AY25" s="132">
        <v>0</v>
      </c>
      <c r="AZ25" s="132">
        <f t="shared" si="12"/>
        <v>6321</v>
      </c>
      <c r="BA25" s="197">
        <f t="shared" si="13"/>
        <v>2949.7768230000001</v>
      </c>
      <c r="BB25" s="105">
        <f t="shared" si="14"/>
        <v>8828.7099999999991</v>
      </c>
      <c r="BC25" s="105">
        <f t="shared" si="30"/>
        <v>22412.413117929998</v>
      </c>
      <c r="BD25" s="105">
        <f t="shared" si="15"/>
        <v>37422</v>
      </c>
      <c r="BE25" s="105">
        <f t="shared" si="31"/>
        <v>17463.462786</v>
      </c>
      <c r="BF25" s="105">
        <f t="shared" si="16"/>
        <v>3738</v>
      </c>
      <c r="BG25" s="105">
        <f t="shared" si="32"/>
        <v>1744.3862939999999</v>
      </c>
      <c r="BH25" s="105">
        <f t="shared" si="17"/>
        <v>49988.71</v>
      </c>
      <c r="BI25" s="105">
        <f t="shared" si="18"/>
        <v>41620.262197930002</v>
      </c>
      <c r="BJ25" s="186">
        <f t="shared" si="19"/>
        <v>33954.449999999997</v>
      </c>
      <c r="BK25" s="182">
        <f t="shared" si="20"/>
        <v>15852.640816350002</v>
      </c>
      <c r="BL25" s="98">
        <f t="shared" si="21"/>
        <v>33954.449999999997</v>
      </c>
      <c r="BM25" s="99">
        <f t="shared" si="22"/>
        <v>0</v>
      </c>
      <c r="BN25" s="99">
        <f t="shared" si="23"/>
        <v>6321</v>
      </c>
      <c r="BO25" s="182"/>
      <c r="BP25" s="182"/>
      <c r="BQ25" s="182">
        <v>0</v>
      </c>
      <c r="BR25" s="182"/>
      <c r="BS25" s="95">
        <v>0</v>
      </c>
      <c r="BT25" s="182"/>
      <c r="BU25" s="182">
        <v>0</v>
      </c>
      <c r="BV25" s="95">
        <v>0</v>
      </c>
      <c r="BW25" s="182"/>
      <c r="BX25" s="182">
        <v>0</v>
      </c>
      <c r="BY25" s="95"/>
      <c r="BZ25" s="182"/>
      <c r="CA25" s="95"/>
      <c r="CB25" s="95"/>
      <c r="CC25" s="182"/>
      <c r="CD25" s="95"/>
      <c r="CE25" s="95"/>
      <c r="CF25" s="182"/>
      <c r="CG25" s="95"/>
      <c r="CH25" s="95"/>
      <c r="CI25" s="182"/>
      <c r="CJ25" s="95"/>
      <c r="CK25" s="95"/>
      <c r="CL25" s="182"/>
      <c r="CM25" s="95"/>
      <c r="CN25" s="182">
        <f t="shared" si="24"/>
        <v>15852.640816350002</v>
      </c>
      <c r="CO25" s="110">
        <f t="shared" si="33"/>
        <v>0</v>
      </c>
      <c r="CP25" s="182">
        <f t="shared" si="25"/>
        <v>0</v>
      </c>
      <c r="CQ25" s="95">
        <f t="shared" si="26"/>
        <v>90264.16</v>
      </c>
      <c r="CR25" s="110"/>
      <c r="CS25" s="113"/>
      <c r="CT25" s="113"/>
      <c r="CU25" s="187"/>
      <c r="CV25" s="187"/>
      <c r="CW25" s="240"/>
    </row>
    <row r="26" spans="1:101" s="51" customFormat="1" ht="19.899999999999999" customHeight="1" x14ac:dyDescent="0.3">
      <c r="A26" s="148"/>
      <c r="B26" s="50">
        <v>10032831143</v>
      </c>
      <c r="C26" s="148" t="s">
        <v>158</v>
      </c>
      <c r="D26" s="104" t="s">
        <v>128</v>
      </c>
      <c r="E26" s="104"/>
      <c r="F26" s="105">
        <v>34560</v>
      </c>
      <c r="G26" s="188"/>
      <c r="H26" s="118">
        <f t="shared" si="0"/>
        <v>0</v>
      </c>
      <c r="I26" s="93" t="s">
        <v>159</v>
      </c>
      <c r="J26" s="96" t="s">
        <v>160</v>
      </c>
      <c r="K26" s="49" t="s">
        <v>161</v>
      </c>
      <c r="L26" s="93">
        <v>45155</v>
      </c>
      <c r="M26" s="97" t="s">
        <v>150</v>
      </c>
      <c r="N26" s="97" t="s">
        <v>151</v>
      </c>
      <c r="O26" s="183">
        <v>56439.77</v>
      </c>
      <c r="P26" s="183">
        <v>0</v>
      </c>
      <c r="Q26" s="183">
        <v>15839.04</v>
      </c>
      <c r="R26" s="131"/>
      <c r="S26" s="183">
        <v>589.64</v>
      </c>
      <c r="T26" s="183">
        <v>0</v>
      </c>
      <c r="U26" s="183">
        <v>13.06</v>
      </c>
      <c r="V26" s="183">
        <v>0</v>
      </c>
      <c r="W26" s="183"/>
      <c r="X26" s="183"/>
      <c r="Y26" s="183"/>
      <c r="Z26" s="183"/>
      <c r="AA26" s="183"/>
      <c r="AB26" s="184">
        <v>2.503069</v>
      </c>
      <c r="AC26" s="184">
        <v>0.46013500000000002</v>
      </c>
      <c r="AD26" s="95">
        <v>17.760000000000002</v>
      </c>
      <c r="AE26" s="95">
        <v>19661.16</v>
      </c>
      <c r="AF26" s="95">
        <v>1.39</v>
      </c>
      <c r="AG26" s="95">
        <f t="shared" si="2"/>
        <v>19680.309999999998</v>
      </c>
      <c r="AH26" s="95">
        <f t="shared" si="3"/>
        <v>9091.8819496899996</v>
      </c>
      <c r="AI26" s="95">
        <f t="shared" si="4"/>
        <v>17.760000000000002</v>
      </c>
      <c r="AJ26" s="95">
        <f t="shared" si="5"/>
        <v>15366.66</v>
      </c>
      <c r="AK26" s="95">
        <f t="shared" si="6"/>
        <v>1.39</v>
      </c>
      <c r="AL26" s="133">
        <f t="shared" si="7"/>
        <v>15385.81</v>
      </c>
      <c r="AM26" s="199">
        <f t="shared" si="8"/>
        <v>7115.8321921899997</v>
      </c>
      <c r="AN26" s="133">
        <v>7284.06</v>
      </c>
      <c r="AO26" s="133">
        <v>51597</v>
      </c>
      <c r="AP26" s="133">
        <v>0</v>
      </c>
      <c r="AQ26" s="133">
        <f t="shared" si="9"/>
        <v>58881.06</v>
      </c>
      <c r="AR26" s="200">
        <f t="shared" si="10"/>
        <v>41974.090375140004</v>
      </c>
      <c r="AS26" s="133">
        <v>0</v>
      </c>
      <c r="AT26" s="133">
        <v>4294.5</v>
      </c>
      <c r="AU26" s="133">
        <v>0</v>
      </c>
      <c r="AV26" s="135">
        <f t="shared" si="11"/>
        <v>4294.5</v>
      </c>
      <c r="AW26" s="133">
        <v>0</v>
      </c>
      <c r="AX26" s="133">
        <v>4294.5</v>
      </c>
      <c r="AY26" s="133">
        <v>0</v>
      </c>
      <c r="AZ26" s="133">
        <f t="shared" si="12"/>
        <v>4294.5</v>
      </c>
      <c r="BA26" s="197">
        <f t="shared" si="13"/>
        <v>1976.0497575000002</v>
      </c>
      <c r="BB26" s="105">
        <f t="shared" si="14"/>
        <v>7284.06</v>
      </c>
      <c r="BC26" s="105">
        <f t="shared" si="30"/>
        <v>18232.50478014</v>
      </c>
      <c r="BD26" s="105">
        <f t="shared" si="15"/>
        <v>47302.5</v>
      </c>
      <c r="BE26" s="105">
        <f t="shared" si="31"/>
        <v>21765.5358375</v>
      </c>
      <c r="BF26" s="105">
        <f t="shared" si="16"/>
        <v>0</v>
      </c>
      <c r="BG26" s="105">
        <f t="shared" si="32"/>
        <v>0</v>
      </c>
      <c r="BH26" s="105">
        <f t="shared" si="17"/>
        <v>54586.559999999998</v>
      </c>
      <c r="BI26" s="105">
        <f t="shared" si="18"/>
        <v>39998.040617639999</v>
      </c>
      <c r="BJ26" s="186">
        <f t="shared" si="19"/>
        <v>19680.309999999998</v>
      </c>
      <c r="BK26" s="182">
        <f t="shared" si="20"/>
        <v>9091.8819496899996</v>
      </c>
      <c r="BL26" s="98">
        <f t="shared" si="21"/>
        <v>19680.309999999998</v>
      </c>
      <c r="BM26" s="99">
        <f t="shared" si="22"/>
        <v>0</v>
      </c>
      <c r="BN26" s="99">
        <f t="shared" si="23"/>
        <v>4294.5</v>
      </c>
      <c r="BO26" s="182"/>
      <c r="BP26" s="182"/>
      <c r="BQ26" s="182"/>
      <c r="BR26" s="182"/>
      <c r="BS26" s="95"/>
      <c r="BT26" s="182"/>
      <c r="BU26" s="188"/>
      <c r="BV26" s="118"/>
      <c r="BW26" s="188"/>
      <c r="BX26" s="188"/>
      <c r="BY26" s="118"/>
      <c r="BZ26" s="188"/>
      <c r="CA26" s="118"/>
      <c r="CB26" s="118"/>
      <c r="CC26" s="188"/>
      <c r="CD26" s="95"/>
      <c r="CE26" s="95"/>
      <c r="CF26" s="182"/>
      <c r="CG26" s="95"/>
      <c r="CH26" s="95"/>
      <c r="CI26" s="182"/>
      <c r="CJ26" s="95"/>
      <c r="CK26" s="95"/>
      <c r="CL26" s="182"/>
      <c r="CM26" s="95"/>
      <c r="CN26" s="182">
        <f t="shared" si="24"/>
        <v>9091.8819496899996</v>
      </c>
      <c r="CO26" s="110">
        <f t="shared" si="33"/>
        <v>0</v>
      </c>
      <c r="CP26" s="182">
        <f t="shared" si="25"/>
        <v>0</v>
      </c>
      <c r="CQ26" s="95">
        <f t="shared" si="26"/>
        <v>78561.37</v>
      </c>
      <c r="CR26" s="110"/>
      <c r="CS26" s="114" t="s">
        <v>167</v>
      </c>
      <c r="CT26" s="113"/>
      <c r="CU26" s="187"/>
      <c r="CV26" s="187"/>
      <c r="CW26" s="240"/>
    </row>
    <row r="27" spans="1:101" s="51" customFormat="1" ht="19.899999999999999" customHeight="1" x14ac:dyDescent="0.3">
      <c r="A27" s="92"/>
      <c r="B27" s="49">
        <v>10032831143</v>
      </c>
      <c r="C27" s="92" t="s">
        <v>158</v>
      </c>
      <c r="D27" s="93" t="s">
        <v>128</v>
      </c>
      <c r="E27" s="93"/>
      <c r="F27" s="94">
        <v>34560</v>
      </c>
      <c r="G27" s="182"/>
      <c r="H27" s="95">
        <f t="shared" si="0"/>
        <v>0</v>
      </c>
      <c r="I27" s="104" t="s">
        <v>159</v>
      </c>
      <c r="J27" s="107" t="s">
        <v>160</v>
      </c>
      <c r="K27" s="50" t="s">
        <v>161</v>
      </c>
      <c r="L27" s="104">
        <v>45155</v>
      </c>
      <c r="M27" s="108" t="s">
        <v>152</v>
      </c>
      <c r="N27" s="108" t="s">
        <v>153</v>
      </c>
      <c r="O27" s="193">
        <v>33133.5</v>
      </c>
      <c r="P27" s="193">
        <v>0</v>
      </c>
      <c r="Q27" s="193">
        <v>7898.21</v>
      </c>
      <c r="R27" s="109"/>
      <c r="S27" s="193">
        <v>559.58000000000004</v>
      </c>
      <c r="T27" s="193">
        <f>1128.53+18.81</f>
        <v>1147.3399999999999</v>
      </c>
      <c r="U27" s="193">
        <v>13.06</v>
      </c>
      <c r="V27" s="193"/>
      <c r="W27" s="193"/>
      <c r="X27" s="193"/>
      <c r="Y27" s="193"/>
      <c r="Z27" s="193">
        <f>44.07+275.31+65.52+181.03+47.44+211.57-0.05</f>
        <v>824.88999999999987</v>
      </c>
      <c r="AA27" s="193"/>
      <c r="AB27" s="194">
        <f>1.045726 +0.117639</f>
        <v>1.163365</v>
      </c>
      <c r="AC27" s="194">
        <f>0.122551+0.117639</f>
        <v>0.24018999999999999</v>
      </c>
      <c r="AD27" s="106">
        <v>48.619199999999999</v>
      </c>
      <c r="AE27" s="118">
        <v>19427.228999999999</v>
      </c>
      <c r="AF27" s="106">
        <v>0</v>
      </c>
      <c r="AG27" s="106">
        <f t="shared" si="2"/>
        <v>19475.8482</v>
      </c>
      <c r="AH27" s="106">
        <f t="shared" si="3"/>
        <v>4722.7880091179995</v>
      </c>
      <c r="AI27" s="106">
        <f t="shared" si="4"/>
        <v>48.619199999999999</v>
      </c>
      <c r="AJ27" s="106">
        <f t="shared" si="5"/>
        <v>19427.228999999999</v>
      </c>
      <c r="AK27" s="106">
        <f t="shared" si="6"/>
        <v>0</v>
      </c>
      <c r="AL27" s="132">
        <f t="shared" si="7"/>
        <v>19475.8482</v>
      </c>
      <c r="AM27" s="198">
        <f t="shared" si="8"/>
        <v>4722.7880091179995</v>
      </c>
      <c r="AN27" s="132">
        <v>8517.49</v>
      </c>
      <c r="AO27" s="132">
        <v>53214</v>
      </c>
      <c r="AP27" s="132">
        <v>0</v>
      </c>
      <c r="AQ27" s="134">
        <f t="shared" si="9"/>
        <v>61731.49</v>
      </c>
      <c r="AR27" s="201">
        <f t="shared" si="10"/>
        <v>22690.420413849999</v>
      </c>
      <c r="AS27" s="132"/>
      <c r="AT27" s="132"/>
      <c r="AU27" s="132"/>
      <c r="AV27" s="132"/>
      <c r="AW27" s="132"/>
      <c r="AX27" s="132"/>
      <c r="AY27" s="132"/>
      <c r="AZ27" s="132">
        <f t="shared" si="12"/>
        <v>0</v>
      </c>
      <c r="BA27" s="197">
        <f t="shared" si="13"/>
        <v>0</v>
      </c>
      <c r="BB27" s="105">
        <f t="shared" si="14"/>
        <v>8517.49</v>
      </c>
      <c r="BC27" s="105">
        <f t="shared" si="30"/>
        <v>9908.94975385</v>
      </c>
      <c r="BD27" s="105">
        <f t="shared" si="15"/>
        <v>53214</v>
      </c>
      <c r="BE27" s="105">
        <f t="shared" si="31"/>
        <v>12781.470659999999</v>
      </c>
      <c r="BF27" s="105">
        <f t="shared" si="16"/>
        <v>0</v>
      </c>
      <c r="BG27" s="105">
        <f t="shared" si="32"/>
        <v>0</v>
      </c>
      <c r="BH27" s="105">
        <f t="shared" si="17"/>
        <v>61731.49</v>
      </c>
      <c r="BI27" s="105">
        <f t="shared" si="18"/>
        <v>22690.420413849999</v>
      </c>
      <c r="BJ27" s="186">
        <f t="shared" si="19"/>
        <v>19475.8482</v>
      </c>
      <c r="BK27" s="182">
        <f t="shared" si="20"/>
        <v>4722.7880091179995</v>
      </c>
      <c r="BL27" s="98">
        <f t="shared" si="21"/>
        <v>19475.8482</v>
      </c>
      <c r="BM27" s="99">
        <f t="shared" si="22"/>
        <v>0</v>
      </c>
      <c r="BN27" s="99">
        <f t="shared" si="23"/>
        <v>0</v>
      </c>
      <c r="BO27" s="182"/>
      <c r="BP27" s="182"/>
      <c r="BQ27" s="182"/>
      <c r="BR27" s="182"/>
      <c r="BS27" s="95"/>
      <c r="BT27" s="182"/>
      <c r="BU27" s="182"/>
      <c r="BV27" s="95"/>
      <c r="BW27" s="182"/>
      <c r="BX27" s="182"/>
      <c r="BY27" s="95"/>
      <c r="BZ27" s="182"/>
      <c r="CA27" s="95"/>
      <c r="CB27" s="95"/>
      <c r="CC27" s="182"/>
      <c r="CD27" s="95"/>
      <c r="CE27" s="95"/>
      <c r="CF27" s="182"/>
      <c r="CG27" s="95"/>
      <c r="CH27" s="95"/>
      <c r="CI27" s="182"/>
      <c r="CJ27" s="95"/>
      <c r="CK27" s="95"/>
      <c r="CL27" s="182"/>
      <c r="CM27" s="95"/>
      <c r="CN27" s="182">
        <f t="shared" si="24"/>
        <v>4722.7880091179995</v>
      </c>
      <c r="CO27" s="110"/>
      <c r="CP27" s="182"/>
      <c r="CQ27" s="95">
        <f t="shared" si="26"/>
        <v>81207.338199999998</v>
      </c>
      <c r="CR27" s="110"/>
      <c r="CS27" s="114"/>
      <c r="CT27" s="113"/>
      <c r="CU27" s="187"/>
      <c r="CV27" s="187"/>
      <c r="CW27" s="240">
        <f>(AD27*2.49633729)+(AE27*0.45889824 )-BK27</f>
        <v>4313.7031090289292</v>
      </c>
    </row>
    <row r="28" spans="1:101" s="51" customFormat="1" ht="19.899999999999999" customHeight="1" x14ac:dyDescent="0.3">
      <c r="A28" s="148"/>
      <c r="B28" s="50">
        <v>10032831143</v>
      </c>
      <c r="C28" s="148" t="s">
        <v>158</v>
      </c>
      <c r="D28" s="104" t="s">
        <v>128</v>
      </c>
      <c r="E28" s="104"/>
      <c r="F28" s="105">
        <v>34560</v>
      </c>
      <c r="G28" s="188"/>
      <c r="H28" s="118">
        <f t="shared" si="0"/>
        <v>0</v>
      </c>
      <c r="I28" s="93" t="s">
        <v>159</v>
      </c>
      <c r="J28" s="96" t="s">
        <v>160</v>
      </c>
      <c r="K28" s="49" t="s">
        <v>161</v>
      </c>
      <c r="L28" s="93">
        <v>45155</v>
      </c>
      <c r="M28" s="97" t="s">
        <v>155</v>
      </c>
      <c r="N28" s="97" t="s">
        <v>156</v>
      </c>
      <c r="O28" s="183">
        <v>31183.14</v>
      </c>
      <c r="P28" s="183">
        <v>0</v>
      </c>
      <c r="Q28" s="183">
        <v>8058.78</v>
      </c>
      <c r="R28" s="131"/>
      <c r="S28" s="183">
        <v>421.43</v>
      </c>
      <c r="T28" s="183"/>
      <c r="U28" s="183">
        <v>13.06</v>
      </c>
      <c r="V28" s="183"/>
      <c r="W28" s="183"/>
      <c r="X28" s="183"/>
      <c r="Y28" s="183"/>
      <c r="Z28" s="183">
        <f>71.28+22.23+47.44+56.32+281.57+39.95-0.05</f>
        <v>518.74</v>
      </c>
      <c r="AA28" s="183"/>
      <c r="AB28" s="184">
        <f>0.121928+1.066987</f>
        <v>1.1889149999999999</v>
      </c>
      <c r="AC28" s="184">
        <f>0.121928+0.125041</f>
        <v>0.24696899999999999</v>
      </c>
      <c r="AD28" s="106">
        <v>1</v>
      </c>
      <c r="AE28" s="118">
        <v>120996816</v>
      </c>
      <c r="AF28" s="106">
        <v>221630192</v>
      </c>
      <c r="AG28" s="106">
        <f t="shared" si="2"/>
        <v>342627009</v>
      </c>
      <c r="AH28" s="106">
        <f t="shared" si="3"/>
        <v>84618250.727667004</v>
      </c>
      <c r="AI28" s="106">
        <f t="shared" si="4"/>
        <v>1</v>
      </c>
      <c r="AJ28" s="106">
        <f t="shared" si="5"/>
        <v>120996816</v>
      </c>
      <c r="AK28" s="106">
        <f t="shared" si="6"/>
        <v>221630192</v>
      </c>
      <c r="AL28" s="132">
        <f t="shared" si="7"/>
        <v>342627009</v>
      </c>
      <c r="AM28" s="198">
        <f t="shared" si="8"/>
        <v>84618250.727667004</v>
      </c>
      <c r="AN28" s="132">
        <v>7568.08</v>
      </c>
      <c r="AO28" s="132">
        <v>53340</v>
      </c>
      <c r="AP28" s="132">
        <v>0</v>
      </c>
      <c r="AQ28" s="134">
        <f t="shared" si="9"/>
        <v>60908.08</v>
      </c>
      <c r="AR28" s="201">
        <f t="shared" si="10"/>
        <v>22171.1302932</v>
      </c>
      <c r="AS28" s="132"/>
      <c r="AT28" s="132"/>
      <c r="AU28" s="132"/>
      <c r="AV28" s="132"/>
      <c r="AW28" s="132"/>
      <c r="AX28" s="132"/>
      <c r="AY28" s="132"/>
      <c r="AZ28" s="132"/>
      <c r="BA28" s="197"/>
      <c r="BB28" s="105">
        <f t="shared" si="14"/>
        <v>7568.08</v>
      </c>
      <c r="BC28" s="105">
        <f t="shared" si="30"/>
        <v>8997.8038331999996</v>
      </c>
      <c r="BD28" s="105">
        <f t="shared" si="15"/>
        <v>53340</v>
      </c>
      <c r="BE28" s="105">
        <f t="shared" si="31"/>
        <v>13173.32646</v>
      </c>
      <c r="BF28" s="105">
        <f t="shared" si="16"/>
        <v>0</v>
      </c>
      <c r="BG28" s="105">
        <f t="shared" si="32"/>
        <v>0</v>
      </c>
      <c r="BH28" s="105">
        <f t="shared" si="17"/>
        <v>60908.08</v>
      </c>
      <c r="BI28" s="105">
        <f t="shared" si="18"/>
        <v>22171.1302932</v>
      </c>
      <c r="BJ28" s="186">
        <f t="shared" si="19"/>
        <v>342627009</v>
      </c>
      <c r="BK28" s="182">
        <f t="shared" si="20"/>
        <v>84618250.727667004</v>
      </c>
      <c r="BL28" s="98">
        <f t="shared" si="21"/>
        <v>342627009</v>
      </c>
      <c r="BM28" s="99"/>
      <c r="BN28" s="99"/>
      <c r="BO28" s="182"/>
      <c r="BP28" s="182"/>
      <c r="BQ28" s="182"/>
      <c r="BR28" s="182"/>
      <c r="BS28" s="95"/>
      <c r="BT28" s="182"/>
      <c r="BU28" s="182"/>
      <c r="BV28" s="95"/>
      <c r="BW28" s="182"/>
      <c r="BX28" s="182"/>
      <c r="BY28" s="118"/>
      <c r="BZ28" s="188"/>
      <c r="CA28" s="118"/>
      <c r="CB28" s="118"/>
      <c r="CC28" s="188"/>
      <c r="CD28" s="95"/>
      <c r="CE28" s="95"/>
      <c r="CF28" s="182"/>
      <c r="CG28" s="95"/>
      <c r="CH28" s="95"/>
      <c r="CI28" s="182"/>
      <c r="CJ28" s="95"/>
      <c r="CK28" s="95"/>
      <c r="CL28" s="182"/>
      <c r="CM28" s="95"/>
      <c r="CN28" s="182"/>
      <c r="CO28" s="110"/>
      <c r="CP28" s="182"/>
      <c r="CQ28" s="95"/>
      <c r="CR28" s="110"/>
      <c r="CS28" s="114" t="s">
        <v>168</v>
      </c>
      <c r="CT28" s="113"/>
      <c r="CU28" s="187"/>
      <c r="CV28" s="187"/>
      <c r="CW28" s="240"/>
    </row>
    <row r="29" spans="1:101" s="51" customFormat="1" ht="19.899999999999999" customHeight="1" x14ac:dyDescent="0.3">
      <c r="A29" s="92" t="s">
        <v>169</v>
      </c>
      <c r="B29" s="49">
        <v>13260479</v>
      </c>
      <c r="C29" s="92" t="s">
        <v>170</v>
      </c>
      <c r="D29" s="93" t="s">
        <v>171</v>
      </c>
      <c r="E29" s="93" t="s">
        <v>172</v>
      </c>
      <c r="F29" s="94">
        <v>7248</v>
      </c>
      <c r="G29" s="182">
        <v>0.83</v>
      </c>
      <c r="H29" s="95">
        <f t="shared" si="0"/>
        <v>6015.84</v>
      </c>
      <c r="I29" s="93" t="s">
        <v>173</v>
      </c>
      <c r="J29" s="96" t="s">
        <v>174</v>
      </c>
      <c r="K29" s="49" t="s">
        <v>175</v>
      </c>
      <c r="L29" s="93">
        <v>45159</v>
      </c>
      <c r="M29" s="97" t="s">
        <v>173</v>
      </c>
      <c r="N29" s="97" t="s">
        <v>176</v>
      </c>
      <c r="O29" s="183">
        <v>517.44000000000005</v>
      </c>
      <c r="P29" s="183">
        <v>0</v>
      </c>
      <c r="Q29" s="183">
        <v>0</v>
      </c>
      <c r="R29" s="131"/>
      <c r="S29" s="183">
        <v>17.47</v>
      </c>
      <c r="T29" s="183">
        <v>0</v>
      </c>
      <c r="U29" s="183">
        <v>12.21</v>
      </c>
      <c r="V29" s="183">
        <v>0</v>
      </c>
      <c r="W29" s="183"/>
      <c r="X29" s="183"/>
      <c r="Y29" s="183"/>
      <c r="Z29" s="183"/>
      <c r="AA29" s="183"/>
      <c r="AB29" s="184">
        <v>0.82650999999999997</v>
      </c>
      <c r="AC29" s="184">
        <v>0.82650999999999997</v>
      </c>
      <c r="AD29" s="95">
        <v>0.93</v>
      </c>
      <c r="AE29" s="95">
        <v>7201.56</v>
      </c>
      <c r="AF29" s="95">
        <v>0.62</v>
      </c>
      <c r="AG29" s="95">
        <f t="shared" si="2"/>
        <v>7203.1100000000006</v>
      </c>
      <c r="AH29" s="95">
        <f t="shared" si="3"/>
        <v>5953.4424460999999</v>
      </c>
      <c r="AI29" s="95">
        <f t="shared" si="4"/>
        <v>0.93</v>
      </c>
      <c r="AJ29" s="95">
        <f t="shared" si="5"/>
        <v>4097.76</v>
      </c>
      <c r="AK29" s="95">
        <f t="shared" si="6"/>
        <v>0.62</v>
      </c>
      <c r="AL29" s="133">
        <f t="shared" si="7"/>
        <v>4099.3100000000004</v>
      </c>
      <c r="AM29" s="199">
        <f t="shared" si="8"/>
        <v>3388.1207080999998</v>
      </c>
      <c r="AN29" s="95">
        <v>476.74</v>
      </c>
      <c r="AO29" s="95">
        <v>2247</v>
      </c>
      <c r="AP29" s="95">
        <v>970.2</v>
      </c>
      <c r="AQ29" s="106">
        <f t="shared" si="9"/>
        <v>3693.9399999999996</v>
      </c>
      <c r="AR29" s="193">
        <f t="shared" si="10"/>
        <v>3053.0783493999998</v>
      </c>
      <c r="AS29" s="95">
        <v>0</v>
      </c>
      <c r="AT29" s="95">
        <v>3103.8</v>
      </c>
      <c r="AU29" s="95">
        <v>0</v>
      </c>
      <c r="AV29" s="95">
        <f t="shared" ref="AV29:AV60" si="34">SUM(AS29:AU29)</f>
        <v>3103.8</v>
      </c>
      <c r="AW29" s="95">
        <v>0</v>
      </c>
      <c r="AX29" s="95">
        <v>2147</v>
      </c>
      <c r="AY29" s="95">
        <v>956.8</v>
      </c>
      <c r="AZ29" s="95">
        <f t="shared" ref="AZ29:AZ60" si="35">SUM(AW29:AY29)</f>
        <v>3103.8</v>
      </c>
      <c r="BA29" s="197">
        <f t="shared" ref="BA29:BA60" si="36">(AW29*AB29)+((AX29+AY29)*AC29)</f>
        <v>2565.3217380000001</v>
      </c>
      <c r="BB29" s="94">
        <f t="shared" si="14"/>
        <v>476.74</v>
      </c>
      <c r="BC29" s="105">
        <f t="shared" si="30"/>
        <v>394.03037739999996</v>
      </c>
      <c r="BD29" s="94">
        <f t="shared" si="15"/>
        <v>100</v>
      </c>
      <c r="BE29" s="94">
        <f t="shared" si="31"/>
        <v>82.650999999999996</v>
      </c>
      <c r="BF29" s="94">
        <f t="shared" si="16"/>
        <v>13.400000000000091</v>
      </c>
      <c r="BG29" s="94">
        <f t="shared" si="32"/>
        <v>11.075234000000075</v>
      </c>
      <c r="BH29" s="94">
        <f t="shared" si="17"/>
        <v>590.1400000000001</v>
      </c>
      <c r="BI29" s="94">
        <f t="shared" si="18"/>
        <v>487.75661140000005</v>
      </c>
      <c r="BJ29" s="186">
        <f t="shared" si="19"/>
        <v>7203.1100000000006</v>
      </c>
      <c r="BK29" s="182">
        <f t="shared" si="20"/>
        <v>5953.4424460999999</v>
      </c>
      <c r="BL29" s="98">
        <f t="shared" si="21"/>
        <v>7203.1100000000006</v>
      </c>
      <c r="BM29" s="99">
        <f t="shared" ref="BM29:BM60" si="37">AW29</f>
        <v>0</v>
      </c>
      <c r="BN29" s="99">
        <f t="shared" ref="BN29:BN60" si="38">AX29+AY29</f>
        <v>3103.8</v>
      </c>
      <c r="BO29" s="182"/>
      <c r="BP29" s="182"/>
      <c r="BQ29" s="182">
        <v>0</v>
      </c>
      <c r="BR29" s="182"/>
      <c r="BS29" s="95">
        <v>0</v>
      </c>
      <c r="BT29" s="182"/>
      <c r="BU29" s="182">
        <v>0</v>
      </c>
      <c r="BV29" s="95">
        <v>0</v>
      </c>
      <c r="BW29" s="182"/>
      <c r="BX29" s="182">
        <v>0</v>
      </c>
      <c r="BY29" s="95"/>
      <c r="BZ29" s="182"/>
      <c r="CA29" s="95"/>
      <c r="CB29" s="95"/>
      <c r="CC29" s="182"/>
      <c r="CD29" s="95"/>
      <c r="CE29" s="95"/>
      <c r="CF29" s="182"/>
      <c r="CG29" s="95"/>
      <c r="CH29" s="95"/>
      <c r="CI29" s="182"/>
      <c r="CJ29" s="95"/>
      <c r="CK29" s="95"/>
      <c r="CL29" s="182"/>
      <c r="CM29" s="95"/>
      <c r="CN29" s="182">
        <f t="shared" ref="CN29:CN60" si="39">BK29+BU29+BX29+CA29+CD29+CG29+CJ29+CM29</f>
        <v>5953.4424460999999</v>
      </c>
      <c r="CO29" s="112">
        <v>0</v>
      </c>
      <c r="CP29" s="182">
        <f t="shared" ref="CP29:CP44" si="40">CR29*G29</f>
        <v>0</v>
      </c>
      <c r="CQ29" s="95">
        <f t="shared" ref="CQ29:CQ44" si="41">AL29+AZ29+AQ29</f>
        <v>10897.05</v>
      </c>
      <c r="CR29" s="112"/>
      <c r="CS29" s="113"/>
      <c r="CT29" s="113"/>
      <c r="CU29" s="187">
        <f t="shared" ref="CU29:CU34" si="42">(BB29* AB29)+(BD29* AC29)+(BF29* AC29)+(S29+T29+U29+V29+W29+X29+Y29+Z29)</f>
        <v>517.43661140000006</v>
      </c>
      <c r="CV29" s="187">
        <f t="shared" ref="CV29:CV34" si="43">CU29-O29</f>
        <v>-3.3885999999938576E-3</v>
      </c>
      <c r="CW29" s="240"/>
    </row>
    <row r="30" spans="1:101" s="51" customFormat="1" ht="19.899999999999999" customHeight="1" x14ac:dyDescent="0.3">
      <c r="A30" s="148" t="s">
        <v>169</v>
      </c>
      <c r="B30" s="50">
        <v>13260479</v>
      </c>
      <c r="C30" s="148" t="s">
        <v>170</v>
      </c>
      <c r="D30" s="104" t="s">
        <v>171</v>
      </c>
      <c r="E30" s="104" t="s">
        <v>172</v>
      </c>
      <c r="F30" s="105">
        <v>7248</v>
      </c>
      <c r="G30" s="188">
        <v>0.83</v>
      </c>
      <c r="H30" s="118">
        <f t="shared" si="0"/>
        <v>6015.84</v>
      </c>
      <c r="I30" s="104" t="s">
        <v>173</v>
      </c>
      <c r="J30" s="107" t="s">
        <v>174</v>
      </c>
      <c r="K30" s="50" t="s">
        <v>175</v>
      </c>
      <c r="L30" s="104">
        <v>45159</v>
      </c>
      <c r="M30" s="108" t="s">
        <v>129</v>
      </c>
      <c r="N30" s="108" t="s">
        <v>177</v>
      </c>
      <c r="O30" s="193">
        <v>199.84</v>
      </c>
      <c r="P30" s="193">
        <v>0</v>
      </c>
      <c r="Q30" s="193">
        <v>0</v>
      </c>
      <c r="R30" s="109"/>
      <c r="S30" s="193">
        <v>18.510000000000002</v>
      </c>
      <c r="T30" s="193">
        <v>0</v>
      </c>
      <c r="U30" s="193">
        <v>15.88</v>
      </c>
      <c r="V30" s="193">
        <v>0</v>
      </c>
      <c r="W30" s="193"/>
      <c r="X30" s="193"/>
      <c r="Y30" s="193"/>
      <c r="Z30" s="193"/>
      <c r="AA30" s="193"/>
      <c r="AB30" s="194">
        <v>0.86012999999999995</v>
      </c>
      <c r="AC30" s="194">
        <v>0.86012999999999995</v>
      </c>
      <c r="AD30" s="106">
        <v>4.4000000000000004</v>
      </c>
      <c r="AE30" s="118">
        <v>6544.9</v>
      </c>
      <c r="AF30" s="106">
        <v>3.8</v>
      </c>
      <c r="AG30" s="106">
        <f t="shared" si="2"/>
        <v>6553.0999999999995</v>
      </c>
      <c r="AH30" s="106">
        <f t="shared" si="3"/>
        <v>5636.517902999999</v>
      </c>
      <c r="AI30" s="106">
        <f t="shared" si="4"/>
        <v>4.4000000000000004</v>
      </c>
      <c r="AJ30" s="106">
        <f t="shared" si="5"/>
        <v>3667.8999999999996</v>
      </c>
      <c r="AK30" s="106">
        <f t="shared" si="6"/>
        <v>3.8</v>
      </c>
      <c r="AL30" s="132">
        <f t="shared" si="7"/>
        <v>3676.1</v>
      </c>
      <c r="AM30" s="198">
        <f t="shared" si="8"/>
        <v>3161.9238929999997</v>
      </c>
      <c r="AN30" s="106">
        <v>461.16</v>
      </c>
      <c r="AO30" s="106">
        <v>1860.6</v>
      </c>
      <c r="AP30" s="106">
        <v>747.6</v>
      </c>
      <c r="AQ30" s="95">
        <f t="shared" si="9"/>
        <v>3069.3599999999997</v>
      </c>
      <c r="AR30" s="183">
        <f t="shared" si="10"/>
        <v>2640.0486167999998</v>
      </c>
      <c r="AS30" s="106">
        <v>0</v>
      </c>
      <c r="AT30" s="106">
        <v>2877</v>
      </c>
      <c r="AU30" s="106">
        <v>0</v>
      </c>
      <c r="AV30" s="106">
        <f t="shared" si="34"/>
        <v>2877</v>
      </c>
      <c r="AW30" s="106">
        <v>368.8</v>
      </c>
      <c r="AX30" s="106">
        <v>1760.6</v>
      </c>
      <c r="AY30" s="106">
        <v>747.6</v>
      </c>
      <c r="AZ30" s="106">
        <f t="shared" si="35"/>
        <v>2877</v>
      </c>
      <c r="BA30" s="197">
        <f t="shared" si="36"/>
        <v>2474.5940099999998</v>
      </c>
      <c r="BB30" s="105">
        <f t="shared" si="14"/>
        <v>92.360000000000014</v>
      </c>
      <c r="BC30" s="105">
        <f t="shared" si="30"/>
        <v>79.441606800000002</v>
      </c>
      <c r="BD30" s="105">
        <f t="shared" si="15"/>
        <v>100</v>
      </c>
      <c r="BE30" s="105">
        <f t="shared" si="31"/>
        <v>86.012999999999991</v>
      </c>
      <c r="BF30" s="105">
        <f t="shared" si="16"/>
        <v>0</v>
      </c>
      <c r="BG30" s="105">
        <f t="shared" si="32"/>
        <v>0</v>
      </c>
      <c r="BH30" s="105">
        <f t="shared" si="17"/>
        <v>192.36</v>
      </c>
      <c r="BI30" s="105">
        <f t="shared" si="18"/>
        <v>165.45460679999999</v>
      </c>
      <c r="BJ30" s="186">
        <f t="shared" si="19"/>
        <v>6553.1</v>
      </c>
      <c r="BK30" s="182">
        <f t="shared" si="20"/>
        <v>5636.517902999999</v>
      </c>
      <c r="BL30" s="98">
        <f t="shared" si="21"/>
        <v>6553.1</v>
      </c>
      <c r="BM30" s="99">
        <f t="shared" si="37"/>
        <v>368.8</v>
      </c>
      <c r="BN30" s="99">
        <f t="shared" si="38"/>
        <v>2508.1999999999998</v>
      </c>
      <c r="BO30" s="196"/>
      <c r="BP30" s="196"/>
      <c r="BQ30" s="196">
        <v>0</v>
      </c>
      <c r="BR30" s="196"/>
      <c r="BS30" s="106">
        <v>0</v>
      </c>
      <c r="BT30" s="196"/>
      <c r="BU30" s="196">
        <v>0</v>
      </c>
      <c r="BV30" s="106">
        <v>0</v>
      </c>
      <c r="BW30" s="196"/>
      <c r="BX30" s="196">
        <v>0</v>
      </c>
      <c r="BY30" s="118"/>
      <c r="BZ30" s="188"/>
      <c r="CA30" s="118"/>
      <c r="CB30" s="118"/>
      <c r="CC30" s="188"/>
      <c r="CD30" s="106"/>
      <c r="CE30" s="106"/>
      <c r="CF30" s="196"/>
      <c r="CG30" s="106"/>
      <c r="CH30" s="106"/>
      <c r="CI30" s="196"/>
      <c r="CJ30" s="106"/>
      <c r="CK30" s="106"/>
      <c r="CL30" s="196"/>
      <c r="CM30" s="106"/>
      <c r="CN30" s="182">
        <f t="shared" si="39"/>
        <v>5636.517902999999</v>
      </c>
      <c r="CO30" s="112">
        <v>0</v>
      </c>
      <c r="CP30" s="182">
        <f t="shared" si="40"/>
        <v>0</v>
      </c>
      <c r="CQ30" s="95">
        <f t="shared" si="41"/>
        <v>9622.4599999999991</v>
      </c>
      <c r="CR30" s="112"/>
      <c r="CS30" s="113"/>
      <c r="CT30" s="113"/>
      <c r="CU30" s="187">
        <f t="shared" si="42"/>
        <v>199.84460680000001</v>
      </c>
      <c r="CV30" s="187">
        <f t="shared" si="43"/>
        <v>4.6068000000047959E-3</v>
      </c>
      <c r="CW30" s="240"/>
    </row>
    <row r="31" spans="1:101" s="51" customFormat="1" ht="19.899999999999999" customHeight="1" x14ac:dyDescent="0.3">
      <c r="A31" s="92" t="s">
        <v>169</v>
      </c>
      <c r="B31" s="49">
        <v>13260479</v>
      </c>
      <c r="C31" s="92" t="s">
        <v>170</v>
      </c>
      <c r="D31" s="93" t="s">
        <v>171</v>
      </c>
      <c r="E31" s="93" t="s">
        <v>172</v>
      </c>
      <c r="F31" s="94">
        <v>7248</v>
      </c>
      <c r="G31" s="182">
        <v>0.83</v>
      </c>
      <c r="H31" s="95">
        <f t="shared" si="0"/>
        <v>6015.84</v>
      </c>
      <c r="I31" s="93" t="s">
        <v>173</v>
      </c>
      <c r="J31" s="96" t="s">
        <v>174</v>
      </c>
      <c r="K31" s="49" t="s">
        <v>175</v>
      </c>
      <c r="L31" s="93">
        <v>45159</v>
      </c>
      <c r="M31" s="97" t="s">
        <v>159</v>
      </c>
      <c r="N31" s="97" t="s">
        <v>162</v>
      </c>
      <c r="O31" s="183">
        <v>120.54</v>
      </c>
      <c r="P31" s="183">
        <v>0</v>
      </c>
      <c r="Q31" s="183">
        <v>0</v>
      </c>
      <c r="R31" s="131"/>
      <c r="S31" s="183">
        <v>20.91</v>
      </c>
      <c r="T31" s="183">
        <v>0</v>
      </c>
      <c r="U31" s="183">
        <v>16.34</v>
      </c>
      <c r="V31" s="183">
        <v>0</v>
      </c>
      <c r="W31" s="183"/>
      <c r="X31" s="183"/>
      <c r="Y31" s="183"/>
      <c r="Z31" s="183"/>
      <c r="AA31" s="183"/>
      <c r="AB31" s="184">
        <v>0.83287</v>
      </c>
      <c r="AC31" s="184">
        <v>0.83287</v>
      </c>
      <c r="AD31" s="95">
        <v>2.48</v>
      </c>
      <c r="AE31" s="95">
        <v>5946.67</v>
      </c>
      <c r="AF31" s="95">
        <v>11.03</v>
      </c>
      <c r="AG31" s="95">
        <f t="shared" si="2"/>
        <v>5960.1799999999994</v>
      </c>
      <c r="AH31" s="95">
        <f t="shared" si="3"/>
        <v>4964.0551165999996</v>
      </c>
      <c r="AI31" s="95">
        <f t="shared" si="4"/>
        <v>2.48</v>
      </c>
      <c r="AJ31" s="95">
        <f t="shared" si="5"/>
        <v>3325.87</v>
      </c>
      <c r="AK31" s="95">
        <f t="shared" si="6"/>
        <v>11.03</v>
      </c>
      <c r="AL31" s="133">
        <f t="shared" si="7"/>
        <v>3339.38</v>
      </c>
      <c r="AM31" s="199">
        <f t="shared" si="8"/>
        <v>2781.2694206000001</v>
      </c>
      <c r="AN31" s="95">
        <v>340.32</v>
      </c>
      <c r="AO31" s="95">
        <v>1562.4</v>
      </c>
      <c r="AP31" s="95">
        <v>646.79999999999995</v>
      </c>
      <c r="AQ31" s="106">
        <f t="shared" si="9"/>
        <v>2549.52</v>
      </c>
      <c r="AR31" s="193">
        <f t="shared" si="10"/>
        <v>2123.4187223999998</v>
      </c>
      <c r="AS31" s="95">
        <v>0</v>
      </c>
      <c r="AT31" s="95">
        <v>2620.8000000000002</v>
      </c>
      <c r="AU31" s="95">
        <v>0</v>
      </c>
      <c r="AV31" s="95">
        <f t="shared" si="34"/>
        <v>2620.8000000000002</v>
      </c>
      <c r="AW31" s="95">
        <v>340.32</v>
      </c>
      <c r="AX31" s="95">
        <v>1462.4</v>
      </c>
      <c r="AY31" s="95">
        <v>646.79999999999995</v>
      </c>
      <c r="AZ31" s="95">
        <f t="shared" si="35"/>
        <v>2449.52</v>
      </c>
      <c r="BA31" s="197">
        <f t="shared" si="36"/>
        <v>2040.1317223999997</v>
      </c>
      <c r="BB31" s="94">
        <f t="shared" si="14"/>
        <v>0</v>
      </c>
      <c r="BC31" s="105">
        <f t="shared" si="30"/>
        <v>0</v>
      </c>
      <c r="BD31" s="94">
        <f t="shared" si="15"/>
        <v>100</v>
      </c>
      <c r="BE31" s="94">
        <f t="shared" si="31"/>
        <v>83.287000000000006</v>
      </c>
      <c r="BF31" s="94">
        <f t="shared" si="16"/>
        <v>0</v>
      </c>
      <c r="BG31" s="94">
        <f t="shared" si="32"/>
        <v>0</v>
      </c>
      <c r="BH31" s="94">
        <f t="shared" si="17"/>
        <v>100</v>
      </c>
      <c r="BI31" s="94">
        <f t="shared" si="18"/>
        <v>83.287000000000006</v>
      </c>
      <c r="BJ31" s="186">
        <f t="shared" si="19"/>
        <v>5788.9</v>
      </c>
      <c r="BK31" s="182">
        <f t="shared" si="20"/>
        <v>4821.401143</v>
      </c>
      <c r="BL31" s="98">
        <f t="shared" si="21"/>
        <v>5788.9</v>
      </c>
      <c r="BM31" s="99">
        <f t="shared" si="37"/>
        <v>340.32</v>
      </c>
      <c r="BN31" s="99">
        <f t="shared" si="38"/>
        <v>2109.1999999999998</v>
      </c>
      <c r="BO31" s="182"/>
      <c r="BP31" s="182"/>
      <c r="BQ31" s="182">
        <v>0</v>
      </c>
      <c r="BR31" s="182"/>
      <c r="BS31" s="95">
        <v>0</v>
      </c>
      <c r="BT31" s="182"/>
      <c r="BU31" s="182">
        <v>0</v>
      </c>
      <c r="BV31" s="95">
        <v>0</v>
      </c>
      <c r="BW31" s="182"/>
      <c r="BX31" s="182">
        <v>0</v>
      </c>
      <c r="BY31" s="95"/>
      <c r="BZ31" s="182"/>
      <c r="CA31" s="95"/>
      <c r="CB31" s="95"/>
      <c r="CC31" s="182"/>
      <c r="CD31" s="95"/>
      <c r="CE31" s="95"/>
      <c r="CF31" s="182"/>
      <c r="CG31" s="95"/>
      <c r="CH31" s="95"/>
      <c r="CI31" s="182"/>
      <c r="CJ31" s="95"/>
      <c r="CK31" s="95"/>
      <c r="CL31" s="182"/>
      <c r="CM31" s="95"/>
      <c r="CN31" s="182">
        <f t="shared" si="39"/>
        <v>4821.401143</v>
      </c>
      <c r="CO31" s="112">
        <f>AV31-(AZ31+BS31+BV31+BY31)</f>
        <v>171.2800000000002</v>
      </c>
      <c r="CP31" s="182">
        <f t="shared" si="40"/>
        <v>0</v>
      </c>
      <c r="CQ31" s="95">
        <f t="shared" si="41"/>
        <v>8338.42</v>
      </c>
      <c r="CR31" s="112"/>
      <c r="CS31" s="113"/>
      <c r="CT31" s="113"/>
      <c r="CU31" s="187">
        <f t="shared" si="42"/>
        <v>120.53700000000001</v>
      </c>
      <c r="CV31" s="187">
        <f t="shared" si="43"/>
        <v>-3.0000000000001137E-3</v>
      </c>
      <c r="CW31" s="240"/>
    </row>
    <row r="32" spans="1:101" s="51" customFormat="1" ht="19.899999999999999" customHeight="1" x14ac:dyDescent="0.3">
      <c r="A32" s="148" t="s">
        <v>169</v>
      </c>
      <c r="B32" s="50">
        <v>13260479</v>
      </c>
      <c r="C32" s="148" t="s">
        <v>170</v>
      </c>
      <c r="D32" s="104" t="s">
        <v>171</v>
      </c>
      <c r="E32" s="104" t="s">
        <v>172</v>
      </c>
      <c r="F32" s="105">
        <v>7248</v>
      </c>
      <c r="G32" s="188">
        <v>0.83</v>
      </c>
      <c r="H32" s="118">
        <f t="shared" si="0"/>
        <v>6015.84</v>
      </c>
      <c r="I32" s="104" t="s">
        <v>173</v>
      </c>
      <c r="J32" s="107" t="s">
        <v>174</v>
      </c>
      <c r="K32" s="50" t="s">
        <v>175</v>
      </c>
      <c r="L32" s="104">
        <v>45159</v>
      </c>
      <c r="M32" s="108" t="s">
        <v>163</v>
      </c>
      <c r="N32" s="108" t="s">
        <v>164</v>
      </c>
      <c r="O32" s="193">
        <v>0</v>
      </c>
      <c r="P32" s="193">
        <v>0</v>
      </c>
      <c r="Q32" s="193">
        <v>0</v>
      </c>
      <c r="R32" s="109"/>
      <c r="S32" s="193">
        <v>19.399999999999999</v>
      </c>
      <c r="T32" s="193">
        <v>0</v>
      </c>
      <c r="U32" s="193">
        <v>13.67</v>
      </c>
      <c r="V32" s="193">
        <v>0</v>
      </c>
      <c r="W32" s="193"/>
      <c r="X32" s="193"/>
      <c r="Y32" s="193"/>
      <c r="Z32" s="193">
        <v>-203.38</v>
      </c>
      <c r="AA32" s="193"/>
      <c r="AB32" s="194">
        <v>0.83218999999999999</v>
      </c>
      <c r="AC32" s="194">
        <v>0.83218999999999999</v>
      </c>
      <c r="AD32" s="106">
        <v>7.0000000000000007E-2</v>
      </c>
      <c r="AE32" s="118">
        <v>6094.08</v>
      </c>
      <c r="AF32" s="106">
        <v>22.58</v>
      </c>
      <c r="AG32" s="106">
        <f t="shared" si="2"/>
        <v>6116.73</v>
      </c>
      <c r="AH32" s="106">
        <f t="shared" si="3"/>
        <v>5090.2815386999991</v>
      </c>
      <c r="AI32" s="106">
        <f t="shared" si="4"/>
        <v>7.0000000000000007E-2</v>
      </c>
      <c r="AJ32" s="106">
        <f t="shared" si="5"/>
        <v>3557.2799999999997</v>
      </c>
      <c r="AK32" s="106">
        <f t="shared" si="6"/>
        <v>22.58</v>
      </c>
      <c r="AL32" s="132">
        <f t="shared" si="7"/>
        <v>3579.93</v>
      </c>
      <c r="AM32" s="198">
        <f t="shared" si="8"/>
        <v>2979.1819467</v>
      </c>
      <c r="AN32" s="106">
        <v>396.94</v>
      </c>
      <c r="AO32" s="106">
        <v>1822.8</v>
      </c>
      <c r="AP32" s="106">
        <v>693</v>
      </c>
      <c r="AQ32" s="95">
        <f t="shared" si="9"/>
        <v>2912.74</v>
      </c>
      <c r="AR32" s="183">
        <f t="shared" si="10"/>
        <v>2423.9531006000002</v>
      </c>
      <c r="AS32" s="106">
        <v>0</v>
      </c>
      <c r="AT32" s="106">
        <v>2536.8000000000002</v>
      </c>
      <c r="AU32" s="106">
        <v>0</v>
      </c>
      <c r="AV32" s="106">
        <f t="shared" si="34"/>
        <v>2536.8000000000002</v>
      </c>
      <c r="AW32" s="106">
        <v>292.27999999999997</v>
      </c>
      <c r="AX32" s="106">
        <v>1722.8</v>
      </c>
      <c r="AY32" s="106">
        <v>693</v>
      </c>
      <c r="AZ32" s="106">
        <f t="shared" si="35"/>
        <v>2708.08</v>
      </c>
      <c r="BA32" s="197">
        <f t="shared" si="36"/>
        <v>2253.6370952000002</v>
      </c>
      <c r="BB32" s="105">
        <f t="shared" si="14"/>
        <v>104.66000000000003</v>
      </c>
      <c r="BC32" s="105">
        <f t="shared" si="30"/>
        <v>87.097005400000015</v>
      </c>
      <c r="BD32" s="105">
        <f t="shared" si="15"/>
        <v>100</v>
      </c>
      <c r="BE32" s="105">
        <f t="shared" si="31"/>
        <v>83.218999999999994</v>
      </c>
      <c r="BF32" s="105">
        <f t="shared" si="16"/>
        <v>0</v>
      </c>
      <c r="BG32" s="105">
        <f t="shared" si="32"/>
        <v>0</v>
      </c>
      <c r="BH32" s="105">
        <f t="shared" si="17"/>
        <v>204.66000000000003</v>
      </c>
      <c r="BI32" s="105">
        <f t="shared" si="18"/>
        <v>170.31600539999999</v>
      </c>
      <c r="BJ32" s="186">
        <f t="shared" si="19"/>
        <v>6288.01</v>
      </c>
      <c r="BK32" s="182">
        <f t="shared" si="20"/>
        <v>5232.8190418999993</v>
      </c>
      <c r="BL32" s="98">
        <f t="shared" si="21"/>
        <v>6288.01</v>
      </c>
      <c r="BM32" s="99">
        <f t="shared" si="37"/>
        <v>292.27999999999997</v>
      </c>
      <c r="BN32" s="99">
        <f t="shared" si="38"/>
        <v>2415.8000000000002</v>
      </c>
      <c r="BO32" s="196"/>
      <c r="BP32" s="196"/>
      <c r="BQ32" s="196">
        <v>0</v>
      </c>
      <c r="BR32" s="196"/>
      <c r="BS32" s="106">
        <v>0</v>
      </c>
      <c r="BT32" s="196"/>
      <c r="BU32" s="196">
        <v>0</v>
      </c>
      <c r="BV32" s="106">
        <v>0</v>
      </c>
      <c r="BW32" s="196"/>
      <c r="BX32" s="196">
        <v>0</v>
      </c>
      <c r="BY32" s="118"/>
      <c r="BZ32" s="188"/>
      <c r="CA32" s="118"/>
      <c r="CB32" s="118"/>
      <c r="CC32" s="188"/>
      <c r="CD32" s="106"/>
      <c r="CE32" s="106"/>
      <c r="CF32" s="196"/>
      <c r="CG32" s="106"/>
      <c r="CH32" s="106"/>
      <c r="CI32" s="196"/>
      <c r="CJ32" s="106"/>
      <c r="CK32" s="106"/>
      <c r="CL32" s="196"/>
      <c r="CM32" s="106"/>
      <c r="CN32" s="182">
        <f t="shared" si="39"/>
        <v>5232.8190418999993</v>
      </c>
      <c r="CO32" s="112">
        <f t="shared" ref="CO32:CO45" si="44">(AV32-(AZ32+BV32+BY32+CB32+CE32+CH32+CK32+BS32)+CO31)</f>
        <v>4.5474735088646412E-13</v>
      </c>
      <c r="CP32" s="182">
        <f t="shared" si="40"/>
        <v>0</v>
      </c>
      <c r="CQ32" s="95">
        <f t="shared" si="41"/>
        <v>9200.75</v>
      </c>
      <c r="CR32" s="112"/>
      <c r="CS32" s="113"/>
      <c r="CT32" s="113"/>
      <c r="CU32" s="187">
        <f t="shared" si="42"/>
        <v>6.005399999992278E-3</v>
      </c>
      <c r="CV32" s="187">
        <f t="shared" si="43"/>
        <v>6.005399999992278E-3</v>
      </c>
      <c r="CW32" s="240"/>
    </row>
    <row r="33" spans="1:101" s="51" customFormat="1" ht="19.899999999999999" customHeight="1" x14ac:dyDescent="0.3">
      <c r="A33" s="92" t="s">
        <v>169</v>
      </c>
      <c r="B33" s="49">
        <v>13260479</v>
      </c>
      <c r="C33" s="92" t="s">
        <v>170</v>
      </c>
      <c r="D33" s="93" t="s">
        <v>171</v>
      </c>
      <c r="E33" s="93" t="s">
        <v>172</v>
      </c>
      <c r="F33" s="94">
        <v>7248</v>
      </c>
      <c r="G33" s="182">
        <v>0.83</v>
      </c>
      <c r="H33" s="95">
        <f t="shared" si="0"/>
        <v>6015.84</v>
      </c>
      <c r="I33" s="93" t="s">
        <v>173</v>
      </c>
      <c r="J33" s="96" t="s">
        <v>174</v>
      </c>
      <c r="K33" s="49" t="s">
        <v>175</v>
      </c>
      <c r="L33" s="93">
        <v>45159</v>
      </c>
      <c r="M33" s="97" t="s">
        <v>165</v>
      </c>
      <c r="N33" s="97" t="s">
        <v>166</v>
      </c>
      <c r="O33" s="183">
        <v>193.39</v>
      </c>
      <c r="P33" s="183">
        <v>0</v>
      </c>
      <c r="Q33" s="183">
        <v>0</v>
      </c>
      <c r="R33" s="131"/>
      <c r="S33" s="183">
        <v>99.81</v>
      </c>
      <c r="T33" s="183">
        <v>0</v>
      </c>
      <c r="U33" s="183">
        <v>10.92</v>
      </c>
      <c r="V33" s="183">
        <v>0</v>
      </c>
      <c r="W33" s="183"/>
      <c r="X33" s="183"/>
      <c r="Y33" s="183"/>
      <c r="Z33" s="183">
        <v>-3.93</v>
      </c>
      <c r="AA33" s="183"/>
      <c r="AB33" s="184">
        <v>0.86587000000000003</v>
      </c>
      <c r="AC33" s="184">
        <v>0.86587000000000003</v>
      </c>
      <c r="AD33" s="95">
        <v>0</v>
      </c>
      <c r="AE33" s="95">
        <v>5872.26</v>
      </c>
      <c r="AF33" s="95">
        <v>13.87</v>
      </c>
      <c r="AG33" s="95">
        <f t="shared" si="2"/>
        <v>5886.13</v>
      </c>
      <c r="AH33" s="95">
        <f t="shared" si="3"/>
        <v>5096.6233831</v>
      </c>
      <c r="AI33" s="95">
        <f t="shared" si="4"/>
        <v>0</v>
      </c>
      <c r="AJ33" s="95">
        <f t="shared" si="5"/>
        <v>3301.86</v>
      </c>
      <c r="AK33" s="95">
        <f t="shared" si="6"/>
        <v>13.87</v>
      </c>
      <c r="AL33" s="133">
        <f t="shared" si="7"/>
        <v>3315.73</v>
      </c>
      <c r="AM33" s="199">
        <f t="shared" si="8"/>
        <v>2870.9911351000001</v>
      </c>
      <c r="AN33" s="95">
        <v>383.71</v>
      </c>
      <c r="AO33" s="95">
        <v>1650.6</v>
      </c>
      <c r="AP33" s="95">
        <v>512.4</v>
      </c>
      <c r="AQ33" s="106">
        <f t="shared" si="9"/>
        <v>2546.71</v>
      </c>
      <c r="AR33" s="193">
        <f t="shared" si="10"/>
        <v>2205.1197877</v>
      </c>
      <c r="AS33" s="95">
        <v>0</v>
      </c>
      <c r="AT33" s="95">
        <v>2570.4</v>
      </c>
      <c r="AU33" s="95">
        <v>0</v>
      </c>
      <c r="AV33" s="95">
        <f t="shared" si="34"/>
        <v>2570.4</v>
      </c>
      <c r="AW33" s="95">
        <v>383.71</v>
      </c>
      <c r="AX33" s="95">
        <v>1550.6</v>
      </c>
      <c r="AY33" s="95">
        <v>512.4</v>
      </c>
      <c r="AZ33" s="95">
        <f t="shared" si="35"/>
        <v>2446.71</v>
      </c>
      <c r="BA33" s="197">
        <f t="shared" si="36"/>
        <v>2118.5327877</v>
      </c>
      <c r="BB33" s="94">
        <f t="shared" si="14"/>
        <v>0</v>
      </c>
      <c r="BC33" s="105">
        <f t="shared" si="30"/>
        <v>0</v>
      </c>
      <c r="BD33" s="94">
        <f t="shared" si="15"/>
        <v>100</v>
      </c>
      <c r="BE33" s="94">
        <f t="shared" si="31"/>
        <v>86.587000000000003</v>
      </c>
      <c r="BF33" s="94">
        <f t="shared" si="16"/>
        <v>0</v>
      </c>
      <c r="BG33" s="94">
        <f t="shared" si="32"/>
        <v>0</v>
      </c>
      <c r="BH33" s="94">
        <f t="shared" si="17"/>
        <v>100</v>
      </c>
      <c r="BI33" s="94">
        <f t="shared" si="18"/>
        <v>86.587000000000003</v>
      </c>
      <c r="BJ33" s="186">
        <f t="shared" si="19"/>
        <v>5762.4400000000005</v>
      </c>
      <c r="BK33" s="182">
        <f t="shared" si="20"/>
        <v>4989.5239227999991</v>
      </c>
      <c r="BL33" s="98">
        <f t="shared" si="21"/>
        <v>5762.4400000000005</v>
      </c>
      <c r="BM33" s="99">
        <f t="shared" si="37"/>
        <v>383.71</v>
      </c>
      <c r="BN33" s="99">
        <f t="shared" si="38"/>
        <v>2063</v>
      </c>
      <c r="BO33" s="182"/>
      <c r="BP33" s="182"/>
      <c r="BQ33" s="182">
        <v>0</v>
      </c>
      <c r="BR33" s="182"/>
      <c r="BS33" s="95">
        <v>0</v>
      </c>
      <c r="BT33" s="182"/>
      <c r="BU33" s="182">
        <v>0</v>
      </c>
      <c r="BV33" s="95">
        <v>0</v>
      </c>
      <c r="BW33" s="182"/>
      <c r="BX33" s="182">
        <v>0</v>
      </c>
      <c r="BY33" s="95"/>
      <c r="BZ33" s="182"/>
      <c r="CA33" s="95"/>
      <c r="CB33" s="95"/>
      <c r="CC33" s="182"/>
      <c r="CD33" s="95"/>
      <c r="CE33" s="95"/>
      <c r="CF33" s="182"/>
      <c r="CG33" s="95"/>
      <c r="CH33" s="95"/>
      <c r="CI33" s="182"/>
      <c r="CJ33" s="95"/>
      <c r="CK33" s="95"/>
      <c r="CL33" s="182"/>
      <c r="CM33" s="95"/>
      <c r="CN33" s="182">
        <f t="shared" si="39"/>
        <v>4989.5239227999991</v>
      </c>
      <c r="CO33" s="112">
        <f t="shared" si="44"/>
        <v>123.69000000000051</v>
      </c>
      <c r="CP33" s="182">
        <f t="shared" si="40"/>
        <v>0</v>
      </c>
      <c r="CQ33" s="95">
        <f t="shared" si="41"/>
        <v>8309.1500000000015</v>
      </c>
      <c r="CR33" s="112"/>
      <c r="CS33" s="113"/>
      <c r="CT33" s="113"/>
      <c r="CU33" s="187">
        <f t="shared" si="42"/>
        <v>193.387</v>
      </c>
      <c r="CV33" s="187">
        <f t="shared" si="43"/>
        <v>-2.9999999999859028E-3</v>
      </c>
      <c r="CW33" s="240"/>
    </row>
    <row r="34" spans="1:101" s="51" customFormat="1" ht="19.899999999999999" customHeight="1" x14ac:dyDescent="0.3">
      <c r="A34" s="148" t="s">
        <v>169</v>
      </c>
      <c r="B34" s="50">
        <v>13260479</v>
      </c>
      <c r="C34" s="148" t="s">
        <v>170</v>
      </c>
      <c r="D34" s="104" t="s">
        <v>171</v>
      </c>
      <c r="E34" s="104" t="s">
        <v>172</v>
      </c>
      <c r="F34" s="105">
        <v>7248</v>
      </c>
      <c r="G34" s="188">
        <v>0.83</v>
      </c>
      <c r="H34" s="118">
        <f t="shared" si="0"/>
        <v>6015.84</v>
      </c>
      <c r="I34" s="104" t="s">
        <v>173</v>
      </c>
      <c r="J34" s="107" t="s">
        <v>174</v>
      </c>
      <c r="K34" s="50" t="s">
        <v>175</v>
      </c>
      <c r="L34" s="104">
        <v>45159</v>
      </c>
      <c r="M34" s="108" t="s">
        <v>133</v>
      </c>
      <c r="N34" s="108" t="s">
        <v>134</v>
      </c>
      <c r="O34" s="193">
        <v>985.01</v>
      </c>
      <c r="P34" s="193">
        <v>0</v>
      </c>
      <c r="Q34" s="193">
        <v>0</v>
      </c>
      <c r="R34" s="109"/>
      <c r="S34" s="193">
        <v>32.409999999999997</v>
      </c>
      <c r="T34" s="193">
        <v>0</v>
      </c>
      <c r="U34" s="193">
        <v>10.8</v>
      </c>
      <c r="V34" s="193">
        <v>0</v>
      </c>
      <c r="W34" s="193"/>
      <c r="X34" s="193"/>
      <c r="Y34" s="193"/>
      <c r="Z34" s="193"/>
      <c r="AA34" s="193"/>
      <c r="AB34" s="194">
        <v>0.86063999999999996</v>
      </c>
      <c r="AC34" s="194">
        <v>0.86063999999999996</v>
      </c>
      <c r="AD34" s="106">
        <v>0</v>
      </c>
      <c r="AE34" s="118">
        <v>5428.07</v>
      </c>
      <c r="AF34" s="106">
        <v>5.03</v>
      </c>
      <c r="AG34" s="106">
        <f t="shared" ref="AG34:AG65" si="45">SUM(AD34:AF34)</f>
        <v>5433.0999999999995</v>
      </c>
      <c r="AH34" s="106">
        <f t="shared" ref="AH34:AH65" si="46">(AD34*AB34)+((AE34+AF34)*AC34)</f>
        <v>4675.9431839999997</v>
      </c>
      <c r="AI34" s="106">
        <f t="shared" si="4"/>
        <v>0</v>
      </c>
      <c r="AJ34" s="106">
        <f t="shared" si="5"/>
        <v>3584.2699999999995</v>
      </c>
      <c r="AK34" s="106">
        <f t="shared" si="6"/>
        <v>5.03</v>
      </c>
      <c r="AL34" s="132">
        <f t="shared" si="7"/>
        <v>3589.2999999999997</v>
      </c>
      <c r="AM34" s="198">
        <f t="shared" si="8"/>
        <v>3089.0951519999994</v>
      </c>
      <c r="AN34" s="106">
        <v>331.8</v>
      </c>
      <c r="AO34" s="106">
        <v>2263.8000000000002</v>
      </c>
      <c r="AP34" s="106">
        <v>466.2</v>
      </c>
      <c r="AQ34" s="95">
        <f t="shared" si="9"/>
        <v>3061.8</v>
      </c>
      <c r="AR34" s="183">
        <f t="shared" si="10"/>
        <v>2635.1075519999999</v>
      </c>
      <c r="AS34" s="106">
        <v>0</v>
      </c>
      <c r="AT34" s="106">
        <v>1843.8</v>
      </c>
      <c r="AU34" s="106">
        <v>0</v>
      </c>
      <c r="AV34" s="106">
        <f t="shared" si="34"/>
        <v>1843.8</v>
      </c>
      <c r="AW34" s="106">
        <v>0</v>
      </c>
      <c r="AX34" s="106">
        <v>1967.49</v>
      </c>
      <c r="AY34" s="106">
        <v>0</v>
      </c>
      <c r="AZ34" s="106">
        <f t="shared" si="35"/>
        <v>1967.49</v>
      </c>
      <c r="BA34" s="197">
        <f t="shared" si="36"/>
        <v>1693.3005936</v>
      </c>
      <c r="BB34" s="105">
        <f t="shared" si="14"/>
        <v>331.8</v>
      </c>
      <c r="BC34" s="105">
        <f t="shared" si="30"/>
        <v>285.56035200000002</v>
      </c>
      <c r="BD34" s="105">
        <f t="shared" si="15"/>
        <v>296.31000000000017</v>
      </c>
      <c r="BE34" s="105">
        <f t="shared" si="31"/>
        <v>255.01623840000013</v>
      </c>
      <c r="BF34" s="105">
        <f t="shared" si="16"/>
        <v>466.2</v>
      </c>
      <c r="BG34" s="105">
        <f t="shared" si="32"/>
        <v>401.230368</v>
      </c>
      <c r="BH34" s="105">
        <f t="shared" si="17"/>
        <v>1094.3100000000002</v>
      </c>
      <c r="BI34" s="105">
        <f t="shared" si="18"/>
        <v>941.80695840000021</v>
      </c>
      <c r="BJ34" s="186">
        <f t="shared" si="19"/>
        <v>5556.79</v>
      </c>
      <c r="BK34" s="182">
        <f t="shared" si="20"/>
        <v>4782.3957455999998</v>
      </c>
      <c r="BL34" s="98">
        <f t="shared" si="21"/>
        <v>5556.79</v>
      </c>
      <c r="BM34" s="99">
        <f t="shared" si="37"/>
        <v>0</v>
      </c>
      <c r="BN34" s="99">
        <f t="shared" si="38"/>
        <v>1967.49</v>
      </c>
      <c r="BO34" s="196"/>
      <c r="BP34" s="196"/>
      <c r="BQ34" s="196">
        <v>0</v>
      </c>
      <c r="BR34" s="196"/>
      <c r="BS34" s="106">
        <v>0</v>
      </c>
      <c r="BT34" s="196"/>
      <c r="BU34" s="196">
        <v>0</v>
      </c>
      <c r="BV34" s="106">
        <v>0</v>
      </c>
      <c r="BW34" s="196"/>
      <c r="BX34" s="196">
        <v>0</v>
      </c>
      <c r="BY34" s="118"/>
      <c r="BZ34" s="188"/>
      <c r="CA34" s="118"/>
      <c r="CB34" s="118"/>
      <c r="CC34" s="188"/>
      <c r="CD34" s="106"/>
      <c r="CE34" s="106"/>
      <c r="CF34" s="196"/>
      <c r="CG34" s="106"/>
      <c r="CH34" s="106"/>
      <c r="CI34" s="196"/>
      <c r="CJ34" s="106"/>
      <c r="CK34" s="106"/>
      <c r="CL34" s="196"/>
      <c r="CM34" s="106"/>
      <c r="CN34" s="182">
        <f t="shared" si="39"/>
        <v>4782.3957455999998</v>
      </c>
      <c r="CO34" s="112">
        <f t="shared" si="44"/>
        <v>4.5474735088646412E-13</v>
      </c>
      <c r="CP34" s="182">
        <f t="shared" si="40"/>
        <v>0</v>
      </c>
      <c r="CQ34" s="95">
        <f t="shared" si="41"/>
        <v>8618.59</v>
      </c>
      <c r="CR34" s="112"/>
      <c r="CS34" s="113"/>
      <c r="CT34" s="113"/>
      <c r="CU34" s="187">
        <f t="shared" si="42"/>
        <v>985.01695840000025</v>
      </c>
      <c r="CV34" s="187">
        <f t="shared" si="43"/>
        <v>6.958400000257825E-3</v>
      </c>
      <c r="CW34" s="240"/>
    </row>
    <row r="35" spans="1:101" s="51" customFormat="1" ht="19.899999999999999" customHeight="1" x14ac:dyDescent="0.3">
      <c r="A35" s="92" t="s">
        <v>169</v>
      </c>
      <c r="B35" s="49">
        <v>13260479</v>
      </c>
      <c r="C35" s="92" t="s">
        <v>170</v>
      </c>
      <c r="D35" s="93" t="s">
        <v>171</v>
      </c>
      <c r="E35" s="93" t="s">
        <v>172</v>
      </c>
      <c r="F35" s="94">
        <v>7248</v>
      </c>
      <c r="G35" s="182">
        <v>0.83</v>
      </c>
      <c r="H35" s="95">
        <f t="shared" si="0"/>
        <v>6015.84</v>
      </c>
      <c r="I35" s="93" t="s">
        <v>173</v>
      </c>
      <c r="J35" s="96" t="s">
        <v>174</v>
      </c>
      <c r="K35" s="49" t="s">
        <v>175</v>
      </c>
      <c r="L35" s="93">
        <v>45159</v>
      </c>
      <c r="M35" s="97" t="s">
        <v>135</v>
      </c>
      <c r="N35" s="97" t="s">
        <v>136</v>
      </c>
      <c r="O35" s="183">
        <v>351.58</v>
      </c>
      <c r="P35" s="183">
        <v>0</v>
      </c>
      <c r="Q35" s="183">
        <v>0</v>
      </c>
      <c r="R35" s="131"/>
      <c r="S35" s="183">
        <v>30.99</v>
      </c>
      <c r="T35" s="183">
        <v>0</v>
      </c>
      <c r="U35" s="183">
        <v>11.54</v>
      </c>
      <c r="V35" s="183">
        <v>0</v>
      </c>
      <c r="W35" s="183"/>
      <c r="X35" s="183"/>
      <c r="Y35" s="183"/>
      <c r="Z35" s="183"/>
      <c r="AA35" s="183"/>
      <c r="AB35" s="184">
        <v>0.86404199999999998</v>
      </c>
      <c r="AC35" s="184">
        <v>0.86404199999999998</v>
      </c>
      <c r="AD35" s="95">
        <v>0</v>
      </c>
      <c r="AE35" s="95">
        <v>5237</v>
      </c>
      <c r="AF35" s="95">
        <v>0.02</v>
      </c>
      <c r="AG35" s="95">
        <f t="shared" si="45"/>
        <v>5237.0200000000004</v>
      </c>
      <c r="AH35" s="95">
        <f t="shared" si="46"/>
        <v>4525.0052348400004</v>
      </c>
      <c r="AI35" s="95">
        <f t="shared" si="4"/>
        <v>0</v>
      </c>
      <c r="AJ35" s="95">
        <f t="shared" si="5"/>
        <v>2948</v>
      </c>
      <c r="AK35" s="95">
        <f t="shared" si="6"/>
        <v>0.02</v>
      </c>
      <c r="AL35" s="133">
        <f t="shared" si="7"/>
        <v>2948.02</v>
      </c>
      <c r="AM35" s="199">
        <f t="shared" si="8"/>
        <v>2547.2130968399997</v>
      </c>
      <c r="AN35" s="95">
        <v>336.67</v>
      </c>
      <c r="AO35" s="95">
        <v>1852.2</v>
      </c>
      <c r="AP35" s="95">
        <v>457.8</v>
      </c>
      <c r="AQ35" s="106">
        <f t="shared" si="9"/>
        <v>2646.67</v>
      </c>
      <c r="AR35" s="193">
        <f t="shared" si="10"/>
        <v>2286.8340401400001</v>
      </c>
      <c r="AS35" s="95">
        <v>0</v>
      </c>
      <c r="AT35" s="95">
        <v>2289</v>
      </c>
      <c r="AU35" s="95">
        <v>0</v>
      </c>
      <c r="AV35" s="95">
        <f t="shared" si="34"/>
        <v>2289</v>
      </c>
      <c r="AW35" s="95">
        <v>79</v>
      </c>
      <c r="AX35" s="95">
        <v>1752.2</v>
      </c>
      <c r="AY35" s="95">
        <v>457.8</v>
      </c>
      <c r="AZ35" s="95">
        <f t="shared" si="35"/>
        <v>2289</v>
      </c>
      <c r="BA35" s="197">
        <f t="shared" si="36"/>
        <v>1977.7921379999998</v>
      </c>
      <c r="BB35" s="94">
        <f t="shared" si="14"/>
        <v>257.67</v>
      </c>
      <c r="BC35" s="105">
        <f t="shared" si="30"/>
        <v>222.63770214000002</v>
      </c>
      <c r="BD35" s="94">
        <f t="shared" si="15"/>
        <v>100</v>
      </c>
      <c r="BE35" s="94">
        <f t="shared" si="31"/>
        <v>86.404200000000003</v>
      </c>
      <c r="BF35" s="94">
        <f t="shared" si="16"/>
        <v>0</v>
      </c>
      <c r="BG35" s="94">
        <f t="shared" si="32"/>
        <v>0</v>
      </c>
      <c r="BH35" s="94">
        <f t="shared" si="17"/>
        <v>357.67</v>
      </c>
      <c r="BI35" s="94">
        <f t="shared" si="18"/>
        <v>309.04190214000005</v>
      </c>
      <c r="BJ35" s="186">
        <f t="shared" si="19"/>
        <v>5237.0200000000004</v>
      </c>
      <c r="BK35" s="182">
        <f t="shared" si="20"/>
        <v>4525.0052348400004</v>
      </c>
      <c r="BL35" s="98">
        <f t="shared" si="21"/>
        <v>5237.0200000000004</v>
      </c>
      <c r="BM35" s="99">
        <f t="shared" si="37"/>
        <v>79</v>
      </c>
      <c r="BN35" s="99">
        <f t="shared" si="38"/>
        <v>2210</v>
      </c>
      <c r="BO35" s="182"/>
      <c r="BP35" s="182"/>
      <c r="BQ35" s="182">
        <v>0</v>
      </c>
      <c r="BR35" s="182"/>
      <c r="BS35" s="95">
        <v>0</v>
      </c>
      <c r="BT35" s="182"/>
      <c r="BU35" s="182">
        <v>0</v>
      </c>
      <c r="BV35" s="95">
        <v>0</v>
      </c>
      <c r="BW35" s="182"/>
      <c r="BX35" s="182">
        <v>0</v>
      </c>
      <c r="BY35" s="95"/>
      <c r="BZ35" s="182"/>
      <c r="CA35" s="95"/>
      <c r="CB35" s="95"/>
      <c r="CC35" s="182"/>
      <c r="CD35" s="95"/>
      <c r="CE35" s="95"/>
      <c r="CF35" s="182"/>
      <c r="CG35" s="95"/>
      <c r="CH35" s="95"/>
      <c r="CI35" s="182"/>
      <c r="CJ35" s="95"/>
      <c r="CK35" s="95"/>
      <c r="CL35" s="182"/>
      <c r="CM35" s="95"/>
      <c r="CN35" s="182">
        <f t="shared" si="39"/>
        <v>4525.0052348400004</v>
      </c>
      <c r="CO35" s="112">
        <f t="shared" si="44"/>
        <v>4.5474735088646412E-13</v>
      </c>
      <c r="CP35" s="182">
        <f t="shared" si="40"/>
        <v>0</v>
      </c>
      <c r="CQ35" s="95">
        <f t="shared" si="41"/>
        <v>7883.6900000000005</v>
      </c>
      <c r="CR35" s="112"/>
      <c r="CS35" s="113"/>
      <c r="CT35" s="113"/>
      <c r="CU35" s="187"/>
      <c r="CV35" s="187"/>
      <c r="CW35" s="240"/>
    </row>
    <row r="36" spans="1:101" s="51" customFormat="1" ht="19.899999999999999" customHeight="1" x14ac:dyDescent="0.3">
      <c r="A36" s="148" t="s">
        <v>169</v>
      </c>
      <c r="B36" s="50">
        <v>13260479</v>
      </c>
      <c r="C36" s="148" t="s">
        <v>170</v>
      </c>
      <c r="D36" s="104" t="s">
        <v>171</v>
      </c>
      <c r="E36" s="104" t="s">
        <v>172</v>
      </c>
      <c r="F36" s="105">
        <v>7248</v>
      </c>
      <c r="G36" s="188">
        <v>0.83</v>
      </c>
      <c r="H36" s="118">
        <f t="shared" si="0"/>
        <v>6015.84</v>
      </c>
      <c r="I36" s="104" t="s">
        <v>173</v>
      </c>
      <c r="J36" s="107" t="s">
        <v>174</v>
      </c>
      <c r="K36" s="50" t="s">
        <v>175</v>
      </c>
      <c r="L36" s="104">
        <v>45159</v>
      </c>
      <c r="M36" s="108" t="s">
        <v>137</v>
      </c>
      <c r="N36" s="108" t="s">
        <v>138</v>
      </c>
      <c r="O36" s="193">
        <v>564.66999999999996</v>
      </c>
      <c r="P36" s="193">
        <v>0</v>
      </c>
      <c r="Q36" s="193">
        <v>0</v>
      </c>
      <c r="R36" s="109"/>
      <c r="S36" s="193">
        <v>32.53</v>
      </c>
      <c r="T36" s="193">
        <v>0</v>
      </c>
      <c r="U36" s="193">
        <v>11.57</v>
      </c>
      <c r="V36" s="193">
        <v>0</v>
      </c>
      <c r="W36" s="193"/>
      <c r="X36" s="193"/>
      <c r="Y36" s="193"/>
      <c r="Z36" s="193"/>
      <c r="AA36" s="193"/>
      <c r="AB36" s="194">
        <v>0.82458600000000004</v>
      </c>
      <c r="AC36" s="194">
        <v>0.82458600000000004</v>
      </c>
      <c r="AD36" s="106">
        <v>0</v>
      </c>
      <c r="AE36" s="118">
        <v>5653.06</v>
      </c>
      <c r="AF36" s="106">
        <v>0</v>
      </c>
      <c r="AG36" s="106">
        <f t="shared" si="45"/>
        <v>5653.06</v>
      </c>
      <c r="AH36" s="106">
        <f t="shared" si="46"/>
        <v>4661.4341331600008</v>
      </c>
      <c r="AI36" s="106">
        <f t="shared" si="4"/>
        <v>0</v>
      </c>
      <c r="AJ36" s="106">
        <f t="shared" si="5"/>
        <v>3372.4600000000005</v>
      </c>
      <c r="AK36" s="106">
        <f t="shared" si="6"/>
        <v>0</v>
      </c>
      <c r="AL36" s="132">
        <f t="shared" si="7"/>
        <v>3372.4600000000005</v>
      </c>
      <c r="AM36" s="198">
        <f t="shared" si="8"/>
        <v>2780.8833015600007</v>
      </c>
      <c r="AN36" s="106">
        <v>408.7</v>
      </c>
      <c r="AO36" s="106">
        <v>1810.2</v>
      </c>
      <c r="AP36" s="106">
        <v>693</v>
      </c>
      <c r="AQ36" s="95">
        <f t="shared" si="9"/>
        <v>2911.9</v>
      </c>
      <c r="AR36" s="183">
        <f t="shared" si="10"/>
        <v>2401.1119733999999</v>
      </c>
      <c r="AS36" s="106">
        <v>0</v>
      </c>
      <c r="AT36" s="106">
        <v>2280.6</v>
      </c>
      <c r="AU36" s="106">
        <v>0</v>
      </c>
      <c r="AV36" s="106">
        <f t="shared" si="34"/>
        <v>2280.6</v>
      </c>
      <c r="AW36" s="106">
        <v>0</v>
      </c>
      <c r="AX36" s="106">
        <v>1710.2</v>
      </c>
      <c r="AY36" s="106">
        <v>570.4</v>
      </c>
      <c r="AZ36" s="106">
        <f t="shared" si="35"/>
        <v>2280.6</v>
      </c>
      <c r="BA36" s="197">
        <f t="shared" si="36"/>
        <v>1880.5508316</v>
      </c>
      <c r="BB36" s="105">
        <f t="shared" si="14"/>
        <v>408.7</v>
      </c>
      <c r="BC36" s="105">
        <f t="shared" si="30"/>
        <v>337.00829820000001</v>
      </c>
      <c r="BD36" s="105">
        <f t="shared" si="15"/>
        <v>100</v>
      </c>
      <c r="BE36" s="105">
        <f t="shared" si="31"/>
        <v>82.458600000000004</v>
      </c>
      <c r="BF36" s="105">
        <f t="shared" si="16"/>
        <v>122.60000000000002</v>
      </c>
      <c r="BG36" s="105">
        <f t="shared" si="32"/>
        <v>101.09424360000003</v>
      </c>
      <c r="BH36" s="105">
        <f t="shared" si="17"/>
        <v>631.29999999999995</v>
      </c>
      <c r="BI36" s="105">
        <f t="shared" si="18"/>
        <v>520.56114180000009</v>
      </c>
      <c r="BJ36" s="186">
        <f t="shared" si="19"/>
        <v>5653.06</v>
      </c>
      <c r="BK36" s="182">
        <f t="shared" si="20"/>
        <v>4661.4341331600008</v>
      </c>
      <c r="BL36" s="98">
        <f t="shared" si="21"/>
        <v>5653.06</v>
      </c>
      <c r="BM36" s="99">
        <f t="shared" si="37"/>
        <v>0</v>
      </c>
      <c r="BN36" s="99">
        <f t="shared" si="38"/>
        <v>2280.6</v>
      </c>
      <c r="BO36" s="196"/>
      <c r="BP36" s="196"/>
      <c r="BQ36" s="196">
        <v>0</v>
      </c>
      <c r="BR36" s="196"/>
      <c r="BS36" s="106">
        <v>0</v>
      </c>
      <c r="BT36" s="196"/>
      <c r="BU36" s="196">
        <v>0</v>
      </c>
      <c r="BV36" s="106">
        <v>0</v>
      </c>
      <c r="BW36" s="196"/>
      <c r="BX36" s="196">
        <v>0</v>
      </c>
      <c r="BY36" s="118"/>
      <c r="BZ36" s="188"/>
      <c r="CA36" s="118"/>
      <c r="CB36" s="118"/>
      <c r="CC36" s="188"/>
      <c r="CD36" s="106"/>
      <c r="CE36" s="106"/>
      <c r="CF36" s="196"/>
      <c r="CG36" s="106"/>
      <c r="CH36" s="106"/>
      <c r="CI36" s="196"/>
      <c r="CJ36" s="106"/>
      <c r="CK36" s="106"/>
      <c r="CL36" s="196"/>
      <c r="CM36" s="106"/>
      <c r="CN36" s="182">
        <f t="shared" si="39"/>
        <v>4661.4341331600008</v>
      </c>
      <c r="CO36" s="112">
        <f t="shared" si="44"/>
        <v>4.5474735088646412E-13</v>
      </c>
      <c r="CP36" s="182">
        <f t="shared" si="40"/>
        <v>0</v>
      </c>
      <c r="CQ36" s="95">
        <f t="shared" si="41"/>
        <v>8564.9600000000009</v>
      </c>
      <c r="CR36" s="112"/>
      <c r="CS36" s="113"/>
      <c r="CT36" s="113"/>
      <c r="CU36" s="187"/>
      <c r="CV36" s="187"/>
      <c r="CW36" s="240"/>
    </row>
    <row r="37" spans="1:101" s="51" customFormat="1" ht="19.899999999999999" customHeight="1" x14ac:dyDescent="0.3">
      <c r="A37" s="92" t="s">
        <v>169</v>
      </c>
      <c r="B37" s="49">
        <v>13260479</v>
      </c>
      <c r="C37" s="92" t="s">
        <v>170</v>
      </c>
      <c r="D37" s="93" t="s">
        <v>171</v>
      </c>
      <c r="E37" s="93" t="s">
        <v>172</v>
      </c>
      <c r="F37" s="94">
        <v>7248</v>
      </c>
      <c r="G37" s="182">
        <v>0.83</v>
      </c>
      <c r="H37" s="95">
        <f t="shared" si="0"/>
        <v>6015.84</v>
      </c>
      <c r="I37" s="93" t="s">
        <v>173</v>
      </c>
      <c r="J37" s="96" t="s">
        <v>174</v>
      </c>
      <c r="K37" s="49" t="s">
        <v>175</v>
      </c>
      <c r="L37" s="93">
        <v>45159</v>
      </c>
      <c r="M37" s="97" t="s">
        <v>139</v>
      </c>
      <c r="N37" s="97" t="s">
        <v>140</v>
      </c>
      <c r="O37" s="183">
        <v>1583.68</v>
      </c>
      <c r="P37" s="183">
        <v>0</v>
      </c>
      <c r="Q37" s="183">
        <v>0</v>
      </c>
      <c r="R37" s="131"/>
      <c r="S37" s="183">
        <v>31.45</v>
      </c>
      <c r="T37" s="183">
        <v>0</v>
      </c>
      <c r="U37" s="183">
        <v>11.04</v>
      </c>
      <c r="V37" s="183">
        <v>0</v>
      </c>
      <c r="W37" s="183"/>
      <c r="X37" s="183"/>
      <c r="Y37" s="183"/>
      <c r="Z37" s="183"/>
      <c r="AA37" s="183"/>
      <c r="AB37" s="184">
        <v>0.83509900000000004</v>
      </c>
      <c r="AC37" s="184">
        <v>0.83509900000000004</v>
      </c>
      <c r="AD37" s="95">
        <v>0</v>
      </c>
      <c r="AE37" s="95">
        <v>4375.8</v>
      </c>
      <c r="AF37" s="95">
        <v>0</v>
      </c>
      <c r="AG37" s="95">
        <f t="shared" si="45"/>
        <v>4375.8</v>
      </c>
      <c r="AH37" s="95">
        <f t="shared" si="46"/>
        <v>3654.2262042000002</v>
      </c>
      <c r="AI37" s="95">
        <f t="shared" si="4"/>
        <v>0</v>
      </c>
      <c r="AJ37" s="95">
        <f t="shared" si="5"/>
        <v>2914.2000000000003</v>
      </c>
      <c r="AK37" s="95">
        <f t="shared" si="6"/>
        <v>0</v>
      </c>
      <c r="AL37" s="133">
        <f t="shared" si="7"/>
        <v>2914.2000000000003</v>
      </c>
      <c r="AM37" s="199">
        <f t="shared" si="8"/>
        <v>2433.6455058000001</v>
      </c>
      <c r="AN37" s="95">
        <v>476.32</v>
      </c>
      <c r="AO37" s="95">
        <v>2037</v>
      </c>
      <c r="AP37" s="95">
        <v>793.8</v>
      </c>
      <c r="AQ37" s="106">
        <f t="shared" si="9"/>
        <v>3307.12</v>
      </c>
      <c r="AR37" s="193">
        <f t="shared" si="10"/>
        <v>2761.7726048800005</v>
      </c>
      <c r="AS37" s="95">
        <v>0</v>
      </c>
      <c r="AT37" s="95">
        <v>1461.6</v>
      </c>
      <c r="AU37" s="95">
        <v>0</v>
      </c>
      <c r="AV37" s="95">
        <f t="shared" si="34"/>
        <v>1461.6</v>
      </c>
      <c r="AW37" s="95">
        <v>0</v>
      </c>
      <c r="AX37" s="95">
        <v>1461.6</v>
      </c>
      <c r="AY37" s="95">
        <v>0</v>
      </c>
      <c r="AZ37" s="95">
        <f t="shared" si="35"/>
        <v>1461.6</v>
      </c>
      <c r="BA37" s="197">
        <f t="shared" si="36"/>
        <v>1220.5806984000001</v>
      </c>
      <c r="BB37" s="94">
        <f t="shared" si="14"/>
        <v>476.32</v>
      </c>
      <c r="BC37" s="105">
        <f t="shared" si="30"/>
        <v>397.77435567999999</v>
      </c>
      <c r="BD37" s="94">
        <f t="shared" si="15"/>
        <v>575.40000000000009</v>
      </c>
      <c r="BE37" s="94">
        <f t="shared" si="31"/>
        <v>480.51596460000007</v>
      </c>
      <c r="BF37" s="94">
        <f t="shared" si="16"/>
        <v>793.8</v>
      </c>
      <c r="BG37" s="94">
        <f t="shared" si="32"/>
        <v>662.9015862</v>
      </c>
      <c r="BH37" s="94">
        <f t="shared" si="17"/>
        <v>1845.52</v>
      </c>
      <c r="BI37" s="94">
        <f t="shared" si="18"/>
        <v>1541.1919064799999</v>
      </c>
      <c r="BJ37" s="186">
        <f t="shared" si="19"/>
        <v>4375.8</v>
      </c>
      <c r="BK37" s="182">
        <f t="shared" si="20"/>
        <v>3654.2262042000002</v>
      </c>
      <c r="BL37" s="98">
        <f t="shared" si="21"/>
        <v>4375.8</v>
      </c>
      <c r="BM37" s="99">
        <f t="shared" si="37"/>
        <v>0</v>
      </c>
      <c r="BN37" s="99">
        <f t="shared" si="38"/>
        <v>1461.6</v>
      </c>
      <c r="BO37" s="182"/>
      <c r="BP37" s="182"/>
      <c r="BQ37" s="182">
        <v>0</v>
      </c>
      <c r="BR37" s="182"/>
      <c r="BS37" s="95">
        <v>0</v>
      </c>
      <c r="BT37" s="182"/>
      <c r="BU37" s="182">
        <v>0</v>
      </c>
      <c r="BV37" s="95">
        <v>0</v>
      </c>
      <c r="BW37" s="182"/>
      <c r="BX37" s="182">
        <v>0</v>
      </c>
      <c r="BY37" s="95"/>
      <c r="BZ37" s="182"/>
      <c r="CA37" s="95"/>
      <c r="CB37" s="95"/>
      <c r="CC37" s="182"/>
      <c r="CD37" s="95"/>
      <c r="CE37" s="95"/>
      <c r="CF37" s="182"/>
      <c r="CG37" s="95"/>
      <c r="CH37" s="95"/>
      <c r="CI37" s="182"/>
      <c r="CJ37" s="95"/>
      <c r="CK37" s="95"/>
      <c r="CL37" s="182"/>
      <c r="CM37" s="95"/>
      <c r="CN37" s="182">
        <f t="shared" si="39"/>
        <v>3654.2262042000002</v>
      </c>
      <c r="CO37" s="112">
        <f t="shared" si="44"/>
        <v>4.5474735088646412E-13</v>
      </c>
      <c r="CP37" s="182">
        <f t="shared" si="40"/>
        <v>0</v>
      </c>
      <c r="CQ37" s="95">
        <f t="shared" si="41"/>
        <v>7682.92</v>
      </c>
      <c r="CR37" s="112"/>
      <c r="CS37" s="113"/>
      <c r="CT37" s="113"/>
      <c r="CU37" s="187"/>
      <c r="CV37" s="187"/>
      <c r="CW37" s="240"/>
    </row>
    <row r="38" spans="1:101" s="51" customFormat="1" ht="19.899999999999999" customHeight="1" x14ac:dyDescent="0.3">
      <c r="A38" s="148" t="s">
        <v>169</v>
      </c>
      <c r="B38" s="50">
        <v>13260479</v>
      </c>
      <c r="C38" s="148" t="s">
        <v>170</v>
      </c>
      <c r="D38" s="104" t="s">
        <v>171</v>
      </c>
      <c r="E38" s="104" t="s">
        <v>172</v>
      </c>
      <c r="F38" s="105">
        <v>7248</v>
      </c>
      <c r="G38" s="188">
        <v>0.83</v>
      </c>
      <c r="H38" s="118">
        <f t="shared" si="0"/>
        <v>6015.84</v>
      </c>
      <c r="I38" s="104" t="s">
        <v>173</v>
      </c>
      <c r="J38" s="107" t="s">
        <v>174</v>
      </c>
      <c r="K38" s="50" t="s">
        <v>175</v>
      </c>
      <c r="L38" s="104">
        <v>45159</v>
      </c>
      <c r="M38" s="108" t="s">
        <v>141</v>
      </c>
      <c r="N38" s="108" t="s">
        <v>142</v>
      </c>
      <c r="O38" s="193">
        <v>1852.3</v>
      </c>
      <c r="P38" s="193">
        <v>0</v>
      </c>
      <c r="Q38" s="193">
        <v>0</v>
      </c>
      <c r="R38" s="109"/>
      <c r="S38" s="193">
        <v>33.33</v>
      </c>
      <c r="T38" s="193">
        <v>0</v>
      </c>
      <c r="U38" s="193">
        <v>11.83</v>
      </c>
      <c r="V38" s="193">
        <v>0</v>
      </c>
      <c r="W38" s="193"/>
      <c r="X38" s="193"/>
      <c r="Y38" s="193"/>
      <c r="Z38" s="193"/>
      <c r="AA38" s="193"/>
      <c r="AB38" s="194">
        <v>0.84471399999999996</v>
      </c>
      <c r="AC38" s="194">
        <v>0.84471399999999996</v>
      </c>
      <c r="AD38" s="106">
        <v>0</v>
      </c>
      <c r="AE38" s="118">
        <v>4378.1899999999996</v>
      </c>
      <c r="AF38" s="106">
        <v>0</v>
      </c>
      <c r="AG38" s="106">
        <f t="shared" si="45"/>
        <v>4378.1899999999996</v>
      </c>
      <c r="AH38" s="106">
        <f t="shared" si="46"/>
        <v>3698.3183876599996</v>
      </c>
      <c r="AI38" s="106">
        <f t="shared" si="4"/>
        <v>0</v>
      </c>
      <c r="AJ38" s="106">
        <f t="shared" si="5"/>
        <v>2987.99</v>
      </c>
      <c r="AK38" s="106">
        <f t="shared" si="6"/>
        <v>0</v>
      </c>
      <c r="AL38" s="132">
        <f t="shared" si="7"/>
        <v>2987.99</v>
      </c>
      <c r="AM38" s="198">
        <f t="shared" si="8"/>
        <v>2523.9969848599999</v>
      </c>
      <c r="AN38" s="106">
        <v>476.15</v>
      </c>
      <c r="AO38" s="106">
        <v>2238.6</v>
      </c>
      <c r="AP38" s="106">
        <v>814.8</v>
      </c>
      <c r="AQ38" s="95">
        <f t="shared" si="9"/>
        <v>3529.55</v>
      </c>
      <c r="AR38" s="183">
        <f t="shared" si="10"/>
        <v>2981.4602986999994</v>
      </c>
      <c r="AS38" s="106">
        <v>0</v>
      </c>
      <c r="AT38" s="106">
        <v>1390.2</v>
      </c>
      <c r="AU38" s="106">
        <v>0</v>
      </c>
      <c r="AV38" s="106">
        <f t="shared" si="34"/>
        <v>1390.2</v>
      </c>
      <c r="AW38" s="106">
        <v>0</v>
      </c>
      <c r="AX38" s="106">
        <v>1390.2</v>
      </c>
      <c r="AY38" s="106">
        <v>0</v>
      </c>
      <c r="AZ38" s="106">
        <f t="shared" si="35"/>
        <v>1390.2</v>
      </c>
      <c r="BA38" s="197">
        <f t="shared" si="36"/>
        <v>1174.3214028</v>
      </c>
      <c r="BB38" s="105">
        <f t="shared" si="14"/>
        <v>476.15</v>
      </c>
      <c r="BC38" s="105">
        <f t="shared" si="30"/>
        <v>402.21057109999998</v>
      </c>
      <c r="BD38" s="105">
        <f t="shared" si="15"/>
        <v>848.39999999999986</v>
      </c>
      <c r="BE38" s="105">
        <f t="shared" si="31"/>
        <v>716.65535759999989</v>
      </c>
      <c r="BF38" s="105">
        <f t="shared" si="16"/>
        <v>814.8</v>
      </c>
      <c r="BG38" s="105">
        <f t="shared" si="32"/>
        <v>688.27296719999993</v>
      </c>
      <c r="BH38" s="105">
        <f t="shared" si="17"/>
        <v>2139.3499999999995</v>
      </c>
      <c r="BI38" s="105">
        <f t="shared" si="18"/>
        <v>1807.1388958999996</v>
      </c>
      <c r="BJ38" s="186">
        <f t="shared" si="19"/>
        <v>4378.1899999999996</v>
      </c>
      <c r="BK38" s="182">
        <f t="shared" si="20"/>
        <v>3698.3183876599996</v>
      </c>
      <c r="BL38" s="98">
        <f t="shared" si="21"/>
        <v>4378.1899999999996</v>
      </c>
      <c r="BM38" s="99">
        <f t="shared" si="37"/>
        <v>0</v>
      </c>
      <c r="BN38" s="99">
        <f t="shared" si="38"/>
        <v>1390.2</v>
      </c>
      <c r="BO38" s="196"/>
      <c r="BP38" s="196"/>
      <c r="BQ38" s="196">
        <v>0</v>
      </c>
      <c r="BR38" s="196"/>
      <c r="BS38" s="106">
        <v>0</v>
      </c>
      <c r="BT38" s="196"/>
      <c r="BU38" s="196">
        <v>0</v>
      </c>
      <c r="BV38" s="106">
        <v>0</v>
      </c>
      <c r="BW38" s="196"/>
      <c r="BX38" s="196">
        <v>0</v>
      </c>
      <c r="BY38" s="118"/>
      <c r="BZ38" s="188"/>
      <c r="CA38" s="118"/>
      <c r="CB38" s="118"/>
      <c r="CC38" s="188"/>
      <c r="CD38" s="106"/>
      <c r="CE38" s="106"/>
      <c r="CF38" s="196"/>
      <c r="CG38" s="106"/>
      <c r="CH38" s="106"/>
      <c r="CI38" s="196"/>
      <c r="CJ38" s="106"/>
      <c r="CK38" s="106"/>
      <c r="CL38" s="196"/>
      <c r="CM38" s="106"/>
      <c r="CN38" s="182">
        <f t="shared" si="39"/>
        <v>3698.3183876599996</v>
      </c>
      <c r="CO38" s="112">
        <f t="shared" si="44"/>
        <v>4.5474735088646412E-13</v>
      </c>
      <c r="CP38" s="182">
        <f t="shared" si="40"/>
        <v>0</v>
      </c>
      <c r="CQ38" s="95">
        <f t="shared" si="41"/>
        <v>7907.74</v>
      </c>
      <c r="CR38" s="112"/>
      <c r="CS38" s="113"/>
      <c r="CT38" s="113"/>
      <c r="CU38" s="187"/>
      <c r="CV38" s="187"/>
      <c r="CW38" s="240"/>
    </row>
    <row r="39" spans="1:101" s="51" customFormat="1" ht="19.899999999999999" customHeight="1" x14ac:dyDescent="0.3">
      <c r="A39" s="92" t="s">
        <v>169</v>
      </c>
      <c r="B39" s="49">
        <v>13260479</v>
      </c>
      <c r="C39" s="92" t="s">
        <v>170</v>
      </c>
      <c r="D39" s="93" t="s">
        <v>171</v>
      </c>
      <c r="E39" s="93" t="s">
        <v>172</v>
      </c>
      <c r="F39" s="94">
        <v>7248</v>
      </c>
      <c r="G39" s="182">
        <v>0.83</v>
      </c>
      <c r="H39" s="95">
        <f t="shared" si="0"/>
        <v>6015.84</v>
      </c>
      <c r="I39" s="93" t="s">
        <v>173</v>
      </c>
      <c r="J39" s="96" t="s">
        <v>174</v>
      </c>
      <c r="K39" s="49" t="s">
        <v>175</v>
      </c>
      <c r="L39" s="93">
        <v>45159</v>
      </c>
      <c r="M39" s="97" t="s">
        <v>130</v>
      </c>
      <c r="N39" s="97" t="s">
        <v>143</v>
      </c>
      <c r="O39" s="183">
        <v>1941.69</v>
      </c>
      <c r="P39" s="183">
        <v>0</v>
      </c>
      <c r="Q39" s="183">
        <v>0</v>
      </c>
      <c r="R39" s="131"/>
      <c r="S39" s="183">
        <v>32.44</v>
      </c>
      <c r="T39" s="183">
        <v>0</v>
      </c>
      <c r="U39" s="183">
        <v>11.22</v>
      </c>
      <c r="V39" s="183">
        <v>0</v>
      </c>
      <c r="W39" s="183"/>
      <c r="X39" s="183"/>
      <c r="Y39" s="183"/>
      <c r="Z39" s="183"/>
      <c r="AA39" s="183"/>
      <c r="AB39" s="184">
        <v>0.82213700000000001</v>
      </c>
      <c r="AC39" s="184">
        <v>0.82213700000000001</v>
      </c>
      <c r="AD39" s="95">
        <v>0</v>
      </c>
      <c r="AE39" s="95">
        <v>5003.1000000000004</v>
      </c>
      <c r="AF39" s="95">
        <v>0.01</v>
      </c>
      <c r="AG39" s="95">
        <f t="shared" si="45"/>
        <v>5003.1100000000006</v>
      </c>
      <c r="AH39" s="95">
        <f t="shared" si="46"/>
        <v>4113.2418460700001</v>
      </c>
      <c r="AI39" s="95">
        <f t="shared" si="4"/>
        <v>0</v>
      </c>
      <c r="AJ39" s="95">
        <f t="shared" si="5"/>
        <v>3528.9000000000005</v>
      </c>
      <c r="AK39" s="95">
        <f t="shared" si="6"/>
        <v>0.01</v>
      </c>
      <c r="AL39" s="133">
        <f t="shared" si="7"/>
        <v>3528.9100000000008</v>
      </c>
      <c r="AM39" s="199">
        <f t="shared" si="8"/>
        <v>2901.2474806700006</v>
      </c>
      <c r="AN39" s="95">
        <v>490.05</v>
      </c>
      <c r="AO39" s="95">
        <v>2427.6</v>
      </c>
      <c r="AP39" s="95">
        <v>865.2</v>
      </c>
      <c r="AQ39" s="106">
        <f t="shared" si="9"/>
        <v>3782.8500000000004</v>
      </c>
      <c r="AR39" s="193">
        <f t="shared" si="10"/>
        <v>3110.0209504499999</v>
      </c>
      <c r="AS39" s="95">
        <v>0</v>
      </c>
      <c r="AT39" s="95">
        <v>1474.2</v>
      </c>
      <c r="AU39" s="95">
        <v>0</v>
      </c>
      <c r="AV39" s="95">
        <f t="shared" si="34"/>
        <v>1474.2</v>
      </c>
      <c r="AW39" s="95">
        <v>0</v>
      </c>
      <c r="AX39" s="95">
        <v>1474.2</v>
      </c>
      <c r="AY39" s="95">
        <v>0</v>
      </c>
      <c r="AZ39" s="95">
        <f t="shared" si="35"/>
        <v>1474.2</v>
      </c>
      <c r="BA39" s="197">
        <f t="shared" si="36"/>
        <v>1211.9943654000001</v>
      </c>
      <c r="BB39" s="94">
        <f t="shared" si="14"/>
        <v>490.05</v>
      </c>
      <c r="BC39" s="105">
        <f t="shared" si="30"/>
        <v>402.88823685</v>
      </c>
      <c r="BD39" s="94">
        <f t="shared" si="15"/>
        <v>953.39999999999986</v>
      </c>
      <c r="BE39" s="94">
        <f t="shared" si="31"/>
        <v>783.82541579999986</v>
      </c>
      <c r="BF39" s="94">
        <f t="shared" si="16"/>
        <v>865.2</v>
      </c>
      <c r="BG39" s="94">
        <f t="shared" si="32"/>
        <v>711.31293240000002</v>
      </c>
      <c r="BH39" s="94">
        <f t="shared" si="17"/>
        <v>2308.6499999999996</v>
      </c>
      <c r="BI39" s="94">
        <f t="shared" si="18"/>
        <v>1898.02658505</v>
      </c>
      <c r="BJ39" s="186">
        <f t="shared" si="19"/>
        <v>5003.1100000000006</v>
      </c>
      <c r="BK39" s="182">
        <f t="shared" si="20"/>
        <v>4113.2418460700001</v>
      </c>
      <c r="BL39" s="98">
        <f t="shared" si="21"/>
        <v>5003.1100000000006</v>
      </c>
      <c r="BM39" s="99">
        <f t="shared" si="37"/>
        <v>0</v>
      </c>
      <c r="BN39" s="99">
        <f t="shared" si="38"/>
        <v>1474.2</v>
      </c>
      <c r="BO39" s="182"/>
      <c r="BP39" s="182"/>
      <c r="BQ39" s="182">
        <v>0</v>
      </c>
      <c r="BR39" s="182"/>
      <c r="BS39" s="95">
        <v>0</v>
      </c>
      <c r="BT39" s="182"/>
      <c r="BU39" s="182">
        <v>0</v>
      </c>
      <c r="BV39" s="95">
        <v>0</v>
      </c>
      <c r="BW39" s="182"/>
      <c r="BX39" s="182">
        <v>0</v>
      </c>
      <c r="BY39" s="95"/>
      <c r="BZ39" s="182"/>
      <c r="CA39" s="95"/>
      <c r="CB39" s="95"/>
      <c r="CC39" s="182"/>
      <c r="CD39" s="95"/>
      <c r="CE39" s="95"/>
      <c r="CF39" s="182"/>
      <c r="CG39" s="95"/>
      <c r="CH39" s="95"/>
      <c r="CI39" s="182"/>
      <c r="CJ39" s="95"/>
      <c r="CK39" s="95"/>
      <c r="CL39" s="182"/>
      <c r="CM39" s="95"/>
      <c r="CN39" s="182">
        <f t="shared" si="39"/>
        <v>4113.2418460700001</v>
      </c>
      <c r="CO39" s="112">
        <f t="shared" si="44"/>
        <v>4.5474735088646412E-13</v>
      </c>
      <c r="CP39" s="182">
        <f t="shared" si="40"/>
        <v>0</v>
      </c>
      <c r="CQ39" s="95">
        <f t="shared" si="41"/>
        <v>8785.9600000000009</v>
      </c>
      <c r="CR39" s="112"/>
      <c r="CS39" s="113"/>
      <c r="CT39" s="113"/>
      <c r="CU39" s="187"/>
      <c r="CV39" s="187"/>
      <c r="CW39" s="240"/>
    </row>
    <row r="40" spans="1:101" s="51" customFormat="1" ht="19.899999999999999" customHeight="1" x14ac:dyDescent="0.3">
      <c r="A40" s="148" t="s">
        <v>169</v>
      </c>
      <c r="B40" s="50">
        <v>13260479</v>
      </c>
      <c r="C40" s="148" t="s">
        <v>170</v>
      </c>
      <c r="D40" s="104" t="s">
        <v>171</v>
      </c>
      <c r="E40" s="104" t="s">
        <v>172</v>
      </c>
      <c r="F40" s="105">
        <v>7248</v>
      </c>
      <c r="G40" s="188">
        <v>0.83</v>
      </c>
      <c r="H40" s="118">
        <f t="shared" si="0"/>
        <v>6015.84</v>
      </c>
      <c r="I40" s="104" t="s">
        <v>173</v>
      </c>
      <c r="J40" s="107" t="s">
        <v>174</v>
      </c>
      <c r="K40" s="50" t="s">
        <v>175</v>
      </c>
      <c r="L40" s="104">
        <v>45159</v>
      </c>
      <c r="M40" s="108" t="s">
        <v>144</v>
      </c>
      <c r="N40" s="108" t="s">
        <v>145</v>
      </c>
      <c r="O40" s="193">
        <v>772.9</v>
      </c>
      <c r="P40" s="193">
        <v>0</v>
      </c>
      <c r="Q40" s="193">
        <v>0</v>
      </c>
      <c r="R40" s="109"/>
      <c r="S40" s="193">
        <v>31.61</v>
      </c>
      <c r="T40" s="193">
        <v>0</v>
      </c>
      <c r="U40" s="193">
        <v>14.91</v>
      </c>
      <c r="V40" s="193">
        <v>0</v>
      </c>
      <c r="W40" s="193"/>
      <c r="X40" s="193"/>
      <c r="Y40" s="193"/>
      <c r="Z40" s="193"/>
      <c r="AA40" s="193"/>
      <c r="AB40" s="194">
        <v>0.83940000000000003</v>
      </c>
      <c r="AC40" s="194">
        <v>0.83940000000000003</v>
      </c>
      <c r="AD40" s="106">
        <v>0</v>
      </c>
      <c r="AE40" s="118">
        <v>5380.45</v>
      </c>
      <c r="AF40" s="106">
        <v>0.17</v>
      </c>
      <c r="AG40" s="106">
        <f t="shared" si="45"/>
        <v>5380.62</v>
      </c>
      <c r="AH40" s="106">
        <f t="shared" si="46"/>
        <v>4516.4924280000005</v>
      </c>
      <c r="AI40" s="106">
        <f t="shared" si="4"/>
        <v>0</v>
      </c>
      <c r="AJ40" s="106">
        <f t="shared" si="5"/>
        <v>2831.0499999999997</v>
      </c>
      <c r="AK40" s="106">
        <f t="shared" si="6"/>
        <v>0.17</v>
      </c>
      <c r="AL40" s="132">
        <f t="shared" si="7"/>
        <v>2831.22</v>
      </c>
      <c r="AM40" s="198">
        <f t="shared" si="8"/>
        <v>2376.5260680000001</v>
      </c>
      <c r="AN40" s="106">
        <v>462.16</v>
      </c>
      <c r="AO40" s="106">
        <v>2045.4</v>
      </c>
      <c r="AP40" s="106">
        <v>907.2</v>
      </c>
      <c r="AQ40" s="95">
        <f t="shared" si="9"/>
        <v>3414.76</v>
      </c>
      <c r="AR40" s="183">
        <f t="shared" si="10"/>
        <v>2866.3495440000006</v>
      </c>
      <c r="AS40" s="106">
        <v>0</v>
      </c>
      <c r="AT40" s="106">
        <v>2549.4</v>
      </c>
      <c r="AU40" s="106">
        <v>0</v>
      </c>
      <c r="AV40" s="106">
        <f t="shared" si="34"/>
        <v>2549.4</v>
      </c>
      <c r="AW40" s="106">
        <v>0</v>
      </c>
      <c r="AX40" s="106">
        <v>1945.4</v>
      </c>
      <c r="AY40" s="106">
        <v>604</v>
      </c>
      <c r="AZ40" s="106">
        <f t="shared" si="35"/>
        <v>2549.4</v>
      </c>
      <c r="BA40" s="197">
        <f t="shared" si="36"/>
        <v>2139.9663600000003</v>
      </c>
      <c r="BB40" s="105">
        <f t="shared" si="14"/>
        <v>462.16</v>
      </c>
      <c r="BC40" s="105">
        <f t="shared" si="30"/>
        <v>387.93710400000003</v>
      </c>
      <c r="BD40" s="105">
        <f t="shared" si="15"/>
        <v>100</v>
      </c>
      <c r="BE40" s="105">
        <f t="shared" si="31"/>
        <v>83.94</v>
      </c>
      <c r="BF40" s="105">
        <f t="shared" si="16"/>
        <v>303.20000000000005</v>
      </c>
      <c r="BG40" s="105">
        <f t="shared" si="32"/>
        <v>254.50608000000005</v>
      </c>
      <c r="BH40" s="105">
        <f t="shared" si="17"/>
        <v>865.36000000000013</v>
      </c>
      <c r="BI40" s="105">
        <f t="shared" si="18"/>
        <v>726.38318400000003</v>
      </c>
      <c r="BJ40" s="186">
        <f t="shared" si="19"/>
        <v>5380.62</v>
      </c>
      <c r="BK40" s="182">
        <f t="shared" si="20"/>
        <v>4516.4924280000005</v>
      </c>
      <c r="BL40" s="98">
        <f t="shared" si="21"/>
        <v>5380.62</v>
      </c>
      <c r="BM40" s="99">
        <f t="shared" si="37"/>
        <v>0</v>
      </c>
      <c r="BN40" s="99">
        <f t="shared" si="38"/>
        <v>2549.4</v>
      </c>
      <c r="BO40" s="196"/>
      <c r="BP40" s="196"/>
      <c r="BQ40" s="196">
        <v>0</v>
      </c>
      <c r="BR40" s="196"/>
      <c r="BS40" s="106">
        <v>0</v>
      </c>
      <c r="BT40" s="196"/>
      <c r="BU40" s="196">
        <v>0</v>
      </c>
      <c r="BV40" s="106">
        <v>0</v>
      </c>
      <c r="BW40" s="196"/>
      <c r="BX40" s="196">
        <v>0</v>
      </c>
      <c r="BY40" s="118"/>
      <c r="BZ40" s="188"/>
      <c r="CA40" s="118"/>
      <c r="CB40" s="118"/>
      <c r="CC40" s="188"/>
      <c r="CD40" s="106"/>
      <c r="CE40" s="106"/>
      <c r="CF40" s="196"/>
      <c r="CG40" s="106"/>
      <c r="CH40" s="106"/>
      <c r="CI40" s="196"/>
      <c r="CJ40" s="106"/>
      <c r="CK40" s="106"/>
      <c r="CL40" s="196"/>
      <c r="CM40" s="106"/>
      <c r="CN40" s="182">
        <f t="shared" si="39"/>
        <v>4516.4924280000005</v>
      </c>
      <c r="CO40" s="112">
        <f t="shared" si="44"/>
        <v>4.5474735088646412E-13</v>
      </c>
      <c r="CP40" s="182">
        <f t="shared" si="40"/>
        <v>0</v>
      </c>
      <c r="CQ40" s="95">
        <f t="shared" si="41"/>
        <v>8795.380000000001</v>
      </c>
      <c r="CR40" s="112"/>
      <c r="CS40" s="113"/>
      <c r="CT40" s="113"/>
      <c r="CU40" s="187"/>
      <c r="CV40" s="187"/>
      <c r="CW40" s="240"/>
    </row>
    <row r="41" spans="1:101" s="51" customFormat="1" ht="19.899999999999999" customHeight="1" x14ac:dyDescent="0.3">
      <c r="A41" s="92" t="s">
        <v>169</v>
      </c>
      <c r="B41" s="49">
        <v>13260479</v>
      </c>
      <c r="C41" s="92" t="s">
        <v>170</v>
      </c>
      <c r="D41" s="93" t="s">
        <v>171</v>
      </c>
      <c r="E41" s="93" t="s">
        <v>172</v>
      </c>
      <c r="F41" s="94">
        <v>7248</v>
      </c>
      <c r="G41" s="182">
        <v>0.83</v>
      </c>
      <c r="H41" s="95">
        <f t="shared" si="0"/>
        <v>6015.84</v>
      </c>
      <c r="I41" s="93" t="s">
        <v>173</v>
      </c>
      <c r="J41" s="96" t="s">
        <v>174</v>
      </c>
      <c r="K41" s="49" t="s">
        <v>175</v>
      </c>
      <c r="L41" s="93">
        <v>45159</v>
      </c>
      <c r="M41" s="97" t="s">
        <v>146</v>
      </c>
      <c r="N41" s="97" t="s">
        <v>147</v>
      </c>
      <c r="O41" s="183">
        <v>1008.83</v>
      </c>
      <c r="P41" s="183">
        <v>0</v>
      </c>
      <c r="Q41" s="183">
        <v>0</v>
      </c>
      <c r="R41" s="131"/>
      <c r="S41" s="183">
        <v>33.340000000000003</v>
      </c>
      <c r="T41" s="183">
        <v>0</v>
      </c>
      <c r="U41" s="183">
        <v>16.149999999999999</v>
      </c>
      <c r="V41" s="183">
        <v>0</v>
      </c>
      <c r="W41" s="183"/>
      <c r="X41" s="183"/>
      <c r="Y41" s="183"/>
      <c r="Z41" s="183"/>
      <c r="AA41" s="183"/>
      <c r="AB41" s="184">
        <v>0.86721899999999996</v>
      </c>
      <c r="AC41" s="184">
        <v>0.86721899999999996</v>
      </c>
      <c r="AD41" s="95">
        <v>0.74</v>
      </c>
      <c r="AE41" s="95">
        <v>7196.96</v>
      </c>
      <c r="AF41" s="95">
        <v>0.57999999999999996</v>
      </c>
      <c r="AG41" s="95">
        <f t="shared" si="45"/>
        <v>7198.28</v>
      </c>
      <c r="AH41" s="95">
        <f t="shared" si="46"/>
        <v>6242.48518332</v>
      </c>
      <c r="AI41" s="95">
        <f t="shared" si="4"/>
        <v>0.74</v>
      </c>
      <c r="AJ41" s="95">
        <f t="shared" si="5"/>
        <v>4567.76</v>
      </c>
      <c r="AK41" s="95">
        <f t="shared" si="6"/>
        <v>0.57999999999999996</v>
      </c>
      <c r="AL41" s="133">
        <f t="shared" si="7"/>
        <v>4569.08</v>
      </c>
      <c r="AM41" s="199">
        <f t="shared" si="8"/>
        <v>3962.39298852</v>
      </c>
      <c r="AN41" s="95">
        <v>451.03</v>
      </c>
      <c r="AO41" s="95">
        <v>2389.8000000000002</v>
      </c>
      <c r="AP41" s="95">
        <v>894.6</v>
      </c>
      <c r="AQ41" s="106">
        <f t="shared" si="9"/>
        <v>3735.43</v>
      </c>
      <c r="AR41" s="193">
        <f t="shared" si="10"/>
        <v>3239.4358691699999</v>
      </c>
      <c r="AS41" s="95">
        <v>0</v>
      </c>
      <c r="AT41" s="95">
        <v>2629.2</v>
      </c>
      <c r="AU41" s="95">
        <v>0</v>
      </c>
      <c r="AV41" s="95">
        <f t="shared" si="34"/>
        <v>2629.2</v>
      </c>
      <c r="AW41" s="95">
        <v>0</v>
      </c>
      <c r="AX41" s="95">
        <v>2289.8000000000002</v>
      </c>
      <c r="AY41" s="95">
        <v>339.4</v>
      </c>
      <c r="AZ41" s="95">
        <f t="shared" si="35"/>
        <v>2629.2000000000003</v>
      </c>
      <c r="BA41" s="197">
        <f t="shared" si="36"/>
        <v>2280.0921948</v>
      </c>
      <c r="BB41" s="94">
        <f t="shared" si="14"/>
        <v>451.03</v>
      </c>
      <c r="BC41" s="105">
        <f t="shared" si="30"/>
        <v>391.14178556999997</v>
      </c>
      <c r="BD41" s="94">
        <f t="shared" si="15"/>
        <v>100</v>
      </c>
      <c r="BE41" s="94">
        <f t="shared" si="31"/>
        <v>86.721899999999991</v>
      </c>
      <c r="BF41" s="94">
        <f t="shared" si="16"/>
        <v>555.20000000000005</v>
      </c>
      <c r="BG41" s="94">
        <f t="shared" si="32"/>
        <v>481.4799888</v>
      </c>
      <c r="BH41" s="94">
        <f t="shared" si="17"/>
        <v>1106.23</v>
      </c>
      <c r="BI41" s="94">
        <f t="shared" si="18"/>
        <v>959.34367436999992</v>
      </c>
      <c r="BJ41" s="186">
        <f t="shared" si="19"/>
        <v>7198.2800000000007</v>
      </c>
      <c r="BK41" s="182">
        <f t="shared" si="20"/>
        <v>6242.48518332</v>
      </c>
      <c r="BL41" s="98">
        <f t="shared" si="21"/>
        <v>7198.2800000000007</v>
      </c>
      <c r="BM41" s="99">
        <f t="shared" si="37"/>
        <v>0</v>
      </c>
      <c r="BN41" s="99">
        <f t="shared" si="38"/>
        <v>2629.2000000000003</v>
      </c>
      <c r="BO41" s="182"/>
      <c r="BP41" s="182"/>
      <c r="BQ41" s="182">
        <v>0</v>
      </c>
      <c r="BR41" s="182"/>
      <c r="BS41" s="95">
        <v>0</v>
      </c>
      <c r="BT41" s="182"/>
      <c r="BU41" s="182">
        <v>0</v>
      </c>
      <c r="BV41" s="95">
        <v>0</v>
      </c>
      <c r="BW41" s="182"/>
      <c r="BX41" s="182">
        <v>0</v>
      </c>
      <c r="BY41" s="95"/>
      <c r="BZ41" s="182"/>
      <c r="CA41" s="95"/>
      <c r="CB41" s="95"/>
      <c r="CC41" s="182"/>
      <c r="CD41" s="95"/>
      <c r="CE41" s="95"/>
      <c r="CF41" s="182"/>
      <c r="CG41" s="95"/>
      <c r="CH41" s="95"/>
      <c r="CI41" s="182"/>
      <c r="CJ41" s="95"/>
      <c r="CK41" s="95"/>
      <c r="CL41" s="182"/>
      <c r="CM41" s="95"/>
      <c r="CN41" s="182">
        <f t="shared" si="39"/>
        <v>6242.48518332</v>
      </c>
      <c r="CO41" s="112">
        <f t="shared" si="44"/>
        <v>0</v>
      </c>
      <c r="CP41" s="182">
        <f t="shared" si="40"/>
        <v>0</v>
      </c>
      <c r="CQ41" s="95">
        <f t="shared" si="41"/>
        <v>10933.710000000001</v>
      </c>
      <c r="CR41" s="112"/>
      <c r="CS41" s="113"/>
      <c r="CT41" s="113"/>
      <c r="CU41" s="187"/>
      <c r="CV41" s="187"/>
      <c r="CW41" s="240"/>
    </row>
    <row r="42" spans="1:101" s="51" customFormat="1" ht="19.899999999999999" customHeight="1" x14ac:dyDescent="0.3">
      <c r="A42" s="148" t="s">
        <v>169</v>
      </c>
      <c r="B42" s="50">
        <v>13260479</v>
      </c>
      <c r="C42" s="148" t="s">
        <v>170</v>
      </c>
      <c r="D42" s="104" t="s">
        <v>171</v>
      </c>
      <c r="E42" s="104" t="s">
        <v>172</v>
      </c>
      <c r="F42" s="105">
        <v>7248</v>
      </c>
      <c r="G42" s="188">
        <v>0.83</v>
      </c>
      <c r="H42" s="118">
        <f t="shared" si="0"/>
        <v>6015.84</v>
      </c>
      <c r="I42" s="104" t="s">
        <v>173</v>
      </c>
      <c r="J42" s="107" t="s">
        <v>174</v>
      </c>
      <c r="K42" s="50" t="s">
        <v>175</v>
      </c>
      <c r="L42" s="104">
        <v>45159</v>
      </c>
      <c r="M42" s="108" t="s">
        <v>148</v>
      </c>
      <c r="N42" s="108" t="s">
        <v>149</v>
      </c>
      <c r="O42" s="193">
        <v>805.79</v>
      </c>
      <c r="P42" s="193">
        <v>0</v>
      </c>
      <c r="Q42" s="193">
        <v>0</v>
      </c>
      <c r="R42" s="109"/>
      <c r="S42" s="193">
        <v>33.229999999999997</v>
      </c>
      <c r="T42" s="193">
        <v>0</v>
      </c>
      <c r="U42" s="193">
        <v>17.16</v>
      </c>
      <c r="V42" s="193">
        <v>0</v>
      </c>
      <c r="W42" s="193"/>
      <c r="X42" s="193"/>
      <c r="Y42" s="193"/>
      <c r="Z42" s="193"/>
      <c r="AA42" s="193"/>
      <c r="AB42" s="194">
        <v>0.90526499999999999</v>
      </c>
      <c r="AC42" s="194">
        <v>0.90526499999999999</v>
      </c>
      <c r="AD42" s="106">
        <v>3.01</v>
      </c>
      <c r="AE42" s="118">
        <v>7416.17</v>
      </c>
      <c r="AF42" s="106">
        <v>5.64</v>
      </c>
      <c r="AG42" s="106">
        <f t="shared" si="45"/>
        <v>7424.8200000000006</v>
      </c>
      <c r="AH42" s="106">
        <f t="shared" si="46"/>
        <v>6721.4296773000005</v>
      </c>
      <c r="AI42" s="106">
        <f t="shared" si="4"/>
        <v>3.01</v>
      </c>
      <c r="AJ42" s="106">
        <f t="shared" si="5"/>
        <v>4673.57</v>
      </c>
      <c r="AK42" s="106">
        <f t="shared" si="6"/>
        <v>5.64</v>
      </c>
      <c r="AL42" s="132">
        <f t="shared" si="7"/>
        <v>4682.22</v>
      </c>
      <c r="AM42" s="198">
        <f t="shared" si="8"/>
        <v>4238.6498882999995</v>
      </c>
      <c r="AN42" s="95">
        <v>460.65</v>
      </c>
      <c r="AO42" s="95">
        <v>2221.8000000000002</v>
      </c>
      <c r="AP42" s="95">
        <v>894.6</v>
      </c>
      <c r="AQ42" s="95">
        <f t="shared" si="9"/>
        <v>3577.05</v>
      </c>
      <c r="AR42" s="183">
        <f t="shared" si="10"/>
        <v>3238.17816825</v>
      </c>
      <c r="AS42" s="95">
        <v>0</v>
      </c>
      <c r="AT42" s="95">
        <v>2742.6</v>
      </c>
      <c r="AU42" s="95">
        <v>0</v>
      </c>
      <c r="AV42" s="95">
        <f t="shared" si="34"/>
        <v>2742.6</v>
      </c>
      <c r="AW42" s="95">
        <v>0</v>
      </c>
      <c r="AX42" s="95">
        <v>2121.8000000000002</v>
      </c>
      <c r="AY42" s="95">
        <v>620.79999999999995</v>
      </c>
      <c r="AZ42" s="95">
        <f t="shared" si="35"/>
        <v>2742.6000000000004</v>
      </c>
      <c r="BA42" s="197">
        <f t="shared" si="36"/>
        <v>2482.7797890000002</v>
      </c>
      <c r="BB42" s="94">
        <f t="shared" si="14"/>
        <v>460.65</v>
      </c>
      <c r="BC42" s="105">
        <f t="shared" si="30"/>
        <v>417.01032225</v>
      </c>
      <c r="BD42" s="94">
        <f t="shared" si="15"/>
        <v>100</v>
      </c>
      <c r="BE42" s="94">
        <f t="shared" si="31"/>
        <v>90.526499999999999</v>
      </c>
      <c r="BF42" s="94">
        <f t="shared" si="16"/>
        <v>273.80000000000007</v>
      </c>
      <c r="BG42" s="94">
        <f t="shared" si="32"/>
        <v>247.86155700000006</v>
      </c>
      <c r="BH42" s="94">
        <f t="shared" si="17"/>
        <v>834.45</v>
      </c>
      <c r="BI42" s="94">
        <f t="shared" si="18"/>
        <v>755.39837925000006</v>
      </c>
      <c r="BJ42" s="186">
        <f t="shared" si="19"/>
        <v>7424.8200000000006</v>
      </c>
      <c r="BK42" s="182">
        <f t="shared" si="20"/>
        <v>6721.4296773000005</v>
      </c>
      <c r="BL42" s="98">
        <f t="shared" si="21"/>
        <v>7424.8200000000006</v>
      </c>
      <c r="BM42" s="99">
        <f t="shared" si="37"/>
        <v>0</v>
      </c>
      <c r="BN42" s="99">
        <f t="shared" si="38"/>
        <v>2742.6000000000004</v>
      </c>
      <c r="BO42" s="196"/>
      <c r="BP42" s="196"/>
      <c r="BQ42" s="196">
        <v>0</v>
      </c>
      <c r="BR42" s="196"/>
      <c r="BS42" s="106">
        <v>0</v>
      </c>
      <c r="BT42" s="196"/>
      <c r="BU42" s="196">
        <v>0</v>
      </c>
      <c r="BV42" s="106">
        <v>0</v>
      </c>
      <c r="BW42" s="196"/>
      <c r="BX42" s="196">
        <v>0</v>
      </c>
      <c r="BY42" s="118"/>
      <c r="BZ42" s="188"/>
      <c r="CA42" s="118"/>
      <c r="CB42" s="118"/>
      <c r="CC42" s="188"/>
      <c r="CD42" s="106"/>
      <c r="CE42" s="106"/>
      <c r="CF42" s="196"/>
      <c r="CG42" s="106"/>
      <c r="CH42" s="106"/>
      <c r="CI42" s="196"/>
      <c r="CJ42" s="106"/>
      <c r="CK42" s="106"/>
      <c r="CL42" s="196"/>
      <c r="CM42" s="106"/>
      <c r="CN42" s="182">
        <f t="shared" si="39"/>
        <v>6721.4296773000005</v>
      </c>
      <c r="CO42" s="112">
        <f t="shared" si="44"/>
        <v>-4.5474735088646412E-13</v>
      </c>
      <c r="CP42" s="182">
        <f t="shared" si="40"/>
        <v>0</v>
      </c>
      <c r="CQ42" s="95">
        <f t="shared" si="41"/>
        <v>11001.87</v>
      </c>
      <c r="CR42" s="112"/>
      <c r="CS42" s="113"/>
      <c r="CT42" s="113"/>
      <c r="CU42" s="187"/>
      <c r="CV42" s="187"/>
      <c r="CW42" s="240"/>
    </row>
    <row r="43" spans="1:101" s="51" customFormat="1" ht="19.899999999999999" customHeight="1" x14ac:dyDescent="0.3">
      <c r="A43" s="92" t="s">
        <v>169</v>
      </c>
      <c r="B43" s="49">
        <v>13260479</v>
      </c>
      <c r="C43" s="92" t="s">
        <v>170</v>
      </c>
      <c r="D43" s="93" t="s">
        <v>171</v>
      </c>
      <c r="E43" s="93" t="s">
        <v>172</v>
      </c>
      <c r="F43" s="94">
        <v>7248</v>
      </c>
      <c r="G43" s="182">
        <v>0.83</v>
      </c>
      <c r="H43" s="95">
        <f t="shared" si="0"/>
        <v>6015.84</v>
      </c>
      <c r="I43" s="93" t="s">
        <v>173</v>
      </c>
      <c r="J43" s="96" t="s">
        <v>174</v>
      </c>
      <c r="K43" s="49" t="s">
        <v>175</v>
      </c>
      <c r="L43" s="93">
        <v>45159</v>
      </c>
      <c r="M43" s="97" t="s">
        <v>150</v>
      </c>
      <c r="N43" s="97" t="s">
        <v>151</v>
      </c>
      <c r="O43" s="183">
        <v>170.38</v>
      </c>
      <c r="P43" s="183">
        <v>0</v>
      </c>
      <c r="Q43" s="183">
        <v>0</v>
      </c>
      <c r="R43" s="131"/>
      <c r="S43" s="183">
        <v>37.369999999999997</v>
      </c>
      <c r="T43" s="183">
        <v>0</v>
      </c>
      <c r="U43" s="183">
        <v>13.58</v>
      </c>
      <c r="V43" s="183">
        <v>0</v>
      </c>
      <c r="W43" s="183"/>
      <c r="X43" s="183"/>
      <c r="Y43" s="183"/>
      <c r="Z43" s="183"/>
      <c r="AA43" s="183"/>
      <c r="AB43" s="184">
        <v>0.89259999999999995</v>
      </c>
      <c r="AC43" s="184">
        <v>0.89259999999999995</v>
      </c>
      <c r="AD43" s="95">
        <v>12.82</v>
      </c>
      <c r="AE43" s="95">
        <v>7239.29</v>
      </c>
      <c r="AF43" s="95">
        <v>2.71</v>
      </c>
      <c r="AG43" s="95">
        <f t="shared" si="45"/>
        <v>7254.82</v>
      </c>
      <c r="AH43" s="95">
        <f t="shared" si="46"/>
        <v>6475.6523319999997</v>
      </c>
      <c r="AI43" s="95">
        <f t="shared" si="4"/>
        <v>12.82</v>
      </c>
      <c r="AJ43" s="95">
        <f t="shared" si="5"/>
        <v>4173.29</v>
      </c>
      <c r="AK43" s="95">
        <f t="shared" si="6"/>
        <v>2.71</v>
      </c>
      <c r="AL43" s="133">
        <f t="shared" si="7"/>
        <v>4188.82</v>
      </c>
      <c r="AM43" s="199">
        <f t="shared" si="8"/>
        <v>3738.9407319999996</v>
      </c>
      <c r="AN43" s="95">
        <v>423.61</v>
      </c>
      <c r="AO43" s="95">
        <v>1890</v>
      </c>
      <c r="AP43" s="95">
        <v>886.2</v>
      </c>
      <c r="AQ43" s="106">
        <f t="shared" si="9"/>
        <v>3199.8100000000004</v>
      </c>
      <c r="AR43" s="193">
        <f t="shared" si="10"/>
        <v>2856.1504059999997</v>
      </c>
      <c r="AS43" s="95">
        <v>0</v>
      </c>
      <c r="AT43" s="95">
        <v>3066</v>
      </c>
      <c r="AU43" s="95">
        <v>0</v>
      </c>
      <c r="AV43" s="95">
        <f t="shared" si="34"/>
        <v>3066</v>
      </c>
      <c r="AW43" s="95">
        <v>389.8</v>
      </c>
      <c r="AX43" s="95">
        <v>1790</v>
      </c>
      <c r="AY43" s="95">
        <v>886.2</v>
      </c>
      <c r="AZ43" s="95">
        <f t="shared" si="35"/>
        <v>3066</v>
      </c>
      <c r="BA43" s="197">
        <f t="shared" si="36"/>
        <v>2736.7115999999996</v>
      </c>
      <c r="BB43" s="94">
        <f t="shared" si="14"/>
        <v>33.81</v>
      </c>
      <c r="BC43" s="105">
        <f t="shared" si="30"/>
        <v>30.178806000000002</v>
      </c>
      <c r="BD43" s="94">
        <f t="shared" si="15"/>
        <v>100</v>
      </c>
      <c r="BE43" s="94">
        <f t="shared" si="31"/>
        <v>89.259999999999991</v>
      </c>
      <c r="BF43" s="94">
        <f t="shared" si="16"/>
        <v>0</v>
      </c>
      <c r="BG43" s="94">
        <f t="shared" si="32"/>
        <v>0</v>
      </c>
      <c r="BH43" s="94">
        <f t="shared" si="17"/>
        <v>133.81</v>
      </c>
      <c r="BI43" s="94">
        <f t="shared" si="18"/>
        <v>119.438806</v>
      </c>
      <c r="BJ43" s="186">
        <f t="shared" si="19"/>
        <v>7254.82</v>
      </c>
      <c r="BK43" s="182">
        <f t="shared" si="20"/>
        <v>6475.6523319999997</v>
      </c>
      <c r="BL43" s="98">
        <f t="shared" si="21"/>
        <v>7254.82</v>
      </c>
      <c r="BM43" s="99">
        <f t="shared" si="37"/>
        <v>389.8</v>
      </c>
      <c r="BN43" s="99">
        <f t="shared" si="38"/>
        <v>2676.2</v>
      </c>
      <c r="BO43" s="182"/>
      <c r="BP43" s="182"/>
      <c r="BQ43" s="182">
        <v>0</v>
      </c>
      <c r="BR43" s="182"/>
      <c r="BS43" s="95">
        <v>0</v>
      </c>
      <c r="BT43" s="182"/>
      <c r="BU43" s="182">
        <v>0</v>
      </c>
      <c r="BV43" s="95">
        <v>0</v>
      </c>
      <c r="BW43" s="182"/>
      <c r="BX43" s="182">
        <v>0</v>
      </c>
      <c r="BY43" s="95"/>
      <c r="BZ43" s="182"/>
      <c r="CA43" s="95"/>
      <c r="CB43" s="95"/>
      <c r="CC43" s="182"/>
      <c r="CD43" s="95"/>
      <c r="CE43" s="95"/>
      <c r="CF43" s="182"/>
      <c r="CG43" s="95"/>
      <c r="CH43" s="95"/>
      <c r="CI43" s="182"/>
      <c r="CJ43" s="95"/>
      <c r="CK43" s="95"/>
      <c r="CL43" s="182"/>
      <c r="CM43" s="95"/>
      <c r="CN43" s="182">
        <f t="shared" si="39"/>
        <v>6475.6523319999997</v>
      </c>
      <c r="CO43" s="112">
        <f t="shared" si="44"/>
        <v>-4.5474735088646412E-13</v>
      </c>
      <c r="CP43" s="182">
        <f t="shared" si="40"/>
        <v>0</v>
      </c>
      <c r="CQ43" s="95">
        <f t="shared" si="41"/>
        <v>10454.630000000001</v>
      </c>
      <c r="CR43" s="112"/>
      <c r="CS43" s="113"/>
      <c r="CT43" s="113"/>
      <c r="CU43" s="187"/>
      <c r="CV43" s="187"/>
      <c r="CW43" s="240"/>
    </row>
    <row r="44" spans="1:101" s="51" customFormat="1" ht="19.899999999999999" customHeight="1" x14ac:dyDescent="0.3">
      <c r="A44" s="148" t="s">
        <v>169</v>
      </c>
      <c r="B44" s="50">
        <v>13260479</v>
      </c>
      <c r="C44" s="148" t="s">
        <v>170</v>
      </c>
      <c r="D44" s="104" t="s">
        <v>171</v>
      </c>
      <c r="E44" s="104" t="s">
        <v>172</v>
      </c>
      <c r="F44" s="105">
        <v>7248</v>
      </c>
      <c r="G44" s="188">
        <v>0.83</v>
      </c>
      <c r="H44" s="118">
        <f t="shared" si="0"/>
        <v>6015.84</v>
      </c>
      <c r="I44" s="93" t="s">
        <v>173</v>
      </c>
      <c r="J44" s="96" t="s">
        <v>174</v>
      </c>
      <c r="K44" s="49" t="s">
        <v>175</v>
      </c>
      <c r="L44" s="93">
        <v>45159</v>
      </c>
      <c r="M44" s="108" t="s">
        <v>152</v>
      </c>
      <c r="N44" s="108" t="s">
        <v>153</v>
      </c>
      <c r="O44" s="183">
        <v>446.99</v>
      </c>
      <c r="P44" s="183">
        <v>0</v>
      </c>
      <c r="Q44" s="183">
        <v>0</v>
      </c>
      <c r="R44" s="131"/>
      <c r="S44" s="183">
        <v>44.56</v>
      </c>
      <c r="T44" s="183">
        <v>0</v>
      </c>
      <c r="U44" s="183">
        <v>18.98</v>
      </c>
      <c r="V44" s="183">
        <v>0</v>
      </c>
      <c r="W44" s="183"/>
      <c r="X44" s="183"/>
      <c r="Y44" s="183"/>
      <c r="Z44" s="183"/>
      <c r="AA44" s="183"/>
      <c r="AB44" s="184">
        <v>0.89019899999999996</v>
      </c>
      <c r="AC44" s="184">
        <v>0.89019899999999996</v>
      </c>
      <c r="AD44" s="95">
        <v>28.27</v>
      </c>
      <c r="AE44" s="95">
        <v>6639.5</v>
      </c>
      <c r="AF44" s="95">
        <v>0</v>
      </c>
      <c r="AG44" s="95">
        <f t="shared" si="45"/>
        <v>6667.77</v>
      </c>
      <c r="AH44" s="95">
        <f t="shared" si="46"/>
        <v>5935.6421862299994</v>
      </c>
      <c r="AI44" s="95">
        <f t="shared" si="4"/>
        <v>27.69</v>
      </c>
      <c r="AJ44" s="95">
        <f t="shared" si="5"/>
        <v>3913.7</v>
      </c>
      <c r="AK44" s="95">
        <f t="shared" si="6"/>
        <v>0</v>
      </c>
      <c r="AL44" s="133">
        <f t="shared" si="7"/>
        <v>3941.39</v>
      </c>
      <c r="AM44" s="199">
        <f t="shared" si="8"/>
        <v>3508.6214366099994</v>
      </c>
      <c r="AN44" s="95">
        <v>410.34</v>
      </c>
      <c r="AO44" s="95">
        <v>1894.2</v>
      </c>
      <c r="AP44" s="95">
        <v>852.6</v>
      </c>
      <c r="AQ44" s="106">
        <f t="shared" si="9"/>
        <v>3157.14</v>
      </c>
      <c r="AR44" s="193">
        <f t="shared" si="10"/>
        <v>2810.4828708600003</v>
      </c>
      <c r="AS44" s="95">
        <v>0.57999999999999996</v>
      </c>
      <c r="AT44" s="95">
        <v>2725.8</v>
      </c>
      <c r="AU44" s="95">
        <v>0</v>
      </c>
      <c r="AV44" s="95">
        <f t="shared" si="34"/>
        <v>2726.38</v>
      </c>
      <c r="AW44" s="95">
        <v>79.58</v>
      </c>
      <c r="AX44" s="95">
        <v>1794.2</v>
      </c>
      <c r="AY44" s="95">
        <v>852.6</v>
      </c>
      <c r="AZ44" s="95">
        <f t="shared" si="35"/>
        <v>2726.38</v>
      </c>
      <c r="BA44" s="197">
        <f t="shared" si="36"/>
        <v>2427.0207496200001</v>
      </c>
      <c r="BB44" s="94">
        <f t="shared" si="14"/>
        <v>330.76</v>
      </c>
      <c r="BC44" s="105">
        <f t="shared" si="30"/>
        <v>294.44222123999998</v>
      </c>
      <c r="BD44" s="94">
        <f t="shared" si="15"/>
        <v>100</v>
      </c>
      <c r="BE44" s="94">
        <f t="shared" si="31"/>
        <v>89.019899999999993</v>
      </c>
      <c r="BF44" s="94">
        <f t="shared" si="16"/>
        <v>0</v>
      </c>
      <c r="BG44" s="94">
        <f t="shared" si="32"/>
        <v>0</v>
      </c>
      <c r="BH44" s="94">
        <f t="shared" si="17"/>
        <v>430.76</v>
      </c>
      <c r="BI44" s="94">
        <f t="shared" si="18"/>
        <v>383.46212123999999</v>
      </c>
      <c r="BJ44" s="186">
        <f t="shared" si="19"/>
        <v>6667.77</v>
      </c>
      <c r="BK44" s="182">
        <f t="shared" si="20"/>
        <v>5935.6421862299994</v>
      </c>
      <c r="BL44" s="98">
        <f t="shared" si="21"/>
        <v>6667.77</v>
      </c>
      <c r="BM44" s="99">
        <f t="shared" si="37"/>
        <v>79.58</v>
      </c>
      <c r="BN44" s="99">
        <f t="shared" si="38"/>
        <v>2646.8</v>
      </c>
      <c r="BO44" s="182"/>
      <c r="BP44" s="182"/>
      <c r="BQ44" s="182"/>
      <c r="BR44" s="182"/>
      <c r="BS44" s="95"/>
      <c r="BT44" s="182"/>
      <c r="BU44" s="182"/>
      <c r="BV44" s="95"/>
      <c r="BW44" s="182"/>
      <c r="BX44" s="182"/>
      <c r="BY44" s="118"/>
      <c r="BZ44" s="188"/>
      <c r="CA44" s="118"/>
      <c r="CB44" s="118"/>
      <c r="CC44" s="188"/>
      <c r="CD44" s="95"/>
      <c r="CE44" s="95"/>
      <c r="CF44" s="182"/>
      <c r="CG44" s="95"/>
      <c r="CH44" s="95"/>
      <c r="CI44" s="182"/>
      <c r="CJ44" s="95"/>
      <c r="CK44" s="95"/>
      <c r="CL44" s="182"/>
      <c r="CM44" s="95"/>
      <c r="CN44" s="182">
        <f t="shared" si="39"/>
        <v>5935.6421862299994</v>
      </c>
      <c r="CO44" s="112">
        <f t="shared" si="44"/>
        <v>-4.5474735088646412E-13</v>
      </c>
      <c r="CP44" s="182">
        <f t="shared" si="40"/>
        <v>0</v>
      </c>
      <c r="CQ44" s="95">
        <f t="shared" si="41"/>
        <v>9824.91</v>
      </c>
      <c r="CR44" s="112"/>
      <c r="CS44" s="145" t="s">
        <v>178</v>
      </c>
      <c r="CT44" s="113"/>
      <c r="CU44" s="187"/>
      <c r="CV44" s="187"/>
      <c r="CW44" s="240"/>
    </row>
    <row r="45" spans="1:101" s="51" customFormat="1" ht="19.899999999999999" customHeight="1" x14ac:dyDescent="0.3">
      <c r="A45" s="92" t="s">
        <v>169</v>
      </c>
      <c r="B45" s="49">
        <v>13260479</v>
      </c>
      <c r="C45" s="92" t="s">
        <v>170</v>
      </c>
      <c r="D45" s="93" t="s">
        <v>171</v>
      </c>
      <c r="E45" s="93" t="s">
        <v>172</v>
      </c>
      <c r="F45" s="94">
        <v>7248</v>
      </c>
      <c r="G45" s="182">
        <v>0.83</v>
      </c>
      <c r="H45" s="95">
        <f t="shared" si="0"/>
        <v>6015.84</v>
      </c>
      <c r="I45" s="93" t="s">
        <v>173</v>
      </c>
      <c r="J45" s="96" t="s">
        <v>174</v>
      </c>
      <c r="K45" s="49" t="s">
        <v>175</v>
      </c>
      <c r="L45" s="93">
        <v>45159</v>
      </c>
      <c r="M45" s="108" t="s">
        <v>155</v>
      </c>
      <c r="N45" s="108" t="s">
        <v>156</v>
      </c>
      <c r="O45" s="183">
        <v>420.41</v>
      </c>
      <c r="P45" s="183">
        <v>0</v>
      </c>
      <c r="Q45" s="183">
        <v>0</v>
      </c>
      <c r="R45" s="131"/>
      <c r="S45" s="183">
        <v>45.47</v>
      </c>
      <c r="T45" s="183">
        <v>0</v>
      </c>
      <c r="U45" s="183">
        <v>23.28</v>
      </c>
      <c r="V45" s="183">
        <v>0</v>
      </c>
      <c r="W45" s="183"/>
      <c r="X45" s="183"/>
      <c r="Y45" s="183"/>
      <c r="Z45" s="183"/>
      <c r="AA45" s="183"/>
      <c r="AB45" s="184">
        <v>0.90829599999999999</v>
      </c>
      <c r="AC45" s="184">
        <v>0.90829599999999999</v>
      </c>
      <c r="AD45" s="95">
        <v>12.95</v>
      </c>
      <c r="AE45" s="95">
        <v>5918.39</v>
      </c>
      <c r="AF45" s="95">
        <v>0</v>
      </c>
      <c r="AG45" s="95">
        <f t="shared" si="45"/>
        <v>5931.34</v>
      </c>
      <c r="AH45" s="95">
        <f t="shared" si="46"/>
        <v>5387.4123966400002</v>
      </c>
      <c r="AI45" s="95">
        <f t="shared" si="4"/>
        <v>12.7</v>
      </c>
      <c r="AJ45" s="95">
        <f t="shared" si="5"/>
        <v>3457.1900000000005</v>
      </c>
      <c r="AK45" s="95">
        <f t="shared" si="6"/>
        <v>0</v>
      </c>
      <c r="AL45" s="133">
        <f t="shared" si="7"/>
        <v>3469.8900000000003</v>
      </c>
      <c r="AM45" s="199">
        <f t="shared" si="8"/>
        <v>3151.6872074400007</v>
      </c>
      <c r="AN45" s="95">
        <v>442.13</v>
      </c>
      <c r="AO45" s="95">
        <v>1680</v>
      </c>
      <c r="AP45" s="95">
        <v>726.6</v>
      </c>
      <c r="AQ45" s="106">
        <f t="shared" si="9"/>
        <v>2848.73</v>
      </c>
      <c r="AR45" s="193">
        <f t="shared" si="10"/>
        <v>2587.4900640799997</v>
      </c>
      <c r="AS45" s="95">
        <v>0.25</v>
      </c>
      <c r="AT45" s="95">
        <v>2461.1999999999998</v>
      </c>
      <c r="AU45" s="95">
        <v>0</v>
      </c>
      <c r="AV45" s="95">
        <f t="shared" si="34"/>
        <v>2461.4499999999998</v>
      </c>
      <c r="AW45" s="95">
        <v>154.85</v>
      </c>
      <c r="AX45" s="95">
        <v>1580</v>
      </c>
      <c r="AY45" s="95">
        <v>726.6</v>
      </c>
      <c r="AZ45" s="95">
        <f t="shared" si="35"/>
        <v>2461.4499999999998</v>
      </c>
      <c r="BA45" s="197">
        <f t="shared" si="36"/>
        <v>2235.7251891999995</v>
      </c>
      <c r="BB45" s="94">
        <f t="shared" si="14"/>
        <v>287.27999999999997</v>
      </c>
      <c r="BC45" s="105">
        <f t="shared" si="30"/>
        <v>260.93527487999995</v>
      </c>
      <c r="BD45" s="94">
        <f t="shared" si="15"/>
        <v>100</v>
      </c>
      <c r="BE45" s="94">
        <f t="shared" si="31"/>
        <v>90.829599999999999</v>
      </c>
      <c r="BF45" s="94">
        <f t="shared" si="16"/>
        <v>0</v>
      </c>
      <c r="BG45" s="94">
        <f t="shared" si="32"/>
        <v>0</v>
      </c>
      <c r="BH45" s="94">
        <f t="shared" si="17"/>
        <v>387.28</v>
      </c>
      <c r="BI45" s="94">
        <f t="shared" si="18"/>
        <v>351.76487487999998</v>
      </c>
      <c r="BJ45" s="186">
        <f t="shared" si="19"/>
        <v>5931.34</v>
      </c>
      <c r="BK45" s="182">
        <f t="shared" si="20"/>
        <v>5387.4123966400002</v>
      </c>
      <c r="BL45" s="98">
        <f t="shared" si="21"/>
        <v>5931.34</v>
      </c>
      <c r="BM45" s="99">
        <f t="shared" si="37"/>
        <v>154.85</v>
      </c>
      <c r="BN45" s="99">
        <f t="shared" si="38"/>
        <v>2306.6</v>
      </c>
      <c r="BO45" s="182"/>
      <c r="BP45" s="182"/>
      <c r="BQ45" s="182"/>
      <c r="BR45" s="182"/>
      <c r="BS45" s="95"/>
      <c r="BT45" s="182"/>
      <c r="BU45" s="182"/>
      <c r="BV45" s="95"/>
      <c r="BW45" s="182"/>
      <c r="BX45" s="182"/>
      <c r="BY45" s="118"/>
      <c r="BZ45" s="188"/>
      <c r="CA45" s="118"/>
      <c r="CB45" s="118"/>
      <c r="CC45" s="188"/>
      <c r="CD45" s="95"/>
      <c r="CE45" s="95"/>
      <c r="CF45" s="182"/>
      <c r="CG45" s="95"/>
      <c r="CH45" s="95"/>
      <c r="CI45" s="182"/>
      <c r="CJ45" s="95"/>
      <c r="CK45" s="95"/>
      <c r="CL45" s="182"/>
      <c r="CM45" s="95"/>
      <c r="CN45" s="182">
        <f t="shared" si="39"/>
        <v>5387.4123966400002</v>
      </c>
      <c r="CO45" s="112">
        <f t="shared" si="44"/>
        <v>-4.5474735088646412E-13</v>
      </c>
      <c r="CP45" s="182"/>
      <c r="CQ45" s="95"/>
      <c r="CR45" s="112"/>
      <c r="CS45" s="160" t="s">
        <v>179</v>
      </c>
      <c r="CT45" s="113"/>
      <c r="CU45" s="187"/>
      <c r="CV45" s="187"/>
      <c r="CW45" s="240"/>
    </row>
    <row r="46" spans="1:101" s="51" customFormat="1" ht="19.899999999999999" customHeight="1" x14ac:dyDescent="0.3">
      <c r="A46" s="92" t="s">
        <v>180</v>
      </c>
      <c r="B46" s="49">
        <v>21040540</v>
      </c>
      <c r="C46" s="92" t="s">
        <v>181</v>
      </c>
      <c r="D46" s="93" t="s">
        <v>182</v>
      </c>
      <c r="E46" s="93" t="s">
        <v>139</v>
      </c>
      <c r="F46" s="94">
        <v>36000</v>
      </c>
      <c r="G46" s="182">
        <v>0.55000000000000004</v>
      </c>
      <c r="H46" s="95">
        <f t="shared" si="0"/>
        <v>19800</v>
      </c>
      <c r="I46" s="104" t="s">
        <v>130</v>
      </c>
      <c r="J46" s="107" t="s">
        <v>183</v>
      </c>
      <c r="K46" s="50" t="s">
        <v>184</v>
      </c>
      <c r="L46" s="104"/>
      <c r="M46" s="108" t="s">
        <v>130</v>
      </c>
      <c r="N46" s="108" t="s">
        <v>143</v>
      </c>
      <c r="O46" s="193">
        <v>10314.780000000001</v>
      </c>
      <c r="P46" s="193">
        <v>0</v>
      </c>
      <c r="Q46" s="193">
        <v>4899.13</v>
      </c>
      <c r="R46" s="109"/>
      <c r="S46" s="193">
        <v>365.09</v>
      </c>
      <c r="T46" s="193">
        <v>472.79</v>
      </c>
      <c r="U46" s="193">
        <v>6.18</v>
      </c>
      <c r="V46" s="193">
        <v>0</v>
      </c>
      <c r="W46" s="193"/>
      <c r="X46" s="193"/>
      <c r="Y46" s="193"/>
      <c r="Z46" s="193"/>
      <c r="AA46" s="193"/>
      <c r="AB46" s="194">
        <v>2.034214</v>
      </c>
      <c r="AC46" s="194">
        <v>0.475968</v>
      </c>
      <c r="AD46" s="106">
        <v>35.61</v>
      </c>
      <c r="AE46" s="118">
        <v>15903.38</v>
      </c>
      <c r="AF46" s="106">
        <v>0</v>
      </c>
      <c r="AG46" s="106">
        <f t="shared" si="45"/>
        <v>15938.99</v>
      </c>
      <c r="AH46" s="106">
        <f t="shared" si="46"/>
        <v>7641.9383323799993</v>
      </c>
      <c r="AI46" s="106">
        <f t="shared" si="4"/>
        <v>0</v>
      </c>
      <c r="AJ46" s="106">
        <f t="shared" si="5"/>
        <v>14059.58</v>
      </c>
      <c r="AK46" s="106">
        <f t="shared" si="6"/>
        <v>0</v>
      </c>
      <c r="AL46" s="132">
        <f t="shared" si="7"/>
        <v>14059.58</v>
      </c>
      <c r="AM46" s="198">
        <f t="shared" si="8"/>
        <v>6691.9101734400001</v>
      </c>
      <c r="AN46" s="106">
        <v>1220.6400000000001</v>
      </c>
      <c r="AO46" s="106">
        <v>5598.6</v>
      </c>
      <c r="AP46" s="106">
        <v>785.4</v>
      </c>
      <c r="AQ46" s="95">
        <f t="shared" si="9"/>
        <v>7604.64</v>
      </c>
      <c r="AR46" s="183">
        <f t="shared" si="10"/>
        <v>5521.6226889600002</v>
      </c>
      <c r="AS46" s="106">
        <v>35.61</v>
      </c>
      <c r="AT46" s="106">
        <v>1843.8</v>
      </c>
      <c r="AU46" s="106">
        <v>0</v>
      </c>
      <c r="AV46" s="106">
        <f t="shared" si="34"/>
        <v>1879.4099999999999</v>
      </c>
      <c r="AW46" s="106">
        <v>35.61</v>
      </c>
      <c r="AX46" s="106">
        <v>1843.8</v>
      </c>
      <c r="AY46" s="106">
        <v>0</v>
      </c>
      <c r="AZ46" s="106">
        <f t="shared" si="35"/>
        <v>1879.4099999999999</v>
      </c>
      <c r="BA46" s="197">
        <f t="shared" si="36"/>
        <v>950.02815893999991</v>
      </c>
      <c r="BB46" s="105">
        <f t="shared" si="14"/>
        <v>1185.0300000000002</v>
      </c>
      <c r="BC46" s="105">
        <f t="shared" si="30"/>
        <v>2410.6046164200002</v>
      </c>
      <c r="BD46" s="105">
        <f t="shared" si="15"/>
        <v>3754.8</v>
      </c>
      <c r="BE46" s="105">
        <f t="shared" si="31"/>
        <v>1787.1646464</v>
      </c>
      <c r="BF46" s="105">
        <f t="shared" si="16"/>
        <v>785.4</v>
      </c>
      <c r="BG46" s="105">
        <f t="shared" si="32"/>
        <v>373.82526719999998</v>
      </c>
      <c r="BH46" s="105">
        <f t="shared" si="17"/>
        <v>5725.23</v>
      </c>
      <c r="BI46" s="105">
        <f t="shared" si="18"/>
        <v>4571.5945300200001</v>
      </c>
      <c r="BJ46" s="186">
        <f t="shared" si="19"/>
        <v>15938.99</v>
      </c>
      <c r="BK46" s="182">
        <f t="shared" si="20"/>
        <v>7641.9383323799993</v>
      </c>
      <c r="BL46" s="98">
        <f t="shared" si="21"/>
        <v>15938.99</v>
      </c>
      <c r="BM46" s="99">
        <f t="shared" si="37"/>
        <v>35.61</v>
      </c>
      <c r="BN46" s="99">
        <f t="shared" si="38"/>
        <v>1843.8</v>
      </c>
      <c r="BO46" s="196"/>
      <c r="BP46" s="196"/>
      <c r="BQ46" s="196">
        <v>0</v>
      </c>
      <c r="BR46" s="196"/>
      <c r="BS46" s="106">
        <v>0</v>
      </c>
      <c r="BT46" s="196"/>
      <c r="BU46" s="196">
        <v>0</v>
      </c>
      <c r="BV46" s="106">
        <v>0</v>
      </c>
      <c r="BW46" s="196"/>
      <c r="BX46" s="196">
        <v>0</v>
      </c>
      <c r="BY46" s="95"/>
      <c r="BZ46" s="182"/>
      <c r="CA46" s="95"/>
      <c r="CB46" s="95"/>
      <c r="CC46" s="182"/>
      <c r="CD46" s="106"/>
      <c r="CE46" s="106"/>
      <c r="CF46" s="196"/>
      <c r="CG46" s="106"/>
      <c r="CH46" s="106"/>
      <c r="CI46" s="196"/>
      <c r="CJ46" s="106"/>
      <c r="CK46" s="106"/>
      <c r="CL46" s="196"/>
      <c r="CM46" s="106"/>
      <c r="CN46" s="182">
        <f t="shared" si="39"/>
        <v>7641.9383323799993</v>
      </c>
      <c r="CO46" s="112">
        <f>CO47+(-CR47)</f>
        <v>735.84000000000015</v>
      </c>
      <c r="CP46" s="182">
        <f t="shared" ref="CP46:CP77" si="47">CR46*G46</f>
        <v>-3912.6780000000003</v>
      </c>
      <c r="CQ46" s="95">
        <f t="shared" ref="CQ46:CQ77" si="48">AL46+AZ46+AQ46</f>
        <v>23543.63</v>
      </c>
      <c r="CR46" s="112">
        <v>-7113.96</v>
      </c>
      <c r="CS46" s="113"/>
      <c r="CT46" s="113"/>
      <c r="CU46" s="187"/>
      <c r="CV46" s="187"/>
      <c r="CW46" s="240"/>
    </row>
    <row r="47" spans="1:101" s="51" customFormat="1" ht="19.899999999999999" customHeight="1" x14ac:dyDescent="0.3">
      <c r="A47" s="148" t="s">
        <v>180</v>
      </c>
      <c r="B47" s="50">
        <v>21040540</v>
      </c>
      <c r="C47" s="148" t="s">
        <v>181</v>
      </c>
      <c r="D47" s="104" t="s">
        <v>182</v>
      </c>
      <c r="E47" s="104" t="s">
        <v>139</v>
      </c>
      <c r="F47" s="105">
        <v>36000</v>
      </c>
      <c r="G47" s="188">
        <v>0.55000000000000004</v>
      </c>
      <c r="H47" s="118">
        <f t="shared" si="0"/>
        <v>19800</v>
      </c>
      <c r="I47" s="93" t="s">
        <v>130</v>
      </c>
      <c r="J47" s="96" t="s">
        <v>183</v>
      </c>
      <c r="K47" s="49" t="s">
        <v>184</v>
      </c>
      <c r="L47" s="93"/>
      <c r="M47" s="97" t="s">
        <v>144</v>
      </c>
      <c r="N47" s="97" t="s">
        <v>145</v>
      </c>
      <c r="O47" s="183">
        <v>5568.87</v>
      </c>
      <c r="P47" s="183">
        <v>0</v>
      </c>
      <c r="Q47" s="183">
        <v>5002</v>
      </c>
      <c r="R47" s="131"/>
      <c r="S47" s="183">
        <v>560.69000000000005</v>
      </c>
      <c r="T47" s="183">
        <v>0</v>
      </c>
      <c r="U47" s="183">
        <v>6.18</v>
      </c>
      <c r="V47" s="183">
        <v>0</v>
      </c>
      <c r="W47" s="183"/>
      <c r="X47" s="183"/>
      <c r="Y47" s="183"/>
      <c r="Z47" s="183"/>
      <c r="AA47" s="183"/>
      <c r="AB47" s="184">
        <v>2.0769280000000001</v>
      </c>
      <c r="AC47" s="184">
        <v>0.48596299999999998</v>
      </c>
      <c r="AD47" s="95">
        <v>8.48</v>
      </c>
      <c r="AE47" s="95">
        <v>22289.14</v>
      </c>
      <c r="AF47" s="95">
        <v>4.2</v>
      </c>
      <c r="AG47" s="95">
        <f t="shared" si="45"/>
        <v>22301.82</v>
      </c>
      <c r="AH47" s="95">
        <f t="shared" si="46"/>
        <v>10851.35073586</v>
      </c>
      <c r="AI47" s="95">
        <f t="shared" si="4"/>
        <v>0</v>
      </c>
      <c r="AJ47" s="95">
        <f t="shared" si="5"/>
        <v>14842.539999999999</v>
      </c>
      <c r="AK47" s="95">
        <f t="shared" si="6"/>
        <v>0</v>
      </c>
      <c r="AL47" s="133">
        <f t="shared" si="7"/>
        <v>14842.539999999999</v>
      </c>
      <c r="AM47" s="199">
        <f t="shared" si="8"/>
        <v>7212.9252660199991</v>
      </c>
      <c r="AN47" s="95">
        <v>1838.84</v>
      </c>
      <c r="AO47" s="95">
        <v>11163.6</v>
      </c>
      <c r="AP47" s="95">
        <v>1570.8</v>
      </c>
      <c r="AQ47" s="106">
        <f t="shared" si="9"/>
        <v>14573.24</v>
      </c>
      <c r="AR47" s="193">
        <f t="shared" si="10"/>
        <v>10007.58551072</v>
      </c>
      <c r="AS47" s="95">
        <v>8.48</v>
      </c>
      <c r="AT47" s="95">
        <v>7446.6</v>
      </c>
      <c r="AU47" s="95">
        <v>4.2</v>
      </c>
      <c r="AV47" s="95">
        <f t="shared" si="34"/>
        <v>7459.28</v>
      </c>
      <c r="AW47" s="95">
        <v>1838.84</v>
      </c>
      <c r="AX47" s="95">
        <v>11163.6</v>
      </c>
      <c r="AY47" s="95">
        <v>1570.8</v>
      </c>
      <c r="AZ47" s="95">
        <f t="shared" si="35"/>
        <v>14573.24</v>
      </c>
      <c r="BA47" s="197">
        <f t="shared" si="36"/>
        <v>10007.58551072</v>
      </c>
      <c r="BB47" s="94">
        <f t="shared" si="14"/>
        <v>0</v>
      </c>
      <c r="BC47" s="105">
        <f t="shared" si="30"/>
        <v>0</v>
      </c>
      <c r="BD47" s="94">
        <f t="shared" si="15"/>
        <v>0</v>
      </c>
      <c r="BE47" s="94">
        <f t="shared" si="31"/>
        <v>0</v>
      </c>
      <c r="BF47" s="94">
        <f t="shared" si="16"/>
        <v>0</v>
      </c>
      <c r="BG47" s="94">
        <f t="shared" si="32"/>
        <v>0</v>
      </c>
      <c r="BH47" s="94">
        <f t="shared" si="17"/>
        <v>0</v>
      </c>
      <c r="BI47" s="94">
        <f t="shared" si="18"/>
        <v>0</v>
      </c>
      <c r="BJ47" s="186">
        <f t="shared" si="19"/>
        <v>29415.78</v>
      </c>
      <c r="BK47" s="182">
        <f t="shared" si="20"/>
        <v>17220.510776739997</v>
      </c>
      <c r="BL47" s="98">
        <f t="shared" si="21"/>
        <v>29415.78</v>
      </c>
      <c r="BM47" s="99">
        <f t="shared" si="37"/>
        <v>1838.84</v>
      </c>
      <c r="BN47" s="99">
        <f t="shared" si="38"/>
        <v>12734.4</v>
      </c>
      <c r="BO47" s="182"/>
      <c r="BP47" s="182"/>
      <c r="BQ47" s="182">
        <v>0</v>
      </c>
      <c r="BR47" s="182"/>
      <c r="BS47" s="95">
        <v>0</v>
      </c>
      <c r="BT47" s="182"/>
      <c r="BU47" s="182">
        <v>0</v>
      </c>
      <c r="BV47" s="95">
        <v>0</v>
      </c>
      <c r="BW47" s="182"/>
      <c r="BX47" s="182">
        <v>0</v>
      </c>
      <c r="BY47" s="118"/>
      <c r="BZ47" s="188"/>
      <c r="CA47" s="118"/>
      <c r="CB47" s="118"/>
      <c r="CC47" s="188"/>
      <c r="CD47" s="95"/>
      <c r="CE47" s="95"/>
      <c r="CF47" s="182"/>
      <c r="CG47" s="95"/>
      <c r="CH47" s="95"/>
      <c r="CI47" s="182"/>
      <c r="CJ47" s="95"/>
      <c r="CK47" s="95"/>
      <c r="CL47" s="182"/>
      <c r="CM47" s="95"/>
      <c r="CN47" s="182">
        <f t="shared" si="39"/>
        <v>17220.510776739997</v>
      </c>
      <c r="CO47" s="112">
        <f>CO48+(-CR48)</f>
        <v>20843.75</v>
      </c>
      <c r="CP47" s="182">
        <f t="shared" si="47"/>
        <v>11059.3505</v>
      </c>
      <c r="CQ47" s="95">
        <f t="shared" si="48"/>
        <v>43989.02</v>
      </c>
      <c r="CR47" s="112">
        <v>20107.91</v>
      </c>
      <c r="CS47" s="113"/>
      <c r="CT47" s="113"/>
      <c r="CU47" s="187"/>
      <c r="CV47" s="187"/>
      <c r="CW47" s="240"/>
    </row>
    <row r="48" spans="1:101" s="51" customFormat="1" ht="19.899999999999999" customHeight="1" x14ac:dyDescent="0.3">
      <c r="A48" s="92" t="s">
        <v>180</v>
      </c>
      <c r="B48" s="49">
        <v>21040540</v>
      </c>
      <c r="C48" s="92" t="s">
        <v>181</v>
      </c>
      <c r="D48" s="93" t="s">
        <v>182</v>
      </c>
      <c r="E48" s="93" t="s">
        <v>139</v>
      </c>
      <c r="F48" s="94">
        <v>36000</v>
      </c>
      <c r="G48" s="182">
        <v>0.55000000000000004</v>
      </c>
      <c r="H48" s="95">
        <f t="shared" si="0"/>
        <v>19800</v>
      </c>
      <c r="I48" s="104" t="s">
        <v>130</v>
      </c>
      <c r="J48" s="107" t="s">
        <v>183</v>
      </c>
      <c r="K48" s="50" t="s">
        <v>184</v>
      </c>
      <c r="L48" s="104"/>
      <c r="M48" s="108" t="s">
        <v>146</v>
      </c>
      <c r="N48" s="108" t="s">
        <v>147</v>
      </c>
      <c r="O48" s="193">
        <v>5893.09</v>
      </c>
      <c r="P48" s="193">
        <v>0</v>
      </c>
      <c r="Q48" s="193">
        <v>5240.1899999999996</v>
      </c>
      <c r="R48" s="109"/>
      <c r="S48" s="193">
        <v>646.72</v>
      </c>
      <c r="T48" s="193">
        <v>0</v>
      </c>
      <c r="U48" s="193">
        <v>6.18</v>
      </c>
      <c r="V48" s="193">
        <v>0</v>
      </c>
      <c r="W48" s="193"/>
      <c r="X48" s="193"/>
      <c r="Y48" s="193"/>
      <c r="Z48" s="193"/>
      <c r="AA48" s="193"/>
      <c r="AB48" s="194">
        <v>2.1310630000000002</v>
      </c>
      <c r="AC48" s="194">
        <v>0.47434700000000002</v>
      </c>
      <c r="AD48" s="106">
        <v>2.4</v>
      </c>
      <c r="AE48" s="118">
        <v>35674.57</v>
      </c>
      <c r="AF48" s="106">
        <v>5.76</v>
      </c>
      <c r="AG48" s="106">
        <f t="shared" si="45"/>
        <v>35682.730000000003</v>
      </c>
      <c r="AH48" s="106">
        <f t="shared" si="46"/>
        <v>16929.972045710001</v>
      </c>
      <c r="AI48" s="106">
        <f t="shared" si="4"/>
        <v>2.4</v>
      </c>
      <c r="AJ48" s="106">
        <f t="shared" si="5"/>
        <v>19966.57</v>
      </c>
      <c r="AK48" s="106">
        <f t="shared" si="6"/>
        <v>5.76</v>
      </c>
      <c r="AL48" s="132">
        <f t="shared" si="7"/>
        <v>19974.73</v>
      </c>
      <c r="AM48" s="198">
        <f t="shared" si="8"/>
        <v>9478.9293697100002</v>
      </c>
      <c r="AN48" s="106">
        <v>2329.19</v>
      </c>
      <c r="AO48" s="106">
        <v>11356.8</v>
      </c>
      <c r="AP48" s="106">
        <v>1919.4</v>
      </c>
      <c r="AQ48" s="95">
        <f t="shared" si="9"/>
        <v>15605.39</v>
      </c>
      <c r="AR48" s="183">
        <f t="shared" si="10"/>
        <v>11261.176270370001</v>
      </c>
      <c r="AS48" s="106">
        <v>0</v>
      </c>
      <c r="AT48" s="106">
        <v>15708</v>
      </c>
      <c r="AU48" s="106">
        <v>0</v>
      </c>
      <c r="AV48" s="106">
        <f t="shared" si="34"/>
        <v>15708</v>
      </c>
      <c r="AW48" s="106">
        <v>2329.19</v>
      </c>
      <c r="AX48" s="106">
        <v>11356.8</v>
      </c>
      <c r="AY48" s="106">
        <v>1919.4</v>
      </c>
      <c r="AZ48" s="106">
        <f t="shared" si="35"/>
        <v>15605.39</v>
      </c>
      <c r="BA48" s="197">
        <f t="shared" si="36"/>
        <v>11261.176270370001</v>
      </c>
      <c r="BB48" s="105">
        <f t="shared" si="14"/>
        <v>0</v>
      </c>
      <c r="BC48" s="105">
        <f t="shared" si="30"/>
        <v>0</v>
      </c>
      <c r="BD48" s="105">
        <f t="shared" si="15"/>
        <v>0</v>
      </c>
      <c r="BE48" s="105">
        <f t="shared" si="31"/>
        <v>0</v>
      </c>
      <c r="BF48" s="105">
        <f t="shared" si="16"/>
        <v>0</v>
      </c>
      <c r="BG48" s="105">
        <f t="shared" si="32"/>
        <v>0</v>
      </c>
      <c r="BH48" s="105">
        <f t="shared" si="17"/>
        <v>0</v>
      </c>
      <c r="BI48" s="105">
        <f t="shared" si="18"/>
        <v>0</v>
      </c>
      <c r="BJ48" s="186">
        <f t="shared" si="19"/>
        <v>35580.119999999995</v>
      </c>
      <c r="BK48" s="182">
        <f t="shared" si="20"/>
        <v>20740.105640080001</v>
      </c>
      <c r="BL48" s="98">
        <f t="shared" si="21"/>
        <v>35580.119999999995</v>
      </c>
      <c r="BM48" s="99">
        <f t="shared" si="37"/>
        <v>2329.19</v>
      </c>
      <c r="BN48" s="99">
        <f t="shared" si="38"/>
        <v>13276.199999999999</v>
      </c>
      <c r="BO48" s="196"/>
      <c r="BP48" s="196"/>
      <c r="BQ48" s="196">
        <v>0</v>
      </c>
      <c r="BR48" s="196"/>
      <c r="BS48" s="106">
        <v>0</v>
      </c>
      <c r="BT48" s="196"/>
      <c r="BU48" s="196">
        <v>0</v>
      </c>
      <c r="BV48" s="106">
        <v>0</v>
      </c>
      <c r="BW48" s="196"/>
      <c r="BX48" s="196">
        <v>0</v>
      </c>
      <c r="BY48" s="95"/>
      <c r="BZ48" s="182"/>
      <c r="CA48" s="95"/>
      <c r="CB48" s="95"/>
      <c r="CC48" s="182"/>
      <c r="CD48" s="106"/>
      <c r="CE48" s="106"/>
      <c r="CF48" s="196"/>
      <c r="CG48" s="106"/>
      <c r="CH48" s="106"/>
      <c r="CI48" s="196"/>
      <c r="CJ48" s="106"/>
      <c r="CK48" s="106"/>
      <c r="CL48" s="196"/>
      <c r="CM48" s="106"/>
      <c r="CN48" s="182">
        <f t="shared" si="39"/>
        <v>20740.105640080001</v>
      </c>
      <c r="CO48" s="112">
        <f>CO49+(-CR49)</f>
        <v>20946.36</v>
      </c>
      <c r="CP48" s="182">
        <f t="shared" si="47"/>
        <v>56.435500000000005</v>
      </c>
      <c r="CQ48" s="95">
        <f t="shared" si="48"/>
        <v>51185.509999999995</v>
      </c>
      <c r="CR48" s="112">
        <v>102.61</v>
      </c>
      <c r="CS48" s="113"/>
      <c r="CT48" s="113"/>
      <c r="CU48" s="187"/>
      <c r="CV48" s="187"/>
      <c r="CW48" s="240"/>
    </row>
    <row r="49" spans="1:101" s="51" customFormat="1" ht="19.899999999999999" customHeight="1" x14ac:dyDescent="0.3">
      <c r="A49" s="148" t="s">
        <v>180</v>
      </c>
      <c r="B49" s="50">
        <v>21040540</v>
      </c>
      <c r="C49" s="148" t="s">
        <v>181</v>
      </c>
      <c r="D49" s="104" t="s">
        <v>182</v>
      </c>
      <c r="E49" s="104" t="s">
        <v>139</v>
      </c>
      <c r="F49" s="105">
        <v>36000</v>
      </c>
      <c r="G49" s="188">
        <v>0.55000000000000004</v>
      </c>
      <c r="H49" s="118">
        <f t="shared" si="0"/>
        <v>19800</v>
      </c>
      <c r="I49" s="93" t="s">
        <v>130</v>
      </c>
      <c r="J49" s="96" t="s">
        <v>183</v>
      </c>
      <c r="K49" s="49" t="s">
        <v>184</v>
      </c>
      <c r="L49" s="93"/>
      <c r="M49" s="97" t="s">
        <v>148</v>
      </c>
      <c r="N49" s="97" t="s">
        <v>149</v>
      </c>
      <c r="O49" s="183">
        <v>6397.78</v>
      </c>
      <c r="P49" s="183">
        <v>0</v>
      </c>
      <c r="Q49" s="183">
        <v>5599.83</v>
      </c>
      <c r="R49" s="131"/>
      <c r="S49" s="183">
        <v>791.77</v>
      </c>
      <c r="T49" s="183">
        <v>0</v>
      </c>
      <c r="U49" s="183">
        <v>6.18</v>
      </c>
      <c r="V49" s="183">
        <v>0</v>
      </c>
      <c r="W49" s="183"/>
      <c r="X49" s="183"/>
      <c r="Y49" s="183"/>
      <c r="Z49" s="183"/>
      <c r="AA49" s="183"/>
      <c r="AB49" s="184">
        <v>2.1982050000000002</v>
      </c>
      <c r="AC49" s="184">
        <v>0.44547700000000001</v>
      </c>
      <c r="AD49" s="95">
        <v>14.17</v>
      </c>
      <c r="AE49" s="95">
        <v>36074.89</v>
      </c>
      <c r="AF49" s="95">
        <v>22.99</v>
      </c>
      <c r="AG49" s="95">
        <f t="shared" si="45"/>
        <v>36112.049999999996</v>
      </c>
      <c r="AH49" s="95">
        <f t="shared" si="46"/>
        <v>16111.92385361</v>
      </c>
      <c r="AI49" s="95">
        <f t="shared" si="4"/>
        <v>14.17</v>
      </c>
      <c r="AJ49" s="95">
        <f t="shared" si="5"/>
        <v>19501.689999999999</v>
      </c>
      <c r="AK49" s="95">
        <f t="shared" si="6"/>
        <v>22.99</v>
      </c>
      <c r="AL49" s="133">
        <f t="shared" si="7"/>
        <v>19538.849999999999</v>
      </c>
      <c r="AM49" s="199">
        <f t="shared" si="8"/>
        <v>8728.9444372100006</v>
      </c>
      <c r="AN49" s="106">
        <v>2789.85</v>
      </c>
      <c r="AO49" s="106">
        <v>10395</v>
      </c>
      <c r="AP49" s="106">
        <v>1932</v>
      </c>
      <c r="AQ49" s="106">
        <f t="shared" si="9"/>
        <v>15116.85</v>
      </c>
      <c r="AR49" s="193">
        <f t="shared" si="10"/>
        <v>11624.057198250001</v>
      </c>
      <c r="AS49" s="106">
        <v>0</v>
      </c>
      <c r="AT49" s="106">
        <v>16573.2</v>
      </c>
      <c r="AU49" s="106">
        <v>0</v>
      </c>
      <c r="AV49" s="106">
        <f t="shared" si="34"/>
        <v>16573.2</v>
      </c>
      <c r="AW49" s="106">
        <v>2789.85</v>
      </c>
      <c r="AX49" s="106">
        <v>10395</v>
      </c>
      <c r="AY49" s="106">
        <v>1932</v>
      </c>
      <c r="AZ49" s="106">
        <f t="shared" si="35"/>
        <v>15116.85</v>
      </c>
      <c r="BA49" s="197">
        <f t="shared" si="36"/>
        <v>11624.057198250001</v>
      </c>
      <c r="BB49" s="105">
        <f t="shared" si="14"/>
        <v>0</v>
      </c>
      <c r="BC49" s="105">
        <f t="shared" si="30"/>
        <v>0</v>
      </c>
      <c r="BD49" s="105">
        <f t="shared" si="15"/>
        <v>0</v>
      </c>
      <c r="BE49" s="105">
        <f t="shared" si="31"/>
        <v>0</v>
      </c>
      <c r="BF49" s="105">
        <f t="shared" si="16"/>
        <v>0</v>
      </c>
      <c r="BG49" s="105">
        <f t="shared" si="32"/>
        <v>0</v>
      </c>
      <c r="BH49" s="105">
        <f t="shared" si="17"/>
        <v>0</v>
      </c>
      <c r="BI49" s="105">
        <f t="shared" si="18"/>
        <v>0</v>
      </c>
      <c r="BJ49" s="186">
        <f t="shared" si="19"/>
        <v>34655.699999999997</v>
      </c>
      <c r="BK49" s="182">
        <f t="shared" si="20"/>
        <v>20353.001635460001</v>
      </c>
      <c r="BL49" s="98">
        <f t="shared" si="21"/>
        <v>34655.699999999997</v>
      </c>
      <c r="BM49" s="99">
        <f t="shared" si="37"/>
        <v>2789.85</v>
      </c>
      <c r="BN49" s="99">
        <f t="shared" si="38"/>
        <v>12327</v>
      </c>
      <c r="BO49" s="196"/>
      <c r="BP49" s="196"/>
      <c r="BQ49" s="196"/>
      <c r="BR49" s="196"/>
      <c r="BS49" s="106"/>
      <c r="BT49" s="196"/>
      <c r="BU49" s="196"/>
      <c r="BV49" s="106"/>
      <c r="BW49" s="196"/>
      <c r="BX49" s="196"/>
      <c r="BY49" s="118"/>
      <c r="BZ49" s="188"/>
      <c r="CA49" s="118"/>
      <c r="CB49" s="118"/>
      <c r="CC49" s="188"/>
      <c r="CD49" s="106"/>
      <c r="CE49" s="106"/>
      <c r="CF49" s="196"/>
      <c r="CG49" s="106"/>
      <c r="CH49" s="106"/>
      <c r="CI49" s="196"/>
      <c r="CJ49" s="106"/>
      <c r="CK49" s="106"/>
      <c r="CL49" s="196"/>
      <c r="CM49" s="106"/>
      <c r="CN49" s="182">
        <f t="shared" si="39"/>
        <v>20353.001635460001</v>
      </c>
      <c r="CO49" s="112">
        <f>CO50+(-CR50)</f>
        <v>22402.71</v>
      </c>
      <c r="CP49" s="182">
        <f t="shared" si="47"/>
        <v>800.99250000000006</v>
      </c>
      <c r="CQ49" s="95">
        <f t="shared" si="48"/>
        <v>49772.549999999996</v>
      </c>
      <c r="CR49" s="112">
        <v>1456.35</v>
      </c>
      <c r="CS49" s="113"/>
      <c r="CT49" s="113"/>
      <c r="CU49" s="187"/>
      <c r="CV49" s="187"/>
      <c r="CW49" s="240"/>
    </row>
    <row r="50" spans="1:101" s="51" customFormat="1" ht="19.899999999999999" customHeight="1" x14ac:dyDescent="0.3">
      <c r="A50" s="92" t="s">
        <v>180</v>
      </c>
      <c r="B50" s="49">
        <v>21040540</v>
      </c>
      <c r="C50" s="92" t="s">
        <v>181</v>
      </c>
      <c r="D50" s="93" t="s">
        <v>182</v>
      </c>
      <c r="E50" s="93" t="s">
        <v>139</v>
      </c>
      <c r="F50" s="94">
        <v>36000</v>
      </c>
      <c r="G50" s="182">
        <v>0.55000000000000004</v>
      </c>
      <c r="H50" s="95">
        <f t="shared" si="0"/>
        <v>19800</v>
      </c>
      <c r="I50" s="104" t="s">
        <v>130</v>
      </c>
      <c r="J50" s="107" t="s">
        <v>183</v>
      </c>
      <c r="K50" s="50" t="s">
        <v>184</v>
      </c>
      <c r="L50" s="104"/>
      <c r="M50" s="108" t="s">
        <v>150</v>
      </c>
      <c r="N50" s="108" t="s">
        <v>151</v>
      </c>
      <c r="O50" s="193">
        <v>6226.04</v>
      </c>
      <c r="P50" s="193">
        <v>0</v>
      </c>
      <c r="Q50" s="193">
        <v>5521.49</v>
      </c>
      <c r="R50" s="109"/>
      <c r="S50" s="193">
        <v>675.42</v>
      </c>
      <c r="T50" s="193">
        <v>0</v>
      </c>
      <c r="U50" s="193">
        <v>6.18</v>
      </c>
      <c r="V50" s="193">
        <v>0</v>
      </c>
      <c r="W50" s="193"/>
      <c r="X50" s="193"/>
      <c r="Y50" s="193"/>
      <c r="Z50" s="193">
        <v>22.95</v>
      </c>
      <c r="AA50" s="193"/>
      <c r="AB50" s="194">
        <v>2.1674530000000001</v>
      </c>
      <c r="AC50" s="194">
        <v>0.439245</v>
      </c>
      <c r="AD50" s="106">
        <v>50.6</v>
      </c>
      <c r="AE50" s="118">
        <v>37774.25</v>
      </c>
      <c r="AF50" s="106">
        <v>16.45</v>
      </c>
      <c r="AG50" s="106">
        <f t="shared" si="45"/>
        <v>37841.299999999996</v>
      </c>
      <c r="AH50" s="106">
        <f t="shared" si="46"/>
        <v>16709.049143299999</v>
      </c>
      <c r="AI50" s="106">
        <f t="shared" si="4"/>
        <v>50.6</v>
      </c>
      <c r="AJ50" s="106">
        <f t="shared" si="5"/>
        <v>18492.05</v>
      </c>
      <c r="AK50" s="106">
        <f t="shared" si="6"/>
        <v>16.45</v>
      </c>
      <c r="AL50" s="132">
        <f t="shared" si="7"/>
        <v>18559.099999999999</v>
      </c>
      <c r="AM50" s="198">
        <f t="shared" si="8"/>
        <v>8239.4392043000007</v>
      </c>
      <c r="AN50" s="106">
        <v>2097.39</v>
      </c>
      <c r="AO50" s="106">
        <v>9622.2000000000007</v>
      </c>
      <c r="AP50" s="106">
        <v>1562.4</v>
      </c>
      <c r="AQ50" s="95">
        <f t="shared" si="9"/>
        <v>13281.99</v>
      </c>
      <c r="AR50" s="183">
        <f t="shared" si="10"/>
        <v>9458.7738746699997</v>
      </c>
      <c r="AS50" s="106">
        <v>0</v>
      </c>
      <c r="AT50" s="106">
        <v>19282.2</v>
      </c>
      <c r="AU50" s="106">
        <v>0</v>
      </c>
      <c r="AV50" s="106">
        <f t="shared" si="34"/>
        <v>19282.2</v>
      </c>
      <c r="AW50" s="106">
        <v>2097.39</v>
      </c>
      <c r="AX50" s="106">
        <v>9622.2000000000007</v>
      </c>
      <c r="AY50" s="106">
        <v>1562.4</v>
      </c>
      <c r="AZ50" s="106">
        <f t="shared" si="35"/>
        <v>13281.99</v>
      </c>
      <c r="BA50" s="197">
        <f t="shared" si="36"/>
        <v>9458.7738746699997</v>
      </c>
      <c r="BB50" s="105">
        <f t="shared" si="14"/>
        <v>0</v>
      </c>
      <c r="BC50" s="105">
        <f t="shared" si="30"/>
        <v>0</v>
      </c>
      <c r="BD50" s="105">
        <f t="shared" si="15"/>
        <v>0</v>
      </c>
      <c r="BE50" s="105">
        <f t="shared" si="31"/>
        <v>0</v>
      </c>
      <c r="BF50" s="105">
        <f t="shared" si="16"/>
        <v>0</v>
      </c>
      <c r="BG50" s="105">
        <f t="shared" si="32"/>
        <v>0</v>
      </c>
      <c r="BH50" s="105">
        <f t="shared" si="17"/>
        <v>0</v>
      </c>
      <c r="BI50" s="105">
        <f t="shared" si="18"/>
        <v>0</v>
      </c>
      <c r="BJ50" s="186">
        <f t="shared" si="19"/>
        <v>31841.089999999997</v>
      </c>
      <c r="BK50" s="182">
        <f t="shared" si="20"/>
        <v>17698.213078969999</v>
      </c>
      <c r="BL50" s="98">
        <f t="shared" si="21"/>
        <v>31841.089999999997</v>
      </c>
      <c r="BM50" s="99">
        <f t="shared" si="37"/>
        <v>2097.39</v>
      </c>
      <c r="BN50" s="99">
        <f t="shared" si="38"/>
        <v>11184.6</v>
      </c>
      <c r="BO50" s="196"/>
      <c r="BP50" s="196"/>
      <c r="BQ50" s="196"/>
      <c r="BR50" s="196"/>
      <c r="BS50" s="106"/>
      <c r="BT50" s="196"/>
      <c r="BU50" s="196"/>
      <c r="BV50" s="106"/>
      <c r="BW50" s="196"/>
      <c r="BX50" s="196"/>
      <c r="BY50" s="95"/>
      <c r="BZ50" s="182"/>
      <c r="CA50" s="95"/>
      <c r="CB50" s="95"/>
      <c r="CC50" s="182"/>
      <c r="CD50" s="106"/>
      <c r="CE50" s="106"/>
      <c r="CF50" s="196"/>
      <c r="CG50" s="106"/>
      <c r="CH50" s="106"/>
      <c r="CI50" s="196"/>
      <c r="CJ50" s="106"/>
      <c r="CK50" s="106"/>
      <c r="CL50" s="196"/>
      <c r="CM50" s="106"/>
      <c r="CN50" s="182">
        <f t="shared" si="39"/>
        <v>17698.213078969999</v>
      </c>
      <c r="CO50" s="112">
        <f>CO51+(-CR51)</f>
        <v>28402.92</v>
      </c>
      <c r="CP50" s="182">
        <f t="shared" si="47"/>
        <v>3300.1155000000003</v>
      </c>
      <c r="CQ50" s="95">
        <f t="shared" si="48"/>
        <v>45123.079999999994</v>
      </c>
      <c r="CR50" s="112">
        <v>6000.21</v>
      </c>
      <c r="CS50" s="113"/>
      <c r="CT50" s="113"/>
      <c r="CU50" s="187"/>
      <c r="CV50" s="187"/>
      <c r="CW50" s="240"/>
    </row>
    <row r="51" spans="1:101" s="51" customFormat="1" ht="19.899999999999999" customHeight="1" x14ac:dyDescent="0.3">
      <c r="A51" s="148" t="s">
        <v>180</v>
      </c>
      <c r="B51" s="50">
        <v>21040540</v>
      </c>
      <c r="C51" s="148" t="s">
        <v>181</v>
      </c>
      <c r="D51" s="104" t="s">
        <v>182</v>
      </c>
      <c r="E51" s="104" t="s">
        <v>139</v>
      </c>
      <c r="F51" s="105">
        <v>36000</v>
      </c>
      <c r="G51" s="188">
        <v>0.55000000000000004</v>
      </c>
      <c r="H51" s="118">
        <f t="shared" si="0"/>
        <v>19800</v>
      </c>
      <c r="I51" s="93" t="s">
        <v>130</v>
      </c>
      <c r="J51" s="96" t="s">
        <v>183</v>
      </c>
      <c r="K51" s="49" t="s">
        <v>184</v>
      </c>
      <c r="L51" s="93"/>
      <c r="M51" s="97" t="s">
        <v>152</v>
      </c>
      <c r="N51" s="97" t="s">
        <v>153</v>
      </c>
      <c r="O51" s="183">
        <v>5340.6</v>
      </c>
      <c r="P51" s="187">
        <v>1179.98</v>
      </c>
      <c r="Q51" s="183">
        <v>4326.6400000000003</v>
      </c>
      <c r="R51" s="131"/>
      <c r="S51" s="183">
        <v>13.37</v>
      </c>
      <c r="T51" s="183"/>
      <c r="U51" s="183">
        <v>6.2</v>
      </c>
      <c r="V51" s="183">
        <v>0</v>
      </c>
      <c r="W51" s="183"/>
      <c r="X51" s="183"/>
      <c r="Y51" s="183"/>
      <c r="Z51" s="183">
        <v>994.39</v>
      </c>
      <c r="AA51" s="183"/>
      <c r="AB51" s="184">
        <v>2.1616230000000001</v>
      </c>
      <c r="AC51" s="184">
        <v>0.43806400000000001</v>
      </c>
      <c r="AD51" s="95">
        <v>121.23</v>
      </c>
      <c r="AE51" s="95">
        <v>32850.81</v>
      </c>
      <c r="AF51" s="95">
        <v>0.88</v>
      </c>
      <c r="AG51" s="95">
        <f t="shared" si="45"/>
        <v>32972.92</v>
      </c>
      <c r="AH51" s="95">
        <f t="shared" si="46"/>
        <v>14653.196284449999</v>
      </c>
      <c r="AI51" s="95">
        <f t="shared" si="4"/>
        <v>121.23</v>
      </c>
      <c r="AJ51" s="95">
        <f t="shared" si="5"/>
        <v>18646.409999999996</v>
      </c>
      <c r="AK51" s="95">
        <f t="shared" si="6"/>
        <v>0.88</v>
      </c>
      <c r="AL51" s="133">
        <f t="shared" si="7"/>
        <v>18768.519999999997</v>
      </c>
      <c r="AM51" s="199">
        <f t="shared" si="8"/>
        <v>8430.7600028499983</v>
      </c>
      <c r="AN51" s="106">
        <v>2561.62</v>
      </c>
      <c r="AO51" s="106">
        <v>11264.4</v>
      </c>
      <c r="AP51" s="106">
        <v>1864.8</v>
      </c>
      <c r="AQ51" s="95">
        <f t="shared" si="9"/>
        <v>15690.82</v>
      </c>
      <c r="AR51" s="183">
        <f t="shared" si="10"/>
        <v>11288.68657806</v>
      </c>
      <c r="AS51" s="106">
        <v>0</v>
      </c>
      <c r="AT51" s="106">
        <v>14204.4</v>
      </c>
      <c r="AU51" s="106">
        <v>0</v>
      </c>
      <c r="AV51" s="106">
        <f t="shared" si="34"/>
        <v>14204.4</v>
      </c>
      <c r="AW51" s="106">
        <v>2561.62</v>
      </c>
      <c r="AX51" s="106">
        <v>11264.4</v>
      </c>
      <c r="AY51" s="106">
        <v>1864.8</v>
      </c>
      <c r="AZ51" s="106">
        <f t="shared" si="35"/>
        <v>15690.82</v>
      </c>
      <c r="BA51" s="197">
        <f t="shared" si="36"/>
        <v>11288.68657806</v>
      </c>
      <c r="BB51" s="105">
        <f t="shared" si="14"/>
        <v>0</v>
      </c>
      <c r="BC51" s="105">
        <f t="shared" si="30"/>
        <v>0</v>
      </c>
      <c r="BD51" s="105">
        <f t="shared" si="15"/>
        <v>0</v>
      </c>
      <c r="BE51" s="105">
        <f t="shared" si="31"/>
        <v>0</v>
      </c>
      <c r="BF51" s="105">
        <f t="shared" si="16"/>
        <v>0</v>
      </c>
      <c r="BG51" s="105">
        <f t="shared" si="32"/>
        <v>0</v>
      </c>
      <c r="BH51" s="105">
        <f t="shared" si="17"/>
        <v>0</v>
      </c>
      <c r="BI51" s="105">
        <f t="shared" si="18"/>
        <v>0</v>
      </c>
      <c r="BJ51" s="186">
        <f t="shared" si="19"/>
        <v>34459.339999999997</v>
      </c>
      <c r="BK51" s="182">
        <f t="shared" si="20"/>
        <v>19719.446580909997</v>
      </c>
      <c r="BL51" s="98">
        <f t="shared" si="21"/>
        <v>34459.339999999997</v>
      </c>
      <c r="BM51" s="99">
        <f t="shared" si="37"/>
        <v>2561.62</v>
      </c>
      <c r="BN51" s="99">
        <f t="shared" si="38"/>
        <v>13129.199999999999</v>
      </c>
      <c r="BO51" s="196"/>
      <c r="BP51" s="196"/>
      <c r="BQ51" s="196"/>
      <c r="BR51" s="196"/>
      <c r="BS51" s="106"/>
      <c r="BT51" s="196"/>
      <c r="BU51" s="196"/>
      <c r="BV51" s="106"/>
      <c r="BW51" s="196"/>
      <c r="BX51" s="196"/>
      <c r="BY51" s="118"/>
      <c r="BZ51" s="188"/>
      <c r="CA51" s="118"/>
      <c r="CB51" s="118"/>
      <c r="CC51" s="188"/>
      <c r="CD51" s="106"/>
      <c r="CE51" s="106"/>
      <c r="CF51" s="196"/>
      <c r="CG51" s="106"/>
      <c r="CH51" s="106"/>
      <c r="CI51" s="196"/>
      <c r="CJ51" s="106"/>
      <c r="CK51" s="106"/>
      <c r="CL51" s="196"/>
      <c r="CM51" s="106"/>
      <c r="CN51" s="182">
        <f t="shared" si="39"/>
        <v>19719.446580909997</v>
      </c>
      <c r="CO51" s="112">
        <v>26916.5</v>
      </c>
      <c r="CP51" s="182">
        <f t="shared" si="47"/>
        <v>-817.53100000000006</v>
      </c>
      <c r="CQ51" s="95">
        <f t="shared" si="48"/>
        <v>50150.159999999996</v>
      </c>
      <c r="CR51" s="112">
        <v>-1486.42</v>
      </c>
      <c r="CS51" s="113"/>
      <c r="CT51" s="113"/>
      <c r="CU51" s="187"/>
      <c r="CW51" s="240"/>
    </row>
    <row r="52" spans="1:101" s="51" customFormat="1" ht="19.899999999999999" customHeight="1" x14ac:dyDescent="0.3">
      <c r="A52" s="92" t="s">
        <v>180</v>
      </c>
      <c r="B52" s="49">
        <v>21040540</v>
      </c>
      <c r="C52" s="92" t="s">
        <v>181</v>
      </c>
      <c r="D52" s="93" t="s">
        <v>182</v>
      </c>
      <c r="E52" s="93" t="s">
        <v>139</v>
      </c>
      <c r="F52" s="94">
        <v>36000</v>
      </c>
      <c r="G52" s="182">
        <v>0.55000000000000004</v>
      </c>
      <c r="H52" s="95">
        <f t="shared" si="0"/>
        <v>19800</v>
      </c>
      <c r="I52" s="104" t="s">
        <v>130</v>
      </c>
      <c r="J52" s="107" t="s">
        <v>183</v>
      </c>
      <c r="K52" s="50" t="s">
        <v>184</v>
      </c>
      <c r="L52" s="93"/>
      <c r="M52" s="97" t="s">
        <v>155</v>
      </c>
      <c r="N52" s="97" t="s">
        <v>156</v>
      </c>
      <c r="O52" s="183">
        <v>0</v>
      </c>
      <c r="P52" s="187">
        <v>221.52</v>
      </c>
      <c r="Q52" s="183">
        <v>4742.08</v>
      </c>
      <c r="R52" s="131"/>
      <c r="S52" s="183">
        <v>12.13</v>
      </c>
      <c r="T52" s="183"/>
      <c r="U52" s="183">
        <v>6.2</v>
      </c>
      <c r="V52" s="183">
        <v>0</v>
      </c>
      <c r="W52" s="183"/>
      <c r="X52" s="183"/>
      <c r="Y52" s="183"/>
      <c r="Z52" s="183">
        <f>807.62+654.97-6223</f>
        <v>-4760.41</v>
      </c>
      <c r="AA52" s="183"/>
      <c r="AB52" s="184">
        <v>2.2055660000000001</v>
      </c>
      <c r="AC52" s="184">
        <v>0.44696799999999998</v>
      </c>
      <c r="AD52" s="95">
        <v>88.47</v>
      </c>
      <c r="AE52" s="95">
        <v>29516.87</v>
      </c>
      <c r="AF52" s="95">
        <v>0</v>
      </c>
      <c r="AG52" s="95">
        <f t="shared" si="45"/>
        <v>29605.34</v>
      </c>
      <c r="AH52" s="95">
        <f t="shared" si="46"/>
        <v>13388.222774179998</v>
      </c>
      <c r="AI52" s="95">
        <f t="shared" si="4"/>
        <v>87.63</v>
      </c>
      <c r="AJ52" s="95">
        <f t="shared" si="5"/>
        <v>16816.07</v>
      </c>
      <c r="AK52" s="95">
        <f t="shared" si="6"/>
        <v>0</v>
      </c>
      <c r="AL52" s="133">
        <f t="shared" si="7"/>
        <v>16903.7</v>
      </c>
      <c r="AM52" s="199">
        <f t="shared" si="8"/>
        <v>7709.5189243399991</v>
      </c>
      <c r="AN52" s="106">
        <v>1987.23</v>
      </c>
      <c r="AO52" s="106">
        <v>11823</v>
      </c>
      <c r="AP52" s="106">
        <v>1596</v>
      </c>
      <c r="AQ52" s="95">
        <f t="shared" si="9"/>
        <v>15406.23</v>
      </c>
      <c r="AR52" s="183">
        <f t="shared" si="10"/>
        <v>10380.830514180001</v>
      </c>
      <c r="AS52" s="106">
        <v>0.84</v>
      </c>
      <c r="AT52" s="106">
        <v>12700.8</v>
      </c>
      <c r="AU52" s="106">
        <v>0</v>
      </c>
      <c r="AV52" s="106">
        <f t="shared" si="34"/>
        <v>12701.64</v>
      </c>
      <c r="AW52" s="106">
        <v>1987.23</v>
      </c>
      <c r="AX52" s="106">
        <v>11823</v>
      </c>
      <c r="AY52" s="106">
        <v>1596</v>
      </c>
      <c r="AZ52" s="106">
        <f t="shared" si="35"/>
        <v>15406.23</v>
      </c>
      <c r="BA52" s="197">
        <f t="shared" si="36"/>
        <v>10380.830514180001</v>
      </c>
      <c r="BB52" s="105">
        <f t="shared" si="14"/>
        <v>0</v>
      </c>
      <c r="BC52" s="105">
        <f t="shared" si="30"/>
        <v>0</v>
      </c>
      <c r="BD52" s="105">
        <f t="shared" si="15"/>
        <v>0</v>
      </c>
      <c r="BE52" s="105">
        <f t="shared" si="31"/>
        <v>0</v>
      </c>
      <c r="BF52" s="105">
        <f t="shared" si="16"/>
        <v>0</v>
      </c>
      <c r="BG52" s="105">
        <f t="shared" si="32"/>
        <v>0</v>
      </c>
      <c r="BH52" s="105">
        <f t="shared" si="17"/>
        <v>0</v>
      </c>
      <c r="BI52" s="105">
        <f t="shared" si="18"/>
        <v>0</v>
      </c>
      <c r="BJ52" s="186">
        <f t="shared" si="19"/>
        <v>32309.93</v>
      </c>
      <c r="BK52" s="182">
        <f t="shared" si="20"/>
        <v>18090.349438519999</v>
      </c>
      <c r="BL52" s="98">
        <f t="shared" si="21"/>
        <v>32309.93</v>
      </c>
      <c r="BM52" s="99">
        <f t="shared" si="37"/>
        <v>1987.23</v>
      </c>
      <c r="BN52" s="99">
        <f t="shared" si="38"/>
        <v>13419</v>
      </c>
      <c r="BO52" s="196"/>
      <c r="BP52" s="196"/>
      <c r="BQ52" s="196"/>
      <c r="BR52" s="196"/>
      <c r="BS52" s="106"/>
      <c r="BT52" s="196"/>
      <c r="BU52" s="196"/>
      <c r="BV52" s="106"/>
      <c r="BW52" s="196"/>
      <c r="BX52" s="196"/>
      <c r="BY52" s="95"/>
      <c r="BZ52" s="182"/>
      <c r="CA52" s="95"/>
      <c r="CB52" s="95"/>
      <c r="CC52" s="182"/>
      <c r="CD52" s="106"/>
      <c r="CE52" s="106"/>
      <c r="CF52" s="196"/>
      <c r="CG52" s="106"/>
      <c r="CH52" s="106"/>
      <c r="CI52" s="196"/>
      <c r="CJ52" s="106"/>
      <c r="CK52" s="106"/>
      <c r="CL52" s="196"/>
      <c r="CM52" s="106"/>
      <c r="CN52" s="182">
        <f t="shared" si="39"/>
        <v>18090.349438519999</v>
      </c>
      <c r="CO52" s="112">
        <v>24211.91</v>
      </c>
      <c r="CP52" s="182">
        <f t="shared" si="47"/>
        <v>0</v>
      </c>
      <c r="CQ52" s="95">
        <f t="shared" si="48"/>
        <v>47716.160000000003</v>
      </c>
      <c r="CR52" s="112"/>
      <c r="CS52" s="114" t="s">
        <v>185</v>
      </c>
      <c r="CT52" s="113"/>
      <c r="CU52" s="187"/>
      <c r="CW52" s="240"/>
    </row>
    <row r="53" spans="1:101" s="51" customFormat="1" ht="19.899999999999999" customHeight="1" x14ac:dyDescent="0.3">
      <c r="A53" s="148" t="s">
        <v>180</v>
      </c>
      <c r="B53" s="50">
        <v>8327411</v>
      </c>
      <c r="C53" s="148" t="s">
        <v>186</v>
      </c>
      <c r="D53" s="104" t="s">
        <v>187</v>
      </c>
      <c r="E53" s="104" t="s">
        <v>141</v>
      </c>
      <c r="F53" s="105">
        <v>28372</v>
      </c>
      <c r="G53" s="188">
        <v>0.28000000000000003</v>
      </c>
      <c r="H53" s="118">
        <f t="shared" si="0"/>
        <v>7944.1600000000008</v>
      </c>
      <c r="I53" s="104" t="s">
        <v>141</v>
      </c>
      <c r="J53" s="107" t="s">
        <v>188</v>
      </c>
      <c r="K53" s="50" t="s">
        <v>189</v>
      </c>
      <c r="L53" s="104"/>
      <c r="M53" s="108" t="s">
        <v>141</v>
      </c>
      <c r="N53" s="108" t="s">
        <v>190</v>
      </c>
      <c r="O53" s="193">
        <v>12591.11</v>
      </c>
      <c r="P53" s="193">
        <v>0</v>
      </c>
      <c r="Q53" s="193">
        <v>10934.22</v>
      </c>
      <c r="R53" s="109"/>
      <c r="S53" s="193">
        <v>535.82000000000005</v>
      </c>
      <c r="T53" s="193">
        <v>0</v>
      </c>
      <c r="U53" s="193">
        <v>65.040000000000006</v>
      </c>
      <c r="V53" s="193">
        <v>0</v>
      </c>
      <c r="W53" s="193">
        <f>(2934-2801.09)+(5529.05-574.5-4031.43)</f>
        <v>1056.0300000000002</v>
      </c>
      <c r="X53" s="193"/>
      <c r="Y53" s="193"/>
      <c r="Z53" s="193"/>
      <c r="AA53" s="193"/>
      <c r="AB53" s="194">
        <v>3.1836799999999998</v>
      </c>
      <c r="AC53" s="194">
        <v>0.41549000000000003</v>
      </c>
      <c r="AD53" s="106">
        <v>0</v>
      </c>
      <c r="AE53" s="118">
        <v>20586.3</v>
      </c>
      <c r="AF53" s="106">
        <v>0</v>
      </c>
      <c r="AG53" s="106">
        <f t="shared" si="45"/>
        <v>20586.3</v>
      </c>
      <c r="AH53" s="106">
        <f t="shared" si="46"/>
        <v>8553.4017870000007</v>
      </c>
      <c r="AI53" s="106">
        <f t="shared" si="4"/>
        <v>0</v>
      </c>
      <c r="AJ53" s="106">
        <f t="shared" si="5"/>
        <v>13170.369999999999</v>
      </c>
      <c r="AK53" s="106">
        <f t="shared" si="6"/>
        <v>0</v>
      </c>
      <c r="AL53" s="132">
        <f t="shared" si="7"/>
        <v>13170.369999999999</v>
      </c>
      <c r="AM53" s="198">
        <f t="shared" si="8"/>
        <v>5472.1570313000002</v>
      </c>
      <c r="AN53" s="95">
        <v>1736.68</v>
      </c>
      <c r="AO53" s="95">
        <v>7061.39</v>
      </c>
      <c r="AP53" s="95">
        <v>0</v>
      </c>
      <c r="AQ53" s="106">
        <f t="shared" si="9"/>
        <v>8798.07</v>
      </c>
      <c r="AR53" s="193">
        <f t="shared" si="10"/>
        <v>8462.9703135</v>
      </c>
      <c r="AS53" s="95">
        <v>0</v>
      </c>
      <c r="AT53" s="95">
        <v>7415.93</v>
      </c>
      <c r="AU53" s="95">
        <v>0</v>
      </c>
      <c r="AV53" s="95">
        <f t="shared" si="34"/>
        <v>7415.93</v>
      </c>
      <c r="AW53" s="95">
        <v>1736.68</v>
      </c>
      <c r="AX53" s="95">
        <v>7061.39</v>
      </c>
      <c r="AY53" s="95">
        <v>0</v>
      </c>
      <c r="AZ53" s="95">
        <f t="shared" si="35"/>
        <v>8798.07</v>
      </c>
      <c r="BA53" s="197">
        <f t="shared" si="36"/>
        <v>8462.9703135</v>
      </c>
      <c r="BB53" s="94">
        <f t="shared" si="14"/>
        <v>0</v>
      </c>
      <c r="BC53" s="105">
        <f t="shared" si="30"/>
        <v>0</v>
      </c>
      <c r="BD53" s="94">
        <f t="shared" si="15"/>
        <v>0</v>
      </c>
      <c r="BE53" s="94">
        <f t="shared" si="31"/>
        <v>0</v>
      </c>
      <c r="BF53" s="94">
        <f t="shared" si="16"/>
        <v>0</v>
      </c>
      <c r="BG53" s="94">
        <f t="shared" si="32"/>
        <v>0</v>
      </c>
      <c r="BH53" s="105">
        <f t="shared" si="17"/>
        <v>0</v>
      </c>
      <c r="BI53" s="105">
        <f t="shared" si="18"/>
        <v>0</v>
      </c>
      <c r="BJ53" s="186">
        <f t="shared" si="19"/>
        <v>21968.44</v>
      </c>
      <c r="BK53" s="182">
        <f t="shared" si="20"/>
        <v>13935.127344799999</v>
      </c>
      <c r="BL53" s="98">
        <f t="shared" si="21"/>
        <v>21968.44</v>
      </c>
      <c r="BM53" s="99">
        <f t="shared" si="37"/>
        <v>1736.68</v>
      </c>
      <c r="BN53" s="99">
        <f t="shared" si="38"/>
        <v>7061.39</v>
      </c>
      <c r="BO53" s="182"/>
      <c r="BP53" s="182"/>
      <c r="BQ53" s="182">
        <v>0</v>
      </c>
      <c r="BR53" s="182"/>
      <c r="BS53" s="95">
        <v>0</v>
      </c>
      <c r="BT53" s="182"/>
      <c r="BU53" s="182">
        <v>0</v>
      </c>
      <c r="BV53" s="95">
        <v>0</v>
      </c>
      <c r="BW53" s="182"/>
      <c r="BX53" s="182">
        <v>0</v>
      </c>
      <c r="BY53" s="118"/>
      <c r="BZ53" s="188"/>
      <c r="CA53" s="118"/>
      <c r="CB53" s="118"/>
      <c r="CC53" s="188"/>
      <c r="CD53" s="95"/>
      <c r="CE53" s="95"/>
      <c r="CF53" s="182"/>
      <c r="CG53" s="95"/>
      <c r="CH53" s="95"/>
      <c r="CI53" s="182"/>
      <c r="CJ53" s="95"/>
      <c r="CK53" s="95"/>
      <c r="CL53" s="182"/>
      <c r="CM53" s="95"/>
      <c r="CN53" s="182">
        <f t="shared" si="39"/>
        <v>13935.127344799999</v>
      </c>
      <c r="CO53" s="112">
        <f>AV53-((((((AW53-AS53)*1.636665685)+AS53)+AX53+BS53+BV53+BY53)))+22518.69</f>
        <v>20030.865438174198</v>
      </c>
      <c r="CP53" s="182">
        <f t="shared" si="47"/>
        <v>-696.59087731122429</v>
      </c>
      <c r="CQ53" s="95">
        <f t="shared" si="48"/>
        <v>30766.51</v>
      </c>
      <c r="CR53" s="112">
        <f>AV53-(((AW53-AS53)*1.636665685)+AS53+AX53)</f>
        <v>-2487.8245618258006</v>
      </c>
      <c r="CS53" s="113"/>
      <c r="CT53" s="113"/>
      <c r="CU53" s="187"/>
      <c r="CV53" s="187"/>
      <c r="CW53" s="240"/>
    </row>
    <row r="54" spans="1:101" s="51" customFormat="1" ht="19.899999999999999" customHeight="1" x14ac:dyDescent="0.3">
      <c r="A54" s="92" t="s">
        <v>180</v>
      </c>
      <c r="B54" s="49">
        <v>8327411</v>
      </c>
      <c r="C54" s="92" t="s">
        <v>186</v>
      </c>
      <c r="D54" s="93" t="s">
        <v>187</v>
      </c>
      <c r="E54" s="93" t="s">
        <v>141</v>
      </c>
      <c r="F54" s="94">
        <v>28372</v>
      </c>
      <c r="G54" s="182">
        <v>0.28000000000000003</v>
      </c>
      <c r="H54" s="95">
        <f t="shared" si="0"/>
        <v>7944.1600000000008</v>
      </c>
      <c r="I54" s="93" t="s">
        <v>141</v>
      </c>
      <c r="J54" s="96" t="s">
        <v>188</v>
      </c>
      <c r="K54" s="49" t="s">
        <v>189</v>
      </c>
      <c r="L54" s="93"/>
      <c r="M54" s="97" t="s">
        <v>130</v>
      </c>
      <c r="N54" s="97" t="s">
        <v>191</v>
      </c>
      <c r="O54" s="183">
        <v>12643.54</v>
      </c>
      <c r="P54" s="183">
        <v>0</v>
      </c>
      <c r="Q54" s="183">
        <v>11004.04</v>
      </c>
      <c r="R54" s="131"/>
      <c r="S54" s="183">
        <v>450.78</v>
      </c>
      <c r="T54" s="183">
        <v>0</v>
      </c>
      <c r="U54" s="183">
        <v>65.040000000000006</v>
      </c>
      <c r="V54" s="183">
        <v>0</v>
      </c>
      <c r="W54" s="183">
        <f>(3037.53-2900.69)+(5898.39-889.25-4022.3)</f>
        <v>1123.6800000000003</v>
      </c>
      <c r="X54" s="183"/>
      <c r="Y54" s="183"/>
      <c r="Z54" s="183"/>
      <c r="AA54" s="183"/>
      <c r="AB54" s="184">
        <v>3.19333</v>
      </c>
      <c r="AC54" s="184">
        <v>0.41175</v>
      </c>
      <c r="AD54" s="95">
        <v>0.06</v>
      </c>
      <c r="AE54" s="95">
        <v>20501.7</v>
      </c>
      <c r="AF54" s="95">
        <v>0</v>
      </c>
      <c r="AG54" s="95">
        <f t="shared" si="45"/>
        <v>20501.760000000002</v>
      </c>
      <c r="AH54" s="95">
        <f t="shared" si="46"/>
        <v>8441.7665747999999</v>
      </c>
      <c r="AI54" s="95">
        <f t="shared" si="4"/>
        <v>0.06</v>
      </c>
      <c r="AJ54" s="95">
        <f t="shared" si="5"/>
        <v>12577.48</v>
      </c>
      <c r="AK54" s="95">
        <f t="shared" si="6"/>
        <v>0</v>
      </c>
      <c r="AL54" s="133">
        <f t="shared" si="7"/>
        <v>12577.539999999999</v>
      </c>
      <c r="AM54" s="199">
        <f t="shared" si="8"/>
        <v>5178.9689898000006</v>
      </c>
      <c r="AN54" s="106">
        <v>1847.09</v>
      </c>
      <c r="AO54" s="106">
        <v>7376.97</v>
      </c>
      <c r="AP54" s="106">
        <v>0</v>
      </c>
      <c r="AQ54" s="95">
        <f t="shared" si="9"/>
        <v>9224.06</v>
      </c>
      <c r="AR54" s="183">
        <f t="shared" si="10"/>
        <v>8935.8353071999991</v>
      </c>
      <c r="AS54" s="106">
        <v>0</v>
      </c>
      <c r="AT54" s="106">
        <v>7924.22</v>
      </c>
      <c r="AU54" s="106">
        <v>0</v>
      </c>
      <c r="AV54" s="106">
        <f t="shared" si="34"/>
        <v>7924.22</v>
      </c>
      <c r="AW54" s="106">
        <v>1847.09</v>
      </c>
      <c r="AX54" s="106">
        <v>7376.97</v>
      </c>
      <c r="AY54" s="106">
        <v>0</v>
      </c>
      <c r="AZ54" s="106">
        <f t="shared" si="35"/>
        <v>9224.06</v>
      </c>
      <c r="BA54" s="197">
        <f t="shared" si="36"/>
        <v>8935.8353071999991</v>
      </c>
      <c r="BB54" s="105">
        <f t="shared" si="14"/>
        <v>0</v>
      </c>
      <c r="BC54" s="105">
        <f t="shared" si="30"/>
        <v>0</v>
      </c>
      <c r="BD54" s="105">
        <f t="shared" si="15"/>
        <v>0</v>
      </c>
      <c r="BE54" s="105">
        <f t="shared" si="31"/>
        <v>0</v>
      </c>
      <c r="BF54" s="105">
        <f t="shared" si="16"/>
        <v>0</v>
      </c>
      <c r="BG54" s="105">
        <f t="shared" si="32"/>
        <v>0</v>
      </c>
      <c r="BH54" s="94">
        <f t="shared" si="17"/>
        <v>0</v>
      </c>
      <c r="BI54" s="94">
        <f t="shared" si="18"/>
        <v>0</v>
      </c>
      <c r="BJ54" s="186">
        <f t="shared" si="19"/>
        <v>21801.599999999999</v>
      </c>
      <c r="BK54" s="182">
        <f t="shared" si="20"/>
        <v>14114.804296999999</v>
      </c>
      <c r="BL54" s="98">
        <f t="shared" si="21"/>
        <v>21801.599999999999</v>
      </c>
      <c r="BM54" s="99">
        <f t="shared" si="37"/>
        <v>1847.09</v>
      </c>
      <c r="BN54" s="99">
        <f t="shared" si="38"/>
        <v>7376.97</v>
      </c>
      <c r="BO54" s="196"/>
      <c r="BP54" s="196"/>
      <c r="BQ54" s="196">
        <v>0</v>
      </c>
      <c r="BR54" s="196"/>
      <c r="BS54" s="106">
        <v>0</v>
      </c>
      <c r="BT54" s="196"/>
      <c r="BU54" s="196">
        <v>0</v>
      </c>
      <c r="BV54" s="106">
        <v>0</v>
      </c>
      <c r="BW54" s="196"/>
      <c r="BX54" s="196">
        <v>0</v>
      </c>
      <c r="BY54" s="95"/>
      <c r="BZ54" s="182"/>
      <c r="CA54" s="95"/>
      <c r="CB54" s="95"/>
      <c r="CC54" s="182"/>
      <c r="CD54" s="106"/>
      <c r="CE54" s="106"/>
      <c r="CF54" s="196"/>
      <c r="CG54" s="106"/>
      <c r="CH54" s="106"/>
      <c r="CI54" s="196"/>
      <c r="CJ54" s="106"/>
      <c r="CK54" s="106"/>
      <c r="CL54" s="196"/>
      <c r="CM54" s="106"/>
      <c r="CN54" s="182">
        <f t="shared" si="39"/>
        <v>14114.804296999999</v>
      </c>
      <c r="CO54" s="112">
        <f t="shared" ref="CO54:CO60" si="49">AV54-((((((AW54-AS54)*(392.23/239.69))+AS54)+AX54+BS54+BV54+BY54)))+CO53</f>
        <v>17555.527467462027</v>
      </c>
      <c r="CP54" s="182">
        <f t="shared" si="47"/>
        <v>-693.09463179940781</v>
      </c>
      <c r="CQ54" s="95">
        <f t="shared" si="48"/>
        <v>31025.659999999996</v>
      </c>
      <c r="CR54" s="112">
        <f t="shared" ref="CR54:CR60" si="50">AV54-(((AW54-AS54)*(392.23/239.69))+AS54+AX54)</f>
        <v>-2475.3379707121703</v>
      </c>
      <c r="CS54" s="113" t="s">
        <v>192</v>
      </c>
      <c r="CT54" s="113"/>
      <c r="CU54" s="187"/>
      <c r="CV54" s="187"/>
      <c r="CW54" s="240"/>
    </row>
    <row r="55" spans="1:101" s="51" customFormat="1" ht="19.899999999999999" customHeight="1" x14ac:dyDescent="0.3">
      <c r="A55" s="148" t="s">
        <v>180</v>
      </c>
      <c r="B55" s="50">
        <v>8327411</v>
      </c>
      <c r="C55" s="148" t="s">
        <v>186</v>
      </c>
      <c r="D55" s="104" t="s">
        <v>187</v>
      </c>
      <c r="E55" s="104" t="s">
        <v>141</v>
      </c>
      <c r="F55" s="105">
        <v>28372</v>
      </c>
      <c r="G55" s="188">
        <v>0.28000000000000003</v>
      </c>
      <c r="H55" s="118">
        <f t="shared" si="0"/>
        <v>7944.1600000000008</v>
      </c>
      <c r="I55" s="104" t="s">
        <v>141</v>
      </c>
      <c r="J55" s="107" t="s">
        <v>188</v>
      </c>
      <c r="K55" s="50" t="s">
        <v>189</v>
      </c>
      <c r="L55" s="104"/>
      <c r="M55" s="108" t="s">
        <v>144</v>
      </c>
      <c r="N55" s="108" t="s">
        <v>193</v>
      </c>
      <c r="O55" s="193">
        <v>11913.42</v>
      </c>
      <c r="P55" s="193">
        <v>0</v>
      </c>
      <c r="Q55" s="193">
        <v>11004.04</v>
      </c>
      <c r="R55" s="109"/>
      <c r="S55" s="193">
        <v>165.98</v>
      </c>
      <c r="T55" s="193">
        <v>0</v>
      </c>
      <c r="U55" s="193">
        <v>65.040000000000006</v>
      </c>
      <c r="V55" s="193">
        <v>0</v>
      </c>
      <c r="W55" s="193">
        <f>(2029.87-1938.42)+(3508.05-2921.14)</f>
        <v>678.36000000000013</v>
      </c>
      <c r="X55" s="193"/>
      <c r="Y55" s="193"/>
      <c r="Z55" s="193"/>
      <c r="AA55" s="193"/>
      <c r="AB55" s="194">
        <v>3.19333</v>
      </c>
      <c r="AC55" s="194">
        <v>0.41175</v>
      </c>
      <c r="AD55" s="106">
        <v>0.15</v>
      </c>
      <c r="AE55" s="118">
        <v>29200.31</v>
      </c>
      <c r="AF55" s="106">
        <v>0</v>
      </c>
      <c r="AG55" s="106">
        <f t="shared" si="45"/>
        <v>29200.460000000003</v>
      </c>
      <c r="AH55" s="106">
        <f t="shared" si="46"/>
        <v>12023.706641999999</v>
      </c>
      <c r="AI55" s="106">
        <f t="shared" si="4"/>
        <v>0.15</v>
      </c>
      <c r="AJ55" s="106">
        <f t="shared" si="5"/>
        <v>12806.580000000002</v>
      </c>
      <c r="AK55" s="106">
        <f t="shared" si="6"/>
        <v>0</v>
      </c>
      <c r="AL55" s="132">
        <f t="shared" si="7"/>
        <v>12806.730000000001</v>
      </c>
      <c r="AM55" s="198">
        <f t="shared" si="8"/>
        <v>5273.5883145000007</v>
      </c>
      <c r="AN55" s="95">
        <v>1098.55</v>
      </c>
      <c r="AO55" s="95">
        <v>4929.76</v>
      </c>
      <c r="AP55" s="95">
        <v>0</v>
      </c>
      <c r="AQ55" s="106">
        <f t="shared" si="9"/>
        <v>6028.31</v>
      </c>
      <c r="AR55" s="193">
        <f t="shared" si="10"/>
        <v>5537.8613514999997</v>
      </c>
      <c r="AS55" s="95">
        <v>0</v>
      </c>
      <c r="AT55" s="95">
        <v>16393.73</v>
      </c>
      <c r="AU55" s="95">
        <v>0</v>
      </c>
      <c r="AV55" s="95">
        <f t="shared" si="34"/>
        <v>16393.73</v>
      </c>
      <c r="AW55" s="95">
        <v>1098.55</v>
      </c>
      <c r="AX55" s="95">
        <v>4929.76</v>
      </c>
      <c r="AY55" s="95">
        <v>0</v>
      </c>
      <c r="AZ55" s="95">
        <f t="shared" si="35"/>
        <v>6028.31</v>
      </c>
      <c r="BA55" s="197">
        <f t="shared" si="36"/>
        <v>5537.8613514999997</v>
      </c>
      <c r="BB55" s="94">
        <f t="shared" si="14"/>
        <v>0</v>
      </c>
      <c r="BC55" s="105">
        <f t="shared" si="30"/>
        <v>0</v>
      </c>
      <c r="BD55" s="94">
        <f t="shared" si="15"/>
        <v>0</v>
      </c>
      <c r="BE55" s="94">
        <f t="shared" si="31"/>
        <v>0</v>
      </c>
      <c r="BF55" s="94">
        <f t="shared" si="16"/>
        <v>0</v>
      </c>
      <c r="BG55" s="94">
        <f t="shared" si="32"/>
        <v>0</v>
      </c>
      <c r="BH55" s="105">
        <f t="shared" si="17"/>
        <v>0</v>
      </c>
      <c r="BI55" s="105">
        <f t="shared" si="18"/>
        <v>0</v>
      </c>
      <c r="BJ55" s="186">
        <f t="shared" si="19"/>
        <v>18835.04</v>
      </c>
      <c r="BK55" s="182">
        <f t="shared" si="20"/>
        <v>10811.449666000002</v>
      </c>
      <c r="BL55" s="98">
        <f t="shared" si="21"/>
        <v>18835.04</v>
      </c>
      <c r="BM55" s="99">
        <f t="shared" si="37"/>
        <v>1098.55</v>
      </c>
      <c r="BN55" s="99">
        <f t="shared" si="38"/>
        <v>4929.76</v>
      </c>
      <c r="BO55" s="182"/>
      <c r="BP55" s="182"/>
      <c r="BQ55" s="182">
        <v>0</v>
      </c>
      <c r="BR55" s="182"/>
      <c r="BS55" s="95">
        <v>0</v>
      </c>
      <c r="BT55" s="182"/>
      <c r="BU55" s="182">
        <v>0</v>
      </c>
      <c r="BV55" s="95">
        <v>0</v>
      </c>
      <c r="BW55" s="182"/>
      <c r="BX55" s="182">
        <v>0</v>
      </c>
      <c r="BY55" s="118"/>
      <c r="BZ55" s="188"/>
      <c r="CA55" s="118"/>
      <c r="CB55" s="118"/>
      <c r="CC55" s="188"/>
      <c r="CD55" s="95"/>
      <c r="CE55" s="95"/>
      <c r="CF55" s="182"/>
      <c r="CG55" s="95"/>
      <c r="CH55" s="95"/>
      <c r="CI55" s="182"/>
      <c r="CJ55" s="95"/>
      <c r="CK55" s="95"/>
      <c r="CL55" s="182"/>
      <c r="CM55" s="95"/>
      <c r="CN55" s="182">
        <f t="shared" si="39"/>
        <v>10811.449666000002</v>
      </c>
      <c r="CO55" s="112">
        <f t="shared" si="49"/>
        <v>27221.82436261827</v>
      </c>
      <c r="CP55" s="182">
        <f t="shared" si="47"/>
        <v>2706.5631306437485</v>
      </c>
      <c r="CQ55" s="95">
        <f t="shared" si="48"/>
        <v>24863.350000000002</v>
      </c>
      <c r="CR55" s="112">
        <f t="shared" si="50"/>
        <v>9666.2968951562434</v>
      </c>
      <c r="CS55" s="113"/>
      <c r="CT55" s="113"/>
      <c r="CU55" s="187"/>
      <c r="CV55" s="187"/>
      <c r="CW55" s="240"/>
    </row>
    <row r="56" spans="1:101" s="51" customFormat="1" ht="19.899999999999999" customHeight="1" x14ac:dyDescent="0.3">
      <c r="A56" s="92" t="s">
        <v>180</v>
      </c>
      <c r="B56" s="49">
        <v>8327411</v>
      </c>
      <c r="C56" s="92" t="s">
        <v>186</v>
      </c>
      <c r="D56" s="93" t="s">
        <v>187</v>
      </c>
      <c r="E56" s="93" t="s">
        <v>141</v>
      </c>
      <c r="F56" s="94">
        <v>28372</v>
      </c>
      <c r="G56" s="182">
        <v>0.28000000000000003</v>
      </c>
      <c r="H56" s="95">
        <f t="shared" si="0"/>
        <v>7944.1600000000008</v>
      </c>
      <c r="I56" s="93" t="s">
        <v>141</v>
      </c>
      <c r="J56" s="96" t="s">
        <v>188</v>
      </c>
      <c r="K56" s="49" t="s">
        <v>189</v>
      </c>
      <c r="L56" s="93"/>
      <c r="M56" s="97" t="s">
        <v>146</v>
      </c>
      <c r="N56" s="97" t="s">
        <v>194</v>
      </c>
      <c r="O56" s="183">
        <v>12091.46</v>
      </c>
      <c r="P56" s="183">
        <v>0</v>
      </c>
      <c r="Q56" s="183">
        <v>11004.04</v>
      </c>
      <c r="R56" s="131"/>
      <c r="S56" s="183">
        <v>277.12</v>
      </c>
      <c r="T56" s="183">
        <v>0</v>
      </c>
      <c r="U56" s="183">
        <v>65.040000000000006</v>
      </c>
      <c r="V56" s="183">
        <v>0</v>
      </c>
      <c r="W56" s="183">
        <f>(2076.86-1983.29)+(3895.21-3243.52)</f>
        <v>745.26000000000022</v>
      </c>
      <c r="X56" s="183"/>
      <c r="Y56" s="183"/>
      <c r="Z56" s="183"/>
      <c r="AA56" s="183"/>
      <c r="AB56" s="184">
        <v>3.19333</v>
      </c>
      <c r="AC56" s="184">
        <v>0.41175</v>
      </c>
      <c r="AD56" s="95">
        <v>7.0000000000000007E-2</v>
      </c>
      <c r="AE56" s="95">
        <v>29245.99</v>
      </c>
      <c r="AF56" s="95">
        <v>0</v>
      </c>
      <c r="AG56" s="95">
        <f t="shared" si="45"/>
        <v>29246.06</v>
      </c>
      <c r="AH56" s="95">
        <f t="shared" si="46"/>
        <v>12042.2599156</v>
      </c>
      <c r="AI56" s="95">
        <f t="shared" si="4"/>
        <v>7.0000000000000007E-2</v>
      </c>
      <c r="AJ56" s="95">
        <f t="shared" si="5"/>
        <v>13297.29</v>
      </c>
      <c r="AK56" s="95">
        <f t="shared" si="6"/>
        <v>0</v>
      </c>
      <c r="AL56" s="133">
        <f t="shared" si="7"/>
        <v>13297.36</v>
      </c>
      <c r="AM56" s="199">
        <f t="shared" si="8"/>
        <v>5475.3826906000004</v>
      </c>
      <c r="AN56" s="106">
        <v>1219.79</v>
      </c>
      <c r="AO56" s="106">
        <v>5043.8599999999997</v>
      </c>
      <c r="AP56" s="106">
        <v>0</v>
      </c>
      <c r="AQ56" s="95">
        <f t="shared" si="9"/>
        <v>6263.65</v>
      </c>
      <c r="AR56" s="183">
        <f t="shared" si="10"/>
        <v>5972.0013557000002</v>
      </c>
      <c r="AS56" s="106">
        <v>0</v>
      </c>
      <c r="AT56" s="106">
        <v>15948.7</v>
      </c>
      <c r="AU56" s="106">
        <v>0</v>
      </c>
      <c r="AV56" s="106">
        <f t="shared" si="34"/>
        <v>15948.7</v>
      </c>
      <c r="AW56" s="106">
        <v>1219.79</v>
      </c>
      <c r="AX56" s="106">
        <v>5043.8599999999997</v>
      </c>
      <c r="AY56" s="106">
        <v>0</v>
      </c>
      <c r="AZ56" s="106">
        <f t="shared" si="35"/>
        <v>6263.65</v>
      </c>
      <c r="BA56" s="197">
        <f t="shared" si="36"/>
        <v>5972.0013557000002</v>
      </c>
      <c r="BB56" s="105">
        <f t="shared" si="14"/>
        <v>0</v>
      </c>
      <c r="BC56" s="105">
        <f t="shared" si="30"/>
        <v>0</v>
      </c>
      <c r="BD56" s="105">
        <f t="shared" si="15"/>
        <v>0</v>
      </c>
      <c r="BE56" s="105">
        <f t="shared" si="31"/>
        <v>0</v>
      </c>
      <c r="BF56" s="105">
        <f t="shared" si="16"/>
        <v>0</v>
      </c>
      <c r="BG56" s="105">
        <f t="shared" si="32"/>
        <v>0</v>
      </c>
      <c r="BH56" s="94">
        <f t="shared" si="17"/>
        <v>0</v>
      </c>
      <c r="BI56" s="94">
        <f t="shared" si="18"/>
        <v>0</v>
      </c>
      <c r="BJ56" s="186">
        <f t="shared" si="19"/>
        <v>19561.010000000002</v>
      </c>
      <c r="BK56" s="182">
        <f t="shared" si="20"/>
        <v>11447.3840463</v>
      </c>
      <c r="BL56" s="98">
        <f t="shared" si="21"/>
        <v>19561.010000000002</v>
      </c>
      <c r="BM56" s="99">
        <f t="shared" si="37"/>
        <v>1219.79</v>
      </c>
      <c r="BN56" s="99">
        <f t="shared" si="38"/>
        <v>5043.8599999999997</v>
      </c>
      <c r="BO56" s="196"/>
      <c r="BP56" s="196"/>
      <c r="BQ56" s="196">
        <v>0</v>
      </c>
      <c r="BR56" s="196"/>
      <c r="BS56" s="106">
        <v>0</v>
      </c>
      <c r="BT56" s="196"/>
      <c r="BU56" s="196">
        <v>0</v>
      </c>
      <c r="BV56" s="106">
        <v>0</v>
      </c>
      <c r="BW56" s="196"/>
      <c r="BX56" s="196">
        <v>0</v>
      </c>
      <c r="BY56" s="95"/>
      <c r="BZ56" s="182"/>
      <c r="CA56" s="95"/>
      <c r="CB56" s="95"/>
      <c r="CC56" s="182"/>
      <c r="CD56" s="106"/>
      <c r="CE56" s="106"/>
      <c r="CF56" s="196"/>
      <c r="CG56" s="106"/>
      <c r="CH56" s="106"/>
      <c r="CI56" s="196"/>
      <c r="CJ56" s="106"/>
      <c r="CK56" s="106"/>
      <c r="CL56" s="196"/>
      <c r="CM56" s="106"/>
      <c r="CN56" s="182">
        <f t="shared" si="39"/>
        <v>11447.3840463</v>
      </c>
      <c r="CO56" s="112">
        <f t="shared" si="49"/>
        <v>36130.593472301611</v>
      </c>
      <c r="CP56" s="182">
        <f t="shared" si="47"/>
        <v>2494.455350711336</v>
      </c>
      <c r="CQ56" s="95">
        <f t="shared" si="48"/>
        <v>25824.660000000003</v>
      </c>
      <c r="CR56" s="112">
        <f t="shared" si="50"/>
        <v>8908.7691096833423</v>
      </c>
      <c r="CS56" s="113"/>
      <c r="CT56" s="113"/>
      <c r="CU56" s="187"/>
      <c r="CV56" s="187"/>
      <c r="CW56" s="240"/>
    </row>
    <row r="57" spans="1:101" s="51" customFormat="1" ht="19.899999999999999" customHeight="1" x14ac:dyDescent="0.3">
      <c r="A57" s="148" t="s">
        <v>180</v>
      </c>
      <c r="B57" s="50">
        <v>8327411</v>
      </c>
      <c r="C57" s="148" t="s">
        <v>186</v>
      </c>
      <c r="D57" s="104" t="s">
        <v>187</v>
      </c>
      <c r="E57" s="104" t="s">
        <v>141</v>
      </c>
      <c r="F57" s="105">
        <v>28372</v>
      </c>
      <c r="G57" s="188">
        <v>0.28000000000000003</v>
      </c>
      <c r="H57" s="118">
        <f t="shared" si="0"/>
        <v>7944.1600000000008</v>
      </c>
      <c r="I57" s="104" t="s">
        <v>141</v>
      </c>
      <c r="J57" s="107" t="s">
        <v>188</v>
      </c>
      <c r="K57" s="50" t="s">
        <v>189</v>
      </c>
      <c r="L57" s="104"/>
      <c r="M57" s="108" t="s">
        <v>148</v>
      </c>
      <c r="N57" s="108" t="s">
        <v>195</v>
      </c>
      <c r="O57" s="193">
        <v>11834.5</v>
      </c>
      <c r="P57" s="193">
        <v>0</v>
      </c>
      <c r="Q57" s="193">
        <v>11004.04</v>
      </c>
      <c r="R57" s="109"/>
      <c r="S57" s="193">
        <v>226.33</v>
      </c>
      <c r="T57" s="193">
        <v>0</v>
      </c>
      <c r="U57" s="193">
        <v>65.040000000000006</v>
      </c>
      <c r="V57" s="193">
        <v>0</v>
      </c>
      <c r="W57" s="193">
        <v>539.1</v>
      </c>
      <c r="X57" s="193"/>
      <c r="Y57" s="193"/>
      <c r="Z57" s="193"/>
      <c r="AA57" s="193"/>
      <c r="AB57" s="194">
        <v>3.19333</v>
      </c>
      <c r="AC57" s="194">
        <v>0.41175</v>
      </c>
      <c r="AD57" s="106">
        <v>7.99</v>
      </c>
      <c r="AE57" s="118">
        <v>28893.919999999998</v>
      </c>
      <c r="AF57" s="106">
        <v>0</v>
      </c>
      <c r="AG57" s="106">
        <f t="shared" si="45"/>
        <v>28901.91</v>
      </c>
      <c r="AH57" s="106">
        <f t="shared" si="46"/>
        <v>11922.5862667</v>
      </c>
      <c r="AI57" s="106">
        <f t="shared" si="4"/>
        <v>6.3500000000000005</v>
      </c>
      <c r="AJ57" s="106">
        <f t="shared" si="5"/>
        <v>11543.599999999999</v>
      </c>
      <c r="AK57" s="106">
        <f t="shared" si="6"/>
        <v>0</v>
      </c>
      <c r="AL57" s="132">
        <f t="shared" si="7"/>
        <v>11549.949999999999</v>
      </c>
      <c r="AM57" s="198">
        <f t="shared" si="8"/>
        <v>4773.3549454999993</v>
      </c>
      <c r="AN57" s="95">
        <v>883.3</v>
      </c>
      <c r="AO57" s="95">
        <v>3621.82</v>
      </c>
      <c r="AP57" s="95">
        <v>0</v>
      </c>
      <c r="AQ57" s="106">
        <f t="shared" si="9"/>
        <v>4505.12</v>
      </c>
      <c r="AR57" s="193">
        <f t="shared" si="10"/>
        <v>4311.9527740000003</v>
      </c>
      <c r="AS57" s="95">
        <v>1.64</v>
      </c>
      <c r="AT57" s="95">
        <v>17350.32</v>
      </c>
      <c r="AU57" s="95">
        <v>0</v>
      </c>
      <c r="AV57" s="95">
        <f t="shared" si="34"/>
        <v>17351.96</v>
      </c>
      <c r="AW57" s="95">
        <v>883.3</v>
      </c>
      <c r="AX57" s="95">
        <v>3621.82</v>
      </c>
      <c r="AY57" s="95">
        <v>0</v>
      </c>
      <c r="AZ57" s="106">
        <f t="shared" si="35"/>
        <v>4505.12</v>
      </c>
      <c r="BA57" s="197">
        <f t="shared" si="36"/>
        <v>4311.9527740000003</v>
      </c>
      <c r="BB57" s="105">
        <f t="shared" si="14"/>
        <v>0</v>
      </c>
      <c r="BC57" s="105">
        <f t="shared" si="30"/>
        <v>0</v>
      </c>
      <c r="BD57" s="105">
        <f t="shared" si="15"/>
        <v>0</v>
      </c>
      <c r="BE57" s="105">
        <f t="shared" si="31"/>
        <v>0</v>
      </c>
      <c r="BF57" s="105">
        <f t="shared" si="16"/>
        <v>0</v>
      </c>
      <c r="BG57" s="105">
        <f t="shared" si="32"/>
        <v>0</v>
      </c>
      <c r="BH57" s="105">
        <f t="shared" si="17"/>
        <v>0</v>
      </c>
      <c r="BI57" s="105">
        <f t="shared" si="18"/>
        <v>0</v>
      </c>
      <c r="BJ57" s="186">
        <f t="shared" si="19"/>
        <v>16055.07</v>
      </c>
      <c r="BK57" s="182">
        <f t="shared" si="20"/>
        <v>9085.3077194999987</v>
      </c>
      <c r="BL57" s="98">
        <f t="shared" si="21"/>
        <v>16055.07</v>
      </c>
      <c r="BM57" s="99">
        <f t="shared" si="37"/>
        <v>883.3</v>
      </c>
      <c r="BN57" s="99">
        <f t="shared" si="38"/>
        <v>3621.82</v>
      </c>
      <c r="BO57" s="182"/>
      <c r="BP57" s="182"/>
      <c r="BQ57" s="182">
        <v>0</v>
      </c>
      <c r="BR57" s="182"/>
      <c r="BS57" s="95">
        <v>0</v>
      </c>
      <c r="BT57" s="182"/>
      <c r="BU57" s="182">
        <v>0</v>
      </c>
      <c r="BV57" s="95">
        <v>0</v>
      </c>
      <c r="BW57" s="182"/>
      <c r="BX57" s="182">
        <v>0</v>
      </c>
      <c r="BY57" s="118"/>
      <c r="BZ57" s="188"/>
      <c r="CA57" s="118"/>
      <c r="CB57" s="118"/>
      <c r="CC57" s="188"/>
      <c r="CD57" s="95"/>
      <c r="CE57" s="95"/>
      <c r="CF57" s="182"/>
      <c r="CG57" s="95"/>
      <c r="CH57" s="95"/>
      <c r="CI57" s="182"/>
      <c r="CJ57" s="95"/>
      <c r="CK57" s="95"/>
      <c r="CL57" s="182"/>
      <c r="CM57" s="95"/>
      <c r="CN57" s="182">
        <f t="shared" si="39"/>
        <v>9085.3077194999987</v>
      </c>
      <c r="CO57" s="112">
        <f t="shared" si="49"/>
        <v>48416.340325320096</v>
      </c>
      <c r="CP57" s="182">
        <f t="shared" si="47"/>
        <v>3440.0091188451752</v>
      </c>
      <c r="CQ57" s="95">
        <f t="shared" si="48"/>
        <v>20560.189999999999</v>
      </c>
      <c r="CR57" s="112">
        <f t="shared" si="50"/>
        <v>12285.746853018481</v>
      </c>
      <c r="CS57" s="113"/>
      <c r="CT57" s="113"/>
      <c r="CU57" s="187"/>
      <c r="CV57" s="187"/>
      <c r="CW57" s="240"/>
    </row>
    <row r="58" spans="1:101" s="51" customFormat="1" ht="19.899999999999999" customHeight="1" x14ac:dyDescent="0.3">
      <c r="A58" s="92" t="s">
        <v>180</v>
      </c>
      <c r="B58" s="49">
        <v>8327411</v>
      </c>
      <c r="C58" s="92" t="s">
        <v>186</v>
      </c>
      <c r="D58" s="93" t="s">
        <v>187</v>
      </c>
      <c r="E58" s="93" t="s">
        <v>141</v>
      </c>
      <c r="F58" s="94">
        <v>28372</v>
      </c>
      <c r="G58" s="182">
        <v>0.28000000000000003</v>
      </c>
      <c r="H58" s="95">
        <f t="shared" si="0"/>
        <v>7944.1600000000008</v>
      </c>
      <c r="I58" s="93" t="s">
        <v>141</v>
      </c>
      <c r="J58" s="96" t="s">
        <v>188</v>
      </c>
      <c r="K58" s="49" t="s">
        <v>189</v>
      </c>
      <c r="L58" s="93"/>
      <c r="M58" s="97" t="s">
        <v>150</v>
      </c>
      <c r="N58" s="97" t="s">
        <v>196</v>
      </c>
      <c r="O58" s="183">
        <v>11910.22</v>
      </c>
      <c r="P58" s="183">
        <v>0</v>
      </c>
      <c r="Q58" s="183">
        <v>11004.04</v>
      </c>
      <c r="R58" s="131"/>
      <c r="S58" s="183">
        <v>224.58</v>
      </c>
      <c r="T58" s="183">
        <v>0</v>
      </c>
      <c r="U58" s="183">
        <v>65.040000000000006</v>
      </c>
      <c r="V58" s="183">
        <v>77.5</v>
      </c>
      <c r="W58" s="183">
        <v>539.05999999999995</v>
      </c>
      <c r="X58" s="183"/>
      <c r="Y58" s="183"/>
      <c r="Z58" s="183"/>
      <c r="AA58" s="183"/>
      <c r="AB58" s="184">
        <v>3.19333</v>
      </c>
      <c r="AC58" s="184">
        <v>0.41175</v>
      </c>
      <c r="AD58" s="95">
        <v>22.83</v>
      </c>
      <c r="AE58" s="95">
        <v>28909.65</v>
      </c>
      <c r="AF58" s="95">
        <v>0</v>
      </c>
      <c r="AG58" s="95">
        <f t="shared" si="45"/>
        <v>28932.480000000003</v>
      </c>
      <c r="AH58" s="95">
        <f t="shared" si="46"/>
        <v>11976.452111400002</v>
      </c>
      <c r="AI58" s="95">
        <f t="shared" si="4"/>
        <v>22.56</v>
      </c>
      <c r="AJ58" s="95">
        <f t="shared" si="5"/>
        <v>11747.780000000002</v>
      </c>
      <c r="AK58" s="95">
        <f t="shared" si="6"/>
        <v>0</v>
      </c>
      <c r="AL58" s="133">
        <f t="shared" si="7"/>
        <v>11770.340000000002</v>
      </c>
      <c r="AM58" s="199">
        <f t="shared" si="8"/>
        <v>4909.1899398000014</v>
      </c>
      <c r="AN58" s="106">
        <v>895.15</v>
      </c>
      <c r="AO58" s="106">
        <v>3277.95</v>
      </c>
      <c r="AP58" s="106">
        <v>0</v>
      </c>
      <c r="AQ58" s="95">
        <f t="shared" si="9"/>
        <v>4173.0999999999995</v>
      </c>
      <c r="AR58" s="183">
        <f t="shared" si="10"/>
        <v>4208.2052619999995</v>
      </c>
      <c r="AS58" s="106">
        <v>0.27</v>
      </c>
      <c r="AT58" s="106">
        <v>17161.87</v>
      </c>
      <c r="AU58" s="106">
        <v>0</v>
      </c>
      <c r="AV58" s="106">
        <f t="shared" si="34"/>
        <v>17162.14</v>
      </c>
      <c r="AW58" s="106">
        <v>895.15</v>
      </c>
      <c r="AX58" s="106">
        <v>3277.95</v>
      </c>
      <c r="AY58" s="106">
        <v>0</v>
      </c>
      <c r="AZ58" s="106">
        <f t="shared" si="35"/>
        <v>4173.0999999999995</v>
      </c>
      <c r="BA58" s="197">
        <f t="shared" si="36"/>
        <v>4208.2052619999995</v>
      </c>
      <c r="BB58" s="105">
        <f t="shared" si="14"/>
        <v>0</v>
      </c>
      <c r="BC58" s="105">
        <f t="shared" si="30"/>
        <v>0</v>
      </c>
      <c r="BD58" s="105">
        <f t="shared" si="15"/>
        <v>0</v>
      </c>
      <c r="BE58" s="105">
        <f t="shared" si="31"/>
        <v>0</v>
      </c>
      <c r="BF58" s="105">
        <f t="shared" si="16"/>
        <v>0</v>
      </c>
      <c r="BG58" s="105">
        <f t="shared" si="32"/>
        <v>0</v>
      </c>
      <c r="BH58" s="94">
        <f t="shared" si="17"/>
        <v>0</v>
      </c>
      <c r="BI58" s="94">
        <f t="shared" si="18"/>
        <v>0</v>
      </c>
      <c r="BJ58" s="186">
        <f t="shared" si="19"/>
        <v>15943.440000000002</v>
      </c>
      <c r="BK58" s="182">
        <f t="shared" si="20"/>
        <v>9117.3952018000018</v>
      </c>
      <c r="BL58" s="98">
        <f t="shared" si="21"/>
        <v>15943.440000000002</v>
      </c>
      <c r="BM58" s="99">
        <f t="shared" si="37"/>
        <v>895.15</v>
      </c>
      <c r="BN58" s="99">
        <f t="shared" si="38"/>
        <v>3277.95</v>
      </c>
      <c r="BO58" s="196"/>
      <c r="BP58" s="196"/>
      <c r="BQ58" s="196">
        <v>0</v>
      </c>
      <c r="BR58" s="196"/>
      <c r="BS58" s="106">
        <v>0</v>
      </c>
      <c r="BT58" s="196"/>
      <c r="BU58" s="196">
        <v>0</v>
      </c>
      <c r="BV58" s="106">
        <v>0</v>
      </c>
      <c r="BW58" s="196"/>
      <c r="BX58" s="196">
        <v>0</v>
      </c>
      <c r="BY58" s="95"/>
      <c r="BZ58" s="182"/>
      <c r="CA58" s="95"/>
      <c r="CB58" s="95"/>
      <c r="CC58" s="182"/>
      <c r="CD58" s="106"/>
      <c r="CE58" s="106"/>
      <c r="CF58" s="196"/>
      <c r="CG58" s="106"/>
      <c r="CH58" s="106"/>
      <c r="CI58" s="196"/>
      <c r="CJ58" s="106"/>
      <c r="CK58" s="106"/>
      <c r="CL58" s="196"/>
      <c r="CM58" s="106"/>
      <c r="CN58" s="182">
        <f t="shared" si="39"/>
        <v>9117.3952018000018</v>
      </c>
      <c r="CO58" s="112">
        <f t="shared" si="49"/>
        <v>60835.873899520106</v>
      </c>
      <c r="CP58" s="182">
        <f t="shared" si="47"/>
        <v>3477.4694007760027</v>
      </c>
      <c r="CQ58" s="95">
        <f t="shared" si="48"/>
        <v>20116.54</v>
      </c>
      <c r="CR58" s="112">
        <f t="shared" si="50"/>
        <v>12419.533574200008</v>
      </c>
      <c r="CS58" s="113"/>
      <c r="CT58" s="113"/>
      <c r="CU58" s="187"/>
      <c r="CV58" s="187"/>
      <c r="CW58" s="240"/>
    </row>
    <row r="59" spans="1:101" s="51" customFormat="1" ht="19.899999999999999" customHeight="1" x14ac:dyDescent="0.3">
      <c r="A59" s="148" t="s">
        <v>180</v>
      </c>
      <c r="B59" s="50">
        <v>8327411</v>
      </c>
      <c r="C59" s="148" t="s">
        <v>186</v>
      </c>
      <c r="D59" s="104" t="s">
        <v>187</v>
      </c>
      <c r="E59" s="104" t="s">
        <v>141</v>
      </c>
      <c r="F59" s="105">
        <v>28372</v>
      </c>
      <c r="G59" s="188">
        <v>0.28000000000000003</v>
      </c>
      <c r="H59" s="118">
        <f t="shared" si="0"/>
        <v>7944.1600000000008</v>
      </c>
      <c r="I59" s="104" t="s">
        <v>141</v>
      </c>
      <c r="J59" s="107" t="s">
        <v>188</v>
      </c>
      <c r="K59" s="50" t="s">
        <v>189</v>
      </c>
      <c r="L59" s="104"/>
      <c r="M59" s="108" t="s">
        <v>152</v>
      </c>
      <c r="N59" s="108" t="s">
        <v>197</v>
      </c>
      <c r="O59" s="193">
        <v>12084.72</v>
      </c>
      <c r="P59" s="193">
        <v>0</v>
      </c>
      <c r="Q59" s="193">
        <v>10830.65</v>
      </c>
      <c r="R59" s="109"/>
      <c r="S59" s="193">
        <v>352.49</v>
      </c>
      <c r="T59" s="193"/>
      <c r="U59" s="193">
        <v>65.040000000000006</v>
      </c>
      <c r="V59" s="193">
        <v>0</v>
      </c>
      <c r="W59" s="193">
        <f>724.15+112.39</f>
        <v>836.54</v>
      </c>
      <c r="X59" s="193"/>
      <c r="Y59" s="193"/>
      <c r="Z59" s="193"/>
      <c r="AA59" s="193"/>
      <c r="AB59" s="194">
        <v>3.1430199999999999</v>
      </c>
      <c r="AC59" s="194">
        <v>0.40527000000000002</v>
      </c>
      <c r="AD59" s="106">
        <v>45.12</v>
      </c>
      <c r="AE59" s="118">
        <v>24893.26</v>
      </c>
      <c r="AF59" s="106">
        <v>0</v>
      </c>
      <c r="AG59" s="106">
        <f t="shared" si="45"/>
        <v>24938.379999999997</v>
      </c>
      <c r="AH59" s="106">
        <f t="shared" si="46"/>
        <v>10230.304542600001</v>
      </c>
      <c r="AI59" s="106">
        <f t="shared" si="4"/>
        <v>45.12</v>
      </c>
      <c r="AJ59" s="106">
        <f t="shared" si="5"/>
        <v>12592.389999999998</v>
      </c>
      <c r="AK59" s="106">
        <f t="shared" si="6"/>
        <v>0</v>
      </c>
      <c r="AL59" s="132">
        <f t="shared" si="7"/>
        <v>12637.509999999998</v>
      </c>
      <c r="AM59" s="198">
        <f t="shared" si="8"/>
        <v>5245.1309576999993</v>
      </c>
      <c r="AN59" s="106">
        <v>1377.11</v>
      </c>
      <c r="AO59" s="106">
        <v>6155.54</v>
      </c>
      <c r="AP59" s="106">
        <v>0</v>
      </c>
      <c r="AQ59" s="106">
        <f t="shared" si="9"/>
        <v>7532.65</v>
      </c>
      <c r="AR59" s="193">
        <f t="shared" si="10"/>
        <v>6822.9399679999997</v>
      </c>
      <c r="AS59" s="106">
        <v>0</v>
      </c>
      <c r="AT59" s="106">
        <v>12300.87</v>
      </c>
      <c r="AU59" s="106">
        <v>0</v>
      </c>
      <c r="AV59" s="95">
        <f t="shared" si="34"/>
        <v>12300.87</v>
      </c>
      <c r="AW59" s="106">
        <v>1377.11</v>
      </c>
      <c r="AX59" s="106">
        <v>6155.54</v>
      </c>
      <c r="AY59" s="106">
        <v>0</v>
      </c>
      <c r="AZ59" s="106">
        <f t="shared" si="35"/>
        <v>7532.65</v>
      </c>
      <c r="BA59" s="197">
        <f t="shared" si="36"/>
        <v>6822.9399679999997</v>
      </c>
      <c r="BB59" s="105">
        <f t="shared" si="14"/>
        <v>0</v>
      </c>
      <c r="BC59" s="105">
        <f t="shared" si="30"/>
        <v>0</v>
      </c>
      <c r="BD59" s="105">
        <f t="shared" si="15"/>
        <v>0</v>
      </c>
      <c r="BE59" s="105">
        <f t="shared" si="31"/>
        <v>0</v>
      </c>
      <c r="BF59" s="105">
        <f t="shared" si="16"/>
        <v>0</v>
      </c>
      <c r="BG59" s="105">
        <f t="shared" si="32"/>
        <v>0</v>
      </c>
      <c r="BH59" s="105">
        <f t="shared" si="17"/>
        <v>0</v>
      </c>
      <c r="BI59" s="105">
        <f t="shared" si="18"/>
        <v>0</v>
      </c>
      <c r="BJ59" s="186">
        <f t="shared" si="19"/>
        <v>20170.159999999996</v>
      </c>
      <c r="BK59" s="182">
        <f t="shared" si="20"/>
        <v>12068.070925699998</v>
      </c>
      <c r="BL59" s="98">
        <f t="shared" si="21"/>
        <v>20170.159999999996</v>
      </c>
      <c r="BM59" s="99">
        <f t="shared" si="37"/>
        <v>1377.11</v>
      </c>
      <c r="BN59" s="99">
        <f t="shared" si="38"/>
        <v>6155.54</v>
      </c>
      <c r="BO59" s="196"/>
      <c r="BP59" s="196"/>
      <c r="BQ59" s="196"/>
      <c r="BR59" s="196"/>
      <c r="BS59" s="106"/>
      <c r="BT59" s="196"/>
      <c r="BU59" s="196"/>
      <c r="BV59" s="106"/>
      <c r="BW59" s="196"/>
      <c r="BX59" s="196"/>
      <c r="BY59" s="118"/>
      <c r="BZ59" s="188"/>
      <c r="CA59" s="118"/>
      <c r="CB59" s="118"/>
      <c r="CC59" s="188"/>
      <c r="CD59" s="106"/>
      <c r="CE59" s="106"/>
      <c r="CF59" s="196"/>
      <c r="CG59" s="106"/>
      <c r="CH59" s="106"/>
      <c r="CI59" s="196"/>
      <c r="CJ59" s="106"/>
      <c r="CK59" s="106"/>
      <c r="CL59" s="196"/>
      <c r="CM59" s="106"/>
      <c r="CN59" s="182">
        <f t="shared" si="39"/>
        <v>12068.070925699998</v>
      </c>
      <c r="CO59" s="112">
        <f t="shared" si="49"/>
        <v>64727.693718452894</v>
      </c>
      <c r="CP59" s="182">
        <f t="shared" si="47"/>
        <v>1089.7095493011809</v>
      </c>
      <c r="CQ59" s="95">
        <f t="shared" si="48"/>
        <v>27702.809999999998</v>
      </c>
      <c r="CR59" s="112">
        <f t="shared" si="50"/>
        <v>3891.8198189327886</v>
      </c>
      <c r="CS59" s="113"/>
      <c r="CT59" s="113"/>
      <c r="CU59" s="187"/>
      <c r="CV59" s="187"/>
      <c r="CW59" s="240"/>
    </row>
    <row r="60" spans="1:101" s="51" customFormat="1" ht="19.899999999999999" customHeight="1" x14ac:dyDescent="0.3">
      <c r="A60" s="92" t="s">
        <v>180</v>
      </c>
      <c r="B60" s="49">
        <v>8327411</v>
      </c>
      <c r="C60" s="92" t="s">
        <v>186</v>
      </c>
      <c r="D60" s="93" t="s">
        <v>187</v>
      </c>
      <c r="E60" s="93" t="s">
        <v>141</v>
      </c>
      <c r="F60" s="94">
        <v>28372</v>
      </c>
      <c r="G60" s="182">
        <v>0.28000000000000003</v>
      </c>
      <c r="H60" s="95">
        <f t="shared" si="0"/>
        <v>7944.1600000000008</v>
      </c>
      <c r="I60" s="104" t="s">
        <v>141</v>
      </c>
      <c r="J60" s="107" t="s">
        <v>188</v>
      </c>
      <c r="K60" s="50" t="s">
        <v>189</v>
      </c>
      <c r="L60" s="104"/>
      <c r="M60" s="108" t="s">
        <v>155</v>
      </c>
      <c r="N60" s="108" t="s">
        <v>198</v>
      </c>
      <c r="O60" s="193">
        <v>5625.14</v>
      </c>
      <c r="P60" s="193">
        <v>0</v>
      </c>
      <c r="Q60" s="193">
        <v>7783.99</v>
      </c>
      <c r="R60" s="109"/>
      <c r="S60" s="193">
        <v>134.16</v>
      </c>
      <c r="T60" s="193">
        <v>0</v>
      </c>
      <c r="U60" s="193">
        <v>71.489999999999995</v>
      </c>
      <c r="V60" s="193">
        <v>0</v>
      </c>
      <c r="W60" s="193">
        <v>553.05999999999995</v>
      </c>
      <c r="X60" s="193"/>
      <c r="Y60" s="193"/>
      <c r="Z60" s="193">
        <v>-2917.56</v>
      </c>
      <c r="AA60" s="193"/>
      <c r="AB60" s="194">
        <v>3.1156999999999999</v>
      </c>
      <c r="AC60" s="194">
        <v>0.40173999999999999</v>
      </c>
      <c r="AD60" s="106">
        <v>44.93</v>
      </c>
      <c r="AE60" s="118">
        <v>23040.87</v>
      </c>
      <c r="AF60" s="106">
        <v>0</v>
      </c>
      <c r="AG60" s="106">
        <f t="shared" si="45"/>
        <v>23085.8</v>
      </c>
      <c r="AH60" s="106">
        <f t="shared" si="46"/>
        <v>9396.4275147999997</v>
      </c>
      <c r="AI60" s="106">
        <f t="shared" si="4"/>
        <v>42.08</v>
      </c>
      <c r="AJ60" s="106">
        <f t="shared" si="5"/>
        <v>10856.88</v>
      </c>
      <c r="AK60" s="106">
        <f t="shared" si="6"/>
        <v>0</v>
      </c>
      <c r="AL60" s="132">
        <f t="shared" si="7"/>
        <v>10898.96</v>
      </c>
      <c r="AM60" s="198">
        <f t="shared" si="8"/>
        <v>4492.7516272000003</v>
      </c>
      <c r="AN60" s="106">
        <v>905.36</v>
      </c>
      <c r="AO60" s="106">
        <v>4481.18</v>
      </c>
      <c r="AP60" s="106">
        <v>0</v>
      </c>
      <c r="AQ60" s="106">
        <f t="shared" si="9"/>
        <v>5386.54</v>
      </c>
      <c r="AR60" s="193">
        <f t="shared" si="10"/>
        <v>4621.0994052000005</v>
      </c>
      <c r="AS60" s="106">
        <v>2.85</v>
      </c>
      <c r="AT60" s="106">
        <v>12183.99</v>
      </c>
      <c r="AU60" s="106">
        <v>0</v>
      </c>
      <c r="AV60" s="95">
        <f t="shared" si="34"/>
        <v>12186.84</v>
      </c>
      <c r="AW60" s="106">
        <v>905.36</v>
      </c>
      <c r="AX60" s="106">
        <v>4481.18</v>
      </c>
      <c r="AY60" s="106">
        <v>0</v>
      </c>
      <c r="AZ60" s="106">
        <f t="shared" si="35"/>
        <v>5386.54</v>
      </c>
      <c r="BA60" s="197">
        <f t="shared" si="36"/>
        <v>4621.0994052000005</v>
      </c>
      <c r="BB60" s="105">
        <f t="shared" si="14"/>
        <v>0</v>
      </c>
      <c r="BC60" s="105">
        <f t="shared" si="30"/>
        <v>0</v>
      </c>
      <c r="BD60" s="105">
        <f t="shared" si="15"/>
        <v>0</v>
      </c>
      <c r="BE60" s="105">
        <f t="shared" si="31"/>
        <v>0</v>
      </c>
      <c r="BF60" s="105">
        <f t="shared" si="16"/>
        <v>0</v>
      </c>
      <c r="BG60" s="105">
        <f t="shared" si="32"/>
        <v>0</v>
      </c>
      <c r="BH60" s="105">
        <f t="shared" si="17"/>
        <v>0</v>
      </c>
      <c r="BI60" s="105">
        <f t="shared" si="18"/>
        <v>0</v>
      </c>
      <c r="BJ60" s="186">
        <f t="shared" si="19"/>
        <v>16285.5</v>
      </c>
      <c r="BK60" s="182">
        <f t="shared" si="20"/>
        <v>9113.8510323999999</v>
      </c>
      <c r="BL60" s="98">
        <f t="shared" si="21"/>
        <v>16285.5</v>
      </c>
      <c r="BM60" s="99">
        <f t="shared" si="37"/>
        <v>905.36</v>
      </c>
      <c r="BN60" s="99">
        <f t="shared" si="38"/>
        <v>4481.18</v>
      </c>
      <c r="BO60" s="196"/>
      <c r="BP60" s="196"/>
      <c r="BQ60" s="196"/>
      <c r="BR60" s="196"/>
      <c r="BS60" s="106"/>
      <c r="BT60" s="196"/>
      <c r="BU60" s="196"/>
      <c r="BV60" s="106"/>
      <c r="BW60" s="196"/>
      <c r="BX60" s="196"/>
      <c r="BY60" s="95"/>
      <c r="BZ60" s="182"/>
      <c r="CA60" s="95"/>
      <c r="CB60" s="95"/>
      <c r="CC60" s="182"/>
      <c r="CD60" s="106"/>
      <c r="CE60" s="106"/>
      <c r="CF60" s="196"/>
      <c r="CG60" s="106"/>
      <c r="CH60" s="106"/>
      <c r="CI60" s="196"/>
      <c r="CJ60" s="106"/>
      <c r="CK60" s="106"/>
      <c r="CL60" s="196"/>
      <c r="CM60" s="106"/>
      <c r="CN60" s="182">
        <f t="shared" si="39"/>
        <v>9113.8510323999999</v>
      </c>
      <c r="CO60" s="112">
        <f t="shared" si="49"/>
        <v>70953.631519779607</v>
      </c>
      <c r="CP60" s="182">
        <f t="shared" si="47"/>
        <v>1743.2625843714802</v>
      </c>
      <c r="CQ60" s="95">
        <f t="shared" si="48"/>
        <v>21672.04</v>
      </c>
      <c r="CR60" s="112">
        <f t="shared" si="50"/>
        <v>6225.9378013267142</v>
      </c>
      <c r="CS60" s="147" t="s">
        <v>199</v>
      </c>
      <c r="CT60" s="113"/>
      <c r="CU60" s="187"/>
      <c r="CV60" s="187"/>
      <c r="CW60" s="240"/>
    </row>
    <row r="61" spans="1:101" s="51" customFormat="1" ht="19.899999999999999" customHeight="1" x14ac:dyDescent="0.3">
      <c r="A61" s="148" t="s">
        <v>200</v>
      </c>
      <c r="B61" s="50">
        <v>12084724</v>
      </c>
      <c r="C61" s="148" t="s">
        <v>201</v>
      </c>
      <c r="D61" s="104" t="s">
        <v>171</v>
      </c>
      <c r="E61" s="104">
        <v>44834</v>
      </c>
      <c r="F61" s="105">
        <v>19509</v>
      </c>
      <c r="G61" s="188">
        <v>0.68799999999999994</v>
      </c>
      <c r="H61" s="118">
        <f t="shared" si="0"/>
        <v>13422.191999999999</v>
      </c>
      <c r="I61" s="93" t="s">
        <v>129</v>
      </c>
      <c r="J61" s="96" t="s">
        <v>202</v>
      </c>
      <c r="K61" s="49" t="s">
        <v>203</v>
      </c>
      <c r="L61" s="93"/>
      <c r="M61" s="97" t="s">
        <v>173</v>
      </c>
      <c r="N61" s="97" t="s">
        <v>176</v>
      </c>
      <c r="O61" s="183">
        <v>2620.15</v>
      </c>
      <c r="P61" s="183">
        <v>0</v>
      </c>
      <c r="Q61" s="183">
        <v>2596.1</v>
      </c>
      <c r="R61" s="131"/>
      <c r="S61" s="183">
        <v>13.43</v>
      </c>
      <c r="T61" s="183">
        <v>0</v>
      </c>
      <c r="U61" s="183">
        <v>10.62</v>
      </c>
      <c r="V61" s="183">
        <v>0</v>
      </c>
      <c r="W61" s="183">
        <v>0</v>
      </c>
      <c r="X61" s="183"/>
      <c r="Y61" s="183"/>
      <c r="Z61" s="183"/>
      <c r="AA61" s="183"/>
      <c r="AB61" s="184">
        <f>1.84243+0.58065</f>
        <v>2.4230800000000001</v>
      </c>
      <c r="AC61" s="184">
        <f>0.14215+0.35983</f>
        <v>0.50197999999999998</v>
      </c>
      <c r="AD61" s="95">
        <v>40.86</v>
      </c>
      <c r="AE61" s="95">
        <v>13130.76</v>
      </c>
      <c r="AF61" s="95">
        <v>180.6</v>
      </c>
      <c r="AG61" s="95">
        <f t="shared" si="45"/>
        <v>13352.220000000001</v>
      </c>
      <c r="AH61" s="95">
        <f t="shared" si="46"/>
        <v>6781.0435416</v>
      </c>
      <c r="AI61" s="95">
        <f t="shared" si="4"/>
        <v>0</v>
      </c>
      <c r="AJ61" s="95">
        <f t="shared" si="5"/>
        <v>12215.16</v>
      </c>
      <c r="AK61" s="95">
        <f t="shared" si="6"/>
        <v>0</v>
      </c>
      <c r="AL61" s="133">
        <f t="shared" si="7"/>
        <v>12215.16</v>
      </c>
      <c r="AM61" s="199">
        <f t="shared" si="8"/>
        <v>6131.7660167999993</v>
      </c>
      <c r="AN61" s="106">
        <v>68.5</v>
      </c>
      <c r="AO61" s="106">
        <v>239.4</v>
      </c>
      <c r="AP61" s="106">
        <v>12.6</v>
      </c>
      <c r="AQ61" s="95">
        <f t="shared" si="9"/>
        <v>320.5</v>
      </c>
      <c r="AR61" s="183">
        <f t="shared" si="10"/>
        <v>292.47994</v>
      </c>
      <c r="AS61" s="106">
        <v>40.86</v>
      </c>
      <c r="AT61" s="106">
        <v>915.6</v>
      </c>
      <c r="AU61" s="106">
        <v>180.6</v>
      </c>
      <c r="AV61" s="106">
        <f t="shared" ref="AV61:AV92" si="51">SUM(AS61:AU61)</f>
        <v>1137.06</v>
      </c>
      <c r="AW61" s="106">
        <v>68.5</v>
      </c>
      <c r="AX61" s="106">
        <v>239.4</v>
      </c>
      <c r="AY61" s="106">
        <v>12.6</v>
      </c>
      <c r="AZ61" s="106">
        <f t="shared" ref="AZ61:AZ92" si="52">SUM(AW61:AY61)</f>
        <v>320.5</v>
      </c>
      <c r="BA61" s="197">
        <f t="shared" ref="BA61:BA92" si="53">(AW61*AB61)+((AX61+AY61)*AC61)</f>
        <v>292.47994</v>
      </c>
      <c r="BB61" s="105">
        <f t="shared" si="14"/>
        <v>0</v>
      </c>
      <c r="BC61" s="105">
        <f t="shared" si="30"/>
        <v>0</v>
      </c>
      <c r="BD61" s="105">
        <f t="shared" si="15"/>
        <v>0</v>
      </c>
      <c r="BE61" s="105">
        <f t="shared" si="31"/>
        <v>0</v>
      </c>
      <c r="BF61" s="105">
        <f t="shared" si="16"/>
        <v>0</v>
      </c>
      <c r="BG61" s="105">
        <f t="shared" si="32"/>
        <v>0</v>
      </c>
      <c r="BH61" s="105">
        <f t="shared" si="17"/>
        <v>0</v>
      </c>
      <c r="BI61" s="105">
        <f t="shared" si="18"/>
        <v>0</v>
      </c>
      <c r="BJ61" s="186">
        <f t="shared" si="19"/>
        <v>12535.66</v>
      </c>
      <c r="BK61" s="182">
        <f t="shared" si="20"/>
        <v>6424.2459568000004</v>
      </c>
      <c r="BL61" s="98">
        <f t="shared" si="21"/>
        <v>12535.66</v>
      </c>
      <c r="BM61" s="99">
        <f t="shared" ref="BM61:BM92" si="54">AW61</f>
        <v>68.5</v>
      </c>
      <c r="BN61" s="99">
        <f t="shared" ref="BN61:BN92" si="55">AX61+AY61</f>
        <v>252</v>
      </c>
      <c r="BO61" s="190">
        <f>1.84243+0.58065</f>
        <v>2.4230800000000001</v>
      </c>
      <c r="BP61" s="190">
        <f>0.14215+0.35983</f>
        <v>0.50197999999999998</v>
      </c>
      <c r="BQ61" s="182">
        <f t="shared" ref="BQ61:BQ77" si="56">BM61*BO61</f>
        <v>165.98098000000002</v>
      </c>
      <c r="BR61" s="182">
        <f t="shared" ref="BR61:BR77" si="57">BN61*BP61</f>
        <v>126.49896</v>
      </c>
      <c r="BS61" s="106"/>
      <c r="BT61" s="196"/>
      <c r="BU61" s="196"/>
      <c r="BV61" s="106"/>
      <c r="BW61" s="196"/>
      <c r="BX61" s="196"/>
      <c r="BY61" s="118"/>
      <c r="BZ61" s="188"/>
      <c r="CA61" s="118"/>
      <c r="CB61" s="118"/>
      <c r="CC61" s="188"/>
      <c r="CD61" s="106"/>
      <c r="CE61" s="106"/>
      <c r="CF61" s="196"/>
      <c r="CG61" s="106"/>
      <c r="CH61" s="106"/>
      <c r="CI61" s="196"/>
      <c r="CJ61" s="106"/>
      <c r="CK61" s="106"/>
      <c r="CL61" s="196"/>
      <c r="CM61" s="106"/>
      <c r="CN61" s="182">
        <f t="shared" ref="CN61:CN92" si="58">BK61+BU61+BX61+CA61+CD61+CG61+CJ61+CM61</f>
        <v>6424.2459568000004</v>
      </c>
      <c r="CO61" s="112">
        <f>AV61-(AZ61+BS61+BV61+BY61)</f>
        <v>816.56</v>
      </c>
      <c r="CP61" s="182">
        <f t="shared" si="47"/>
        <v>561.79327999999987</v>
      </c>
      <c r="CQ61" s="95">
        <f t="shared" si="48"/>
        <v>12856.16</v>
      </c>
      <c r="CR61" s="115">
        <f t="shared" ref="CR61:CR92" si="59">AV61-AZ61-BS61-BV61-BY61-CB61</f>
        <v>816.56</v>
      </c>
      <c r="CS61" s="146"/>
      <c r="CT61" s="113"/>
      <c r="CU61" s="187"/>
      <c r="CV61" s="187"/>
      <c r="CW61" s="240"/>
    </row>
    <row r="62" spans="1:101" s="51" customFormat="1" ht="19.899999999999999" customHeight="1" x14ac:dyDescent="0.3">
      <c r="A62" s="92" t="s">
        <v>200</v>
      </c>
      <c r="B62" s="49">
        <v>12084724</v>
      </c>
      <c r="C62" s="92" t="s">
        <v>201</v>
      </c>
      <c r="D62" s="93" t="s">
        <v>171</v>
      </c>
      <c r="E62" s="93">
        <v>44834</v>
      </c>
      <c r="F62" s="94">
        <v>19509</v>
      </c>
      <c r="G62" s="182">
        <v>0.68799999999999994</v>
      </c>
      <c r="H62" s="95">
        <f t="shared" si="0"/>
        <v>13422.191999999999</v>
      </c>
      <c r="I62" s="104" t="s">
        <v>129</v>
      </c>
      <c r="J62" s="107" t="s">
        <v>202</v>
      </c>
      <c r="K62" s="50" t="s">
        <v>203</v>
      </c>
      <c r="L62" s="104"/>
      <c r="M62" s="108" t="s">
        <v>129</v>
      </c>
      <c r="N62" s="108" t="s">
        <v>177</v>
      </c>
      <c r="O62" s="193">
        <v>2680.6</v>
      </c>
      <c r="P62" s="193">
        <v>0</v>
      </c>
      <c r="Q62" s="193">
        <v>2646.67</v>
      </c>
      <c r="R62" s="109"/>
      <c r="S62" s="193">
        <v>20.309999999999999</v>
      </c>
      <c r="T62" s="193">
        <v>0</v>
      </c>
      <c r="U62" s="193">
        <v>13.62</v>
      </c>
      <c r="V62" s="193">
        <v>0</v>
      </c>
      <c r="W62" s="193">
        <v>0</v>
      </c>
      <c r="X62" s="193"/>
      <c r="Y62" s="193"/>
      <c r="Z62" s="193"/>
      <c r="AA62" s="193"/>
      <c r="AB62" s="194">
        <f>1.88925+0.5602</f>
        <v>2.4494500000000001</v>
      </c>
      <c r="AC62" s="194">
        <f>0.1786+0.34973</f>
        <v>0.52832999999999997</v>
      </c>
      <c r="AD62" s="106">
        <v>41.53</v>
      </c>
      <c r="AE62" s="118">
        <v>18820.3</v>
      </c>
      <c r="AF62" s="106">
        <v>201.6</v>
      </c>
      <c r="AG62" s="106">
        <f t="shared" si="45"/>
        <v>19063.429999999997</v>
      </c>
      <c r="AH62" s="106">
        <f t="shared" si="46"/>
        <v>10151.566085499997</v>
      </c>
      <c r="AI62" s="106">
        <f t="shared" si="4"/>
        <v>0</v>
      </c>
      <c r="AJ62" s="106">
        <f t="shared" si="5"/>
        <v>18076.899999999998</v>
      </c>
      <c r="AK62" s="106">
        <f t="shared" si="6"/>
        <v>0</v>
      </c>
      <c r="AL62" s="132">
        <f t="shared" si="7"/>
        <v>18076.899999999998</v>
      </c>
      <c r="AM62" s="198">
        <f t="shared" si="8"/>
        <v>9550.5685769999982</v>
      </c>
      <c r="AN62" s="95">
        <v>55.77</v>
      </c>
      <c r="AO62" s="95">
        <v>256.2</v>
      </c>
      <c r="AP62" s="95">
        <v>12.6</v>
      </c>
      <c r="AQ62" s="106">
        <f t="shared" si="9"/>
        <v>324.57</v>
      </c>
      <c r="AR62" s="193">
        <f t="shared" si="10"/>
        <v>278.62093049999999</v>
      </c>
      <c r="AS62" s="95">
        <v>41.53</v>
      </c>
      <c r="AT62" s="95">
        <v>743.4</v>
      </c>
      <c r="AU62" s="95">
        <v>201.6</v>
      </c>
      <c r="AV62" s="95">
        <f t="shared" si="51"/>
        <v>986.53</v>
      </c>
      <c r="AW62" s="95">
        <v>55.77</v>
      </c>
      <c r="AX62" s="95">
        <v>256.2</v>
      </c>
      <c r="AY62" s="95">
        <v>12.6</v>
      </c>
      <c r="AZ62" s="95">
        <f t="shared" si="52"/>
        <v>324.57</v>
      </c>
      <c r="BA62" s="197">
        <f t="shared" si="53"/>
        <v>278.62093049999999</v>
      </c>
      <c r="BB62" s="94">
        <f t="shared" si="14"/>
        <v>0</v>
      </c>
      <c r="BC62" s="105">
        <f t="shared" si="30"/>
        <v>0</v>
      </c>
      <c r="BD62" s="94">
        <f t="shared" si="15"/>
        <v>0</v>
      </c>
      <c r="BE62" s="94">
        <f t="shared" si="31"/>
        <v>0</v>
      </c>
      <c r="BF62" s="94">
        <f t="shared" si="16"/>
        <v>0</v>
      </c>
      <c r="BG62" s="94">
        <f t="shared" si="32"/>
        <v>0</v>
      </c>
      <c r="BH62" s="94">
        <f t="shared" si="17"/>
        <v>0</v>
      </c>
      <c r="BI62" s="94">
        <f t="shared" si="18"/>
        <v>0</v>
      </c>
      <c r="BJ62" s="186">
        <f t="shared" si="19"/>
        <v>18401.469999999998</v>
      </c>
      <c r="BK62" s="182">
        <f t="shared" si="20"/>
        <v>9829.1895074999975</v>
      </c>
      <c r="BL62" s="98">
        <f t="shared" si="21"/>
        <v>18401.469999999998</v>
      </c>
      <c r="BM62" s="99">
        <f t="shared" si="54"/>
        <v>55.77</v>
      </c>
      <c r="BN62" s="99">
        <f t="shared" si="55"/>
        <v>268.8</v>
      </c>
      <c r="BO62" s="202">
        <f>1.88925+0.5602</f>
        <v>2.4494500000000001</v>
      </c>
      <c r="BP62" s="202">
        <f>0.1786+0.34973</f>
        <v>0.52832999999999997</v>
      </c>
      <c r="BQ62" s="182">
        <f t="shared" si="56"/>
        <v>136.60582650000001</v>
      </c>
      <c r="BR62" s="182">
        <f t="shared" si="57"/>
        <v>142.01510400000001</v>
      </c>
      <c r="BS62" s="95"/>
      <c r="BT62" s="182"/>
      <c r="BU62" s="182"/>
      <c r="BV62" s="95"/>
      <c r="BW62" s="182"/>
      <c r="BX62" s="182"/>
      <c r="BY62" s="95"/>
      <c r="BZ62" s="182"/>
      <c r="CA62" s="95"/>
      <c r="CB62" s="95"/>
      <c r="CC62" s="182"/>
      <c r="CD62" s="95"/>
      <c r="CE62" s="95"/>
      <c r="CF62" s="182"/>
      <c r="CG62" s="95"/>
      <c r="CH62" s="95"/>
      <c r="CI62" s="182"/>
      <c r="CJ62" s="95"/>
      <c r="CK62" s="95"/>
      <c r="CL62" s="182"/>
      <c r="CM62" s="95"/>
      <c r="CN62" s="182">
        <f t="shared" si="58"/>
        <v>9829.1895074999975</v>
      </c>
      <c r="CO62" s="112">
        <f t="shared" ref="CO62:CO77" si="60">(AV62-(AZ62+BV62+BY62+CB62+CE62+CH62+CK62+BS62)+CO61)</f>
        <v>1478.52</v>
      </c>
      <c r="CP62" s="182">
        <f t="shared" si="47"/>
        <v>455.42847999999998</v>
      </c>
      <c r="CQ62" s="95">
        <f t="shared" si="48"/>
        <v>18726.039999999997</v>
      </c>
      <c r="CR62" s="115">
        <f t="shared" si="59"/>
        <v>661.96</v>
      </c>
      <c r="CS62" s="146" t="s">
        <v>204</v>
      </c>
      <c r="CT62" s="113"/>
      <c r="CU62" s="187"/>
      <c r="CV62" s="187"/>
      <c r="CW62" s="240"/>
    </row>
    <row r="63" spans="1:101" s="51" customFormat="1" ht="19.899999999999999" customHeight="1" x14ac:dyDescent="0.3">
      <c r="A63" s="148" t="s">
        <v>200</v>
      </c>
      <c r="B63" s="50">
        <v>12084724</v>
      </c>
      <c r="C63" s="148" t="s">
        <v>201</v>
      </c>
      <c r="D63" s="104" t="s">
        <v>171</v>
      </c>
      <c r="E63" s="104">
        <v>44834</v>
      </c>
      <c r="F63" s="105">
        <v>19509</v>
      </c>
      <c r="G63" s="188">
        <v>0.68799999999999994</v>
      </c>
      <c r="H63" s="118">
        <f t="shared" si="0"/>
        <v>13422.191999999999</v>
      </c>
      <c r="I63" s="93" t="s">
        <v>129</v>
      </c>
      <c r="J63" s="96" t="s">
        <v>202</v>
      </c>
      <c r="K63" s="49" t="s">
        <v>203</v>
      </c>
      <c r="L63" s="93"/>
      <c r="M63" s="97" t="s">
        <v>159</v>
      </c>
      <c r="N63" s="97" t="s">
        <v>162</v>
      </c>
      <c r="O63" s="183">
        <v>7073.41</v>
      </c>
      <c r="P63" s="183">
        <v>0</v>
      </c>
      <c r="Q63" s="183">
        <v>2562.7600000000002</v>
      </c>
      <c r="R63" s="131"/>
      <c r="S63" s="183">
        <v>2.33</v>
      </c>
      <c r="T63" s="183">
        <v>0</v>
      </c>
      <c r="U63" s="183">
        <v>14.02</v>
      </c>
      <c r="V63" s="183">
        <v>0</v>
      </c>
      <c r="W63" s="183">
        <v>0</v>
      </c>
      <c r="X63" s="183"/>
      <c r="Y63" s="183"/>
      <c r="Z63" s="183"/>
      <c r="AA63" s="183"/>
      <c r="AB63" s="184">
        <f>1.82936+0.54244</f>
        <v>2.3718000000000004</v>
      </c>
      <c r="AC63" s="184">
        <f>0.17293+0.33863</f>
        <v>0.51156000000000001</v>
      </c>
      <c r="AD63" s="95">
        <v>28.91</v>
      </c>
      <c r="AE63" s="95">
        <v>17320.27</v>
      </c>
      <c r="AF63" s="95">
        <v>16.8</v>
      </c>
      <c r="AG63" s="95">
        <f t="shared" si="45"/>
        <v>17365.98</v>
      </c>
      <c r="AH63" s="95">
        <f t="shared" si="46"/>
        <v>8937.5202671999996</v>
      </c>
      <c r="AI63" s="95">
        <f t="shared" si="4"/>
        <v>28.62</v>
      </c>
      <c r="AJ63" s="95">
        <f t="shared" si="5"/>
        <v>11528.470000000001</v>
      </c>
      <c r="AK63" s="95">
        <f t="shared" si="6"/>
        <v>0</v>
      </c>
      <c r="AL63" s="133">
        <f t="shared" si="7"/>
        <v>11557.090000000002</v>
      </c>
      <c r="AM63" s="199">
        <f t="shared" si="8"/>
        <v>5965.3850292000006</v>
      </c>
      <c r="AN63" s="106">
        <v>1801</v>
      </c>
      <c r="AO63" s="106">
        <v>5733</v>
      </c>
      <c r="AP63" s="106">
        <v>1990.8</v>
      </c>
      <c r="AQ63" s="95">
        <f t="shared" si="9"/>
        <v>9524.7999999999993</v>
      </c>
      <c r="AR63" s="183">
        <f t="shared" si="10"/>
        <v>8222.7989280000002</v>
      </c>
      <c r="AS63" s="106">
        <v>0.28999999999999998</v>
      </c>
      <c r="AT63" s="106">
        <v>5791.8</v>
      </c>
      <c r="AU63" s="106">
        <v>16.8</v>
      </c>
      <c r="AV63" s="106">
        <f t="shared" si="51"/>
        <v>5808.89</v>
      </c>
      <c r="AW63" s="106">
        <v>0.28999999999999998</v>
      </c>
      <c r="AX63" s="106">
        <v>5733</v>
      </c>
      <c r="AY63" s="106">
        <v>1554.12</v>
      </c>
      <c r="AZ63" s="106">
        <f t="shared" si="52"/>
        <v>7287.41</v>
      </c>
      <c r="BA63" s="197">
        <f t="shared" si="53"/>
        <v>3728.4869291999998</v>
      </c>
      <c r="BB63" s="105">
        <f t="shared" si="14"/>
        <v>1800.71</v>
      </c>
      <c r="BC63" s="105">
        <f t="shared" si="30"/>
        <v>4270.9239780000007</v>
      </c>
      <c r="BD63" s="105">
        <f t="shared" si="15"/>
        <v>0</v>
      </c>
      <c r="BE63" s="105">
        <f t="shared" si="31"/>
        <v>0</v>
      </c>
      <c r="BF63" s="105">
        <f t="shared" si="16"/>
        <v>436.68000000000006</v>
      </c>
      <c r="BG63" s="105">
        <f t="shared" si="32"/>
        <v>223.38802080000005</v>
      </c>
      <c r="BH63" s="105">
        <f t="shared" si="17"/>
        <v>2237.3900000000003</v>
      </c>
      <c r="BI63" s="105">
        <f t="shared" si="18"/>
        <v>4494.3119988000008</v>
      </c>
      <c r="BJ63" s="186">
        <f t="shared" si="19"/>
        <v>18844.5</v>
      </c>
      <c r="BK63" s="182">
        <f t="shared" si="20"/>
        <v>9693.8719584000009</v>
      </c>
      <c r="BL63" s="98">
        <f t="shared" si="21"/>
        <v>18844.5</v>
      </c>
      <c r="BM63" s="99">
        <f t="shared" si="54"/>
        <v>0.28999999999999998</v>
      </c>
      <c r="BN63" s="99">
        <f t="shared" si="55"/>
        <v>7287.12</v>
      </c>
      <c r="BO63" s="190">
        <f>1.82936+0.54244</f>
        <v>2.3718000000000004</v>
      </c>
      <c r="BP63" s="190">
        <f>0.17293+0.33863</f>
        <v>0.51156000000000001</v>
      </c>
      <c r="BQ63" s="182">
        <f t="shared" si="56"/>
        <v>0.68782200000000004</v>
      </c>
      <c r="BR63" s="182">
        <f t="shared" si="57"/>
        <v>3727.7991072</v>
      </c>
      <c r="BS63" s="106"/>
      <c r="BT63" s="196"/>
      <c r="BU63" s="196"/>
      <c r="BV63" s="106"/>
      <c r="BW63" s="196"/>
      <c r="BX63" s="196"/>
      <c r="BY63" s="118"/>
      <c r="BZ63" s="188"/>
      <c r="CA63" s="118"/>
      <c r="CB63" s="118"/>
      <c r="CC63" s="188"/>
      <c r="CD63" s="106"/>
      <c r="CE63" s="106"/>
      <c r="CF63" s="196"/>
      <c r="CG63" s="106"/>
      <c r="CH63" s="106"/>
      <c r="CI63" s="196"/>
      <c r="CJ63" s="106"/>
      <c r="CK63" s="106"/>
      <c r="CL63" s="196"/>
      <c r="CM63" s="106"/>
      <c r="CN63" s="182">
        <f t="shared" si="58"/>
        <v>9693.8719584000009</v>
      </c>
      <c r="CO63" s="112">
        <f t="shared" si="60"/>
        <v>4.5474735088646412E-13</v>
      </c>
      <c r="CP63" s="182">
        <f t="shared" si="47"/>
        <v>-1017.2217599999996</v>
      </c>
      <c r="CQ63" s="95">
        <f t="shared" si="48"/>
        <v>28369.3</v>
      </c>
      <c r="CR63" s="115">
        <f t="shared" si="59"/>
        <v>-1478.5199999999995</v>
      </c>
      <c r="CS63" s="113"/>
      <c r="CT63" s="113"/>
      <c r="CU63" s="187"/>
      <c r="CV63" s="187"/>
      <c r="CW63" s="240"/>
    </row>
    <row r="64" spans="1:101" s="51" customFormat="1" ht="19.899999999999999" customHeight="1" x14ac:dyDescent="0.3">
      <c r="A64" s="92" t="s">
        <v>200</v>
      </c>
      <c r="B64" s="49">
        <v>12084724</v>
      </c>
      <c r="C64" s="92" t="s">
        <v>201</v>
      </c>
      <c r="D64" s="93" t="s">
        <v>171</v>
      </c>
      <c r="E64" s="93">
        <v>44834</v>
      </c>
      <c r="F64" s="94">
        <v>19509</v>
      </c>
      <c r="G64" s="182">
        <v>0.68799999999999994</v>
      </c>
      <c r="H64" s="95">
        <f t="shared" si="0"/>
        <v>13422.191999999999</v>
      </c>
      <c r="I64" s="104" t="s">
        <v>129</v>
      </c>
      <c r="J64" s="107" t="s">
        <v>202</v>
      </c>
      <c r="K64" s="50" t="s">
        <v>203</v>
      </c>
      <c r="L64" s="104"/>
      <c r="M64" s="108" t="s">
        <v>163</v>
      </c>
      <c r="N64" s="108" t="s">
        <v>164</v>
      </c>
      <c r="O64" s="193">
        <v>6978.96</v>
      </c>
      <c r="P64" s="193">
        <v>0</v>
      </c>
      <c r="Q64" s="193">
        <v>2560.66</v>
      </c>
      <c r="R64" s="109"/>
      <c r="S64" s="193">
        <v>0</v>
      </c>
      <c r="T64" s="193">
        <v>0</v>
      </c>
      <c r="U64" s="193">
        <v>11.73</v>
      </c>
      <c r="V64" s="193">
        <v>0</v>
      </c>
      <c r="W64" s="193">
        <v>0</v>
      </c>
      <c r="X64" s="193"/>
      <c r="Y64" s="193"/>
      <c r="Z64" s="193"/>
      <c r="AA64" s="193"/>
      <c r="AB64" s="194">
        <f>1.82785+0.542</f>
        <v>2.36985</v>
      </c>
      <c r="AC64" s="194">
        <f>0.17279+0.33836</f>
        <v>0.51114999999999999</v>
      </c>
      <c r="AD64" s="106">
        <v>59.06</v>
      </c>
      <c r="AE64" s="118">
        <v>17535.91</v>
      </c>
      <c r="AF64" s="106">
        <v>0</v>
      </c>
      <c r="AG64" s="106">
        <f t="shared" si="45"/>
        <v>17594.97</v>
      </c>
      <c r="AH64" s="106">
        <f t="shared" si="46"/>
        <v>9103.4437374999998</v>
      </c>
      <c r="AI64" s="106">
        <f t="shared" si="4"/>
        <v>59.06</v>
      </c>
      <c r="AJ64" s="106">
        <f t="shared" si="5"/>
        <v>10937.71</v>
      </c>
      <c r="AK64" s="106">
        <f t="shared" si="6"/>
        <v>0</v>
      </c>
      <c r="AL64" s="132">
        <f t="shared" si="7"/>
        <v>10996.769999999999</v>
      </c>
      <c r="AM64" s="198">
        <f t="shared" si="8"/>
        <v>5730.7738074999988</v>
      </c>
      <c r="AN64" s="95">
        <v>1633.88</v>
      </c>
      <c r="AO64" s="95">
        <v>5649</v>
      </c>
      <c r="AP64" s="95">
        <v>1995</v>
      </c>
      <c r="AQ64" s="106">
        <f t="shared" si="9"/>
        <v>9277.880000000001</v>
      </c>
      <c r="AR64" s="193">
        <f t="shared" si="10"/>
        <v>7779.2811180000008</v>
      </c>
      <c r="AS64" s="95">
        <v>0</v>
      </c>
      <c r="AT64" s="95">
        <v>6598.2</v>
      </c>
      <c r="AU64" s="95">
        <v>0</v>
      </c>
      <c r="AV64" s="95">
        <f t="shared" si="51"/>
        <v>6598.2</v>
      </c>
      <c r="AW64" s="95">
        <v>0</v>
      </c>
      <c r="AX64" s="95">
        <v>5649</v>
      </c>
      <c r="AY64" s="95">
        <v>949.2</v>
      </c>
      <c r="AZ64" s="95">
        <f t="shared" si="52"/>
        <v>6598.2</v>
      </c>
      <c r="BA64" s="197">
        <f t="shared" si="53"/>
        <v>3372.66993</v>
      </c>
      <c r="BB64" s="94">
        <f t="shared" si="14"/>
        <v>1633.88</v>
      </c>
      <c r="BC64" s="105">
        <f t="shared" si="30"/>
        <v>3872.0505180000005</v>
      </c>
      <c r="BD64" s="94">
        <f t="shared" si="15"/>
        <v>0</v>
      </c>
      <c r="BE64" s="94">
        <f t="shared" si="31"/>
        <v>0</v>
      </c>
      <c r="BF64" s="94">
        <f t="shared" si="16"/>
        <v>1045.8</v>
      </c>
      <c r="BG64" s="94">
        <f t="shared" si="32"/>
        <v>534.56066999999996</v>
      </c>
      <c r="BH64" s="94">
        <f t="shared" si="17"/>
        <v>2679.6800000000003</v>
      </c>
      <c r="BI64" s="94">
        <f t="shared" si="18"/>
        <v>4406.6111880000008</v>
      </c>
      <c r="BJ64" s="186">
        <f t="shared" si="19"/>
        <v>17594.969999999998</v>
      </c>
      <c r="BK64" s="182">
        <f t="shared" si="20"/>
        <v>9103.4437374999998</v>
      </c>
      <c r="BL64" s="98">
        <f t="shared" si="21"/>
        <v>17594.969999999998</v>
      </c>
      <c r="BM64" s="99">
        <f t="shared" si="54"/>
        <v>0</v>
      </c>
      <c r="BN64" s="99">
        <f t="shared" si="55"/>
        <v>6598.2</v>
      </c>
      <c r="BO64" s="202">
        <f>1.82785+0.542</f>
        <v>2.36985</v>
      </c>
      <c r="BP64" s="202">
        <f>0.17279+0.33836</f>
        <v>0.51114999999999999</v>
      </c>
      <c r="BQ64" s="182">
        <f t="shared" si="56"/>
        <v>0</v>
      </c>
      <c r="BR64" s="182">
        <f t="shared" si="57"/>
        <v>3372.66993</v>
      </c>
      <c r="BS64" s="95"/>
      <c r="BT64" s="182"/>
      <c r="BU64" s="182"/>
      <c r="BV64" s="95"/>
      <c r="BW64" s="182"/>
      <c r="BX64" s="182"/>
      <c r="BY64" s="95"/>
      <c r="BZ64" s="182"/>
      <c r="CA64" s="95"/>
      <c r="CB64" s="95"/>
      <c r="CC64" s="182"/>
      <c r="CD64" s="95"/>
      <c r="CE64" s="95"/>
      <c r="CF64" s="182"/>
      <c r="CG64" s="95"/>
      <c r="CH64" s="95"/>
      <c r="CI64" s="182"/>
      <c r="CJ64" s="95"/>
      <c r="CK64" s="95"/>
      <c r="CL64" s="182"/>
      <c r="CM64" s="95"/>
      <c r="CN64" s="182">
        <f t="shared" si="58"/>
        <v>9103.4437374999998</v>
      </c>
      <c r="CO64" s="112">
        <f t="shared" si="60"/>
        <v>4.5474735088646412E-13</v>
      </c>
      <c r="CP64" s="182">
        <f t="shared" si="47"/>
        <v>0</v>
      </c>
      <c r="CQ64" s="95">
        <f t="shared" si="48"/>
        <v>26872.85</v>
      </c>
      <c r="CR64" s="115">
        <f t="shared" si="59"/>
        <v>0</v>
      </c>
      <c r="CS64" s="113" t="s">
        <v>205</v>
      </c>
      <c r="CT64" s="113"/>
      <c r="CU64" s="187"/>
      <c r="CV64" s="187"/>
      <c r="CW64" s="240"/>
    </row>
    <row r="65" spans="1:101" s="51" customFormat="1" ht="19.899999999999999" customHeight="1" x14ac:dyDescent="0.3">
      <c r="A65" s="148" t="s">
        <v>200</v>
      </c>
      <c r="B65" s="50">
        <v>12084724</v>
      </c>
      <c r="C65" s="148" t="s">
        <v>201</v>
      </c>
      <c r="D65" s="104" t="s">
        <v>171</v>
      </c>
      <c r="E65" s="104">
        <v>44834</v>
      </c>
      <c r="F65" s="105">
        <v>19509</v>
      </c>
      <c r="G65" s="188">
        <v>0.68799999999999994</v>
      </c>
      <c r="H65" s="118">
        <f t="shared" si="0"/>
        <v>13422.191999999999</v>
      </c>
      <c r="I65" s="93" t="s">
        <v>129</v>
      </c>
      <c r="J65" s="96" t="s">
        <v>202</v>
      </c>
      <c r="K65" s="49" t="s">
        <v>203</v>
      </c>
      <c r="L65" s="93"/>
      <c r="M65" s="97" t="s">
        <v>165</v>
      </c>
      <c r="N65" s="97" t="s">
        <v>166</v>
      </c>
      <c r="O65" s="183">
        <v>7243.47</v>
      </c>
      <c r="P65" s="183">
        <v>0</v>
      </c>
      <c r="Q65" s="183">
        <v>2664.29</v>
      </c>
      <c r="R65" s="131"/>
      <c r="S65" s="183">
        <v>3.1</v>
      </c>
      <c r="T65" s="183">
        <v>0</v>
      </c>
      <c r="U65" s="183">
        <v>9.3699999999999992</v>
      </c>
      <c r="V65" s="183">
        <v>0</v>
      </c>
      <c r="W65" s="183">
        <v>0</v>
      </c>
      <c r="X65" s="183"/>
      <c r="Y65" s="183"/>
      <c r="Z65" s="183"/>
      <c r="AA65" s="183"/>
      <c r="AB65" s="184">
        <f>1.90183+0.56393</f>
        <v>2.46576</v>
      </c>
      <c r="AC65" s="184">
        <f>0.17979+0.35206</f>
        <v>0.53184999999999993</v>
      </c>
      <c r="AD65" s="95">
        <v>34.9</v>
      </c>
      <c r="AE65" s="95">
        <v>17002.03</v>
      </c>
      <c r="AF65" s="95">
        <v>0</v>
      </c>
      <c r="AG65" s="95">
        <f t="shared" si="45"/>
        <v>17036.93</v>
      </c>
      <c r="AH65" s="95">
        <f t="shared" si="46"/>
        <v>9128.5846794999979</v>
      </c>
      <c r="AI65" s="95">
        <f t="shared" si="4"/>
        <v>34.9</v>
      </c>
      <c r="AJ65" s="95">
        <f t="shared" si="5"/>
        <v>10794.429999999998</v>
      </c>
      <c r="AK65" s="95">
        <f t="shared" si="6"/>
        <v>0</v>
      </c>
      <c r="AL65" s="133">
        <f t="shared" si="7"/>
        <v>10829.329999999998</v>
      </c>
      <c r="AM65" s="199">
        <f t="shared" si="8"/>
        <v>5827.0726194999988</v>
      </c>
      <c r="AN65" s="106">
        <v>1536.82</v>
      </c>
      <c r="AO65" s="106">
        <v>5829.6</v>
      </c>
      <c r="AP65" s="106">
        <v>1839.6</v>
      </c>
      <c r="AQ65" s="95">
        <f t="shared" si="9"/>
        <v>9206.02</v>
      </c>
      <c r="AR65" s="183">
        <f t="shared" si="10"/>
        <v>7868.2933032000001</v>
      </c>
      <c r="AS65" s="106">
        <v>0</v>
      </c>
      <c r="AT65" s="106">
        <v>6207.6</v>
      </c>
      <c r="AU65" s="106">
        <v>0</v>
      </c>
      <c r="AV65" s="106">
        <f t="shared" si="51"/>
        <v>6207.6</v>
      </c>
      <c r="AW65" s="106">
        <v>0</v>
      </c>
      <c r="AX65" s="106">
        <v>5829.6</v>
      </c>
      <c r="AY65" s="106">
        <v>378</v>
      </c>
      <c r="AZ65" s="106">
        <f t="shared" si="52"/>
        <v>6207.6</v>
      </c>
      <c r="BA65" s="197">
        <f t="shared" si="53"/>
        <v>3301.5120599999996</v>
      </c>
      <c r="BB65" s="105">
        <f t="shared" si="14"/>
        <v>1536.82</v>
      </c>
      <c r="BC65" s="105">
        <f t="shared" si="30"/>
        <v>3789.4292831999996</v>
      </c>
      <c r="BD65" s="105">
        <f t="shared" si="15"/>
        <v>0</v>
      </c>
      <c r="BE65" s="105">
        <f t="shared" si="31"/>
        <v>0</v>
      </c>
      <c r="BF65" s="105">
        <f t="shared" si="16"/>
        <v>1461.6</v>
      </c>
      <c r="BG65" s="105">
        <f t="shared" si="32"/>
        <v>777.35195999999985</v>
      </c>
      <c r="BH65" s="105">
        <f t="shared" si="17"/>
        <v>2998.42</v>
      </c>
      <c r="BI65" s="105">
        <f t="shared" si="18"/>
        <v>4566.7812431999992</v>
      </c>
      <c r="BJ65" s="186">
        <f t="shared" si="19"/>
        <v>17036.93</v>
      </c>
      <c r="BK65" s="182">
        <f t="shared" si="20"/>
        <v>9128.5846794999979</v>
      </c>
      <c r="BL65" s="98">
        <f t="shared" si="21"/>
        <v>17036.93</v>
      </c>
      <c r="BM65" s="99">
        <f t="shared" si="54"/>
        <v>0</v>
      </c>
      <c r="BN65" s="99">
        <f t="shared" si="55"/>
        <v>6207.6</v>
      </c>
      <c r="BO65" s="190">
        <f>1.90183+0.56393</f>
        <v>2.46576</v>
      </c>
      <c r="BP65" s="190">
        <f>0.17979+0.35206</f>
        <v>0.53184999999999993</v>
      </c>
      <c r="BQ65" s="182">
        <f t="shared" si="56"/>
        <v>0</v>
      </c>
      <c r="BR65" s="182">
        <f t="shared" si="57"/>
        <v>3301.5120599999996</v>
      </c>
      <c r="BS65" s="106"/>
      <c r="BT65" s="196"/>
      <c r="BU65" s="196"/>
      <c r="BV65" s="106"/>
      <c r="BW65" s="196"/>
      <c r="BX65" s="196"/>
      <c r="BY65" s="118"/>
      <c r="BZ65" s="188"/>
      <c r="CA65" s="118"/>
      <c r="CB65" s="118"/>
      <c r="CC65" s="188"/>
      <c r="CD65" s="106"/>
      <c r="CE65" s="106"/>
      <c r="CF65" s="196"/>
      <c r="CG65" s="106"/>
      <c r="CH65" s="106"/>
      <c r="CI65" s="196"/>
      <c r="CJ65" s="106"/>
      <c r="CK65" s="106"/>
      <c r="CL65" s="196"/>
      <c r="CM65" s="106"/>
      <c r="CN65" s="182">
        <f t="shared" si="58"/>
        <v>9128.5846794999979</v>
      </c>
      <c r="CO65" s="112">
        <f t="shared" si="60"/>
        <v>4.5474735088646412E-13</v>
      </c>
      <c r="CP65" s="182">
        <f t="shared" si="47"/>
        <v>0</v>
      </c>
      <c r="CQ65" s="95">
        <f t="shared" si="48"/>
        <v>26242.95</v>
      </c>
      <c r="CR65" s="115">
        <f t="shared" si="59"/>
        <v>0</v>
      </c>
      <c r="CS65" s="113"/>
      <c r="CT65" s="113"/>
      <c r="CU65" s="187"/>
      <c r="CV65" s="187"/>
      <c r="CW65" s="240"/>
    </row>
    <row r="66" spans="1:101" s="51" customFormat="1" ht="19.899999999999999" customHeight="1" x14ac:dyDescent="0.3">
      <c r="A66" s="92" t="s">
        <v>200</v>
      </c>
      <c r="B66" s="49">
        <v>12084724</v>
      </c>
      <c r="C66" s="92" t="s">
        <v>201</v>
      </c>
      <c r="D66" s="93" t="s">
        <v>171</v>
      </c>
      <c r="E66" s="93">
        <v>44834</v>
      </c>
      <c r="F66" s="94">
        <v>19509</v>
      </c>
      <c r="G66" s="182">
        <v>0.68799999999999994</v>
      </c>
      <c r="H66" s="95">
        <f t="shared" ref="H66:H129" si="61">F66*G66</f>
        <v>13422.191999999999</v>
      </c>
      <c r="I66" s="104" t="s">
        <v>129</v>
      </c>
      <c r="J66" s="107" t="s">
        <v>202</v>
      </c>
      <c r="K66" s="50" t="s">
        <v>203</v>
      </c>
      <c r="L66" s="104"/>
      <c r="M66" s="108" t="s">
        <v>133</v>
      </c>
      <c r="N66" s="108" t="s">
        <v>134</v>
      </c>
      <c r="O66" s="193">
        <v>10552.2</v>
      </c>
      <c r="P66" s="193">
        <v>0</v>
      </c>
      <c r="Q66" s="193">
        <v>2648.19</v>
      </c>
      <c r="R66" s="109"/>
      <c r="S66" s="193">
        <v>3.08</v>
      </c>
      <c r="T66" s="193">
        <v>0</v>
      </c>
      <c r="U66" s="193">
        <v>9.2799999999999994</v>
      </c>
      <c r="V66" s="193">
        <v>0</v>
      </c>
      <c r="W66" s="193">
        <v>0</v>
      </c>
      <c r="X66" s="193"/>
      <c r="Y66" s="193"/>
      <c r="Z66" s="193"/>
      <c r="AA66" s="193"/>
      <c r="AB66" s="194">
        <f>1.89033+0.56053</f>
        <v>2.45086</v>
      </c>
      <c r="AC66" s="194">
        <f>0.17871+0.34992</f>
        <v>0.52863000000000004</v>
      </c>
      <c r="AD66" s="106">
        <v>0</v>
      </c>
      <c r="AE66" s="118">
        <v>14573.9</v>
      </c>
      <c r="AF66" s="106">
        <v>0</v>
      </c>
      <c r="AG66" s="106">
        <f t="shared" ref="AG66:AG97" si="62">SUM(AD66:AF66)</f>
        <v>14573.9</v>
      </c>
      <c r="AH66" s="106">
        <f t="shared" ref="AH66:AH97" si="63">(AD66*AB66)+((AE66+AF66)*AC66)</f>
        <v>7704.2007570000005</v>
      </c>
      <c r="AI66" s="106">
        <f t="shared" ref="AI66:AI129" si="64">AD66-AS66</f>
        <v>0</v>
      </c>
      <c r="AJ66" s="106">
        <f t="shared" ref="AJ66:AJ129" si="65">AE66-AT66</f>
        <v>10436.9</v>
      </c>
      <c r="AK66" s="106">
        <f t="shared" ref="AK66:AK129" si="66">AF66-AU66</f>
        <v>0</v>
      </c>
      <c r="AL66" s="132">
        <f t="shared" ref="AL66:AL129" si="67">SUM(AI66:AK66)</f>
        <v>10436.9</v>
      </c>
      <c r="AM66" s="198">
        <f t="shared" ref="AM66:AM129" si="68">(AI66*AB66)+((AJ66+AK66)*AC66)</f>
        <v>5517.2584470000002</v>
      </c>
      <c r="AN66" s="95">
        <v>1844.8</v>
      </c>
      <c r="AO66" s="95">
        <v>8374.7999999999993</v>
      </c>
      <c r="AP66" s="95">
        <v>2137.8000000000002</v>
      </c>
      <c r="AQ66" s="106">
        <f t="shared" ref="AQ66:AQ129" si="69">SUM(AN66:AP66)</f>
        <v>12357.399999999998</v>
      </c>
      <c r="AR66" s="193">
        <f t="shared" ref="AR66:AR129" si="70">(AN66*AB66)+((AO66+AP66)*AC66)</f>
        <v>10078.622265999998</v>
      </c>
      <c r="AS66" s="95">
        <v>0</v>
      </c>
      <c r="AT66" s="95">
        <v>4137</v>
      </c>
      <c r="AU66" s="95">
        <v>0</v>
      </c>
      <c r="AV66" s="95">
        <f t="shared" si="51"/>
        <v>4137</v>
      </c>
      <c r="AW66" s="95">
        <v>0</v>
      </c>
      <c r="AX66" s="95">
        <v>4137</v>
      </c>
      <c r="AY66" s="95">
        <v>0</v>
      </c>
      <c r="AZ66" s="95">
        <f t="shared" si="52"/>
        <v>4137</v>
      </c>
      <c r="BA66" s="197">
        <f t="shared" si="53"/>
        <v>2186.9423100000004</v>
      </c>
      <c r="BB66" s="94">
        <f t="shared" ref="BB66:BB129" si="71">AN66-AW66</f>
        <v>1844.8</v>
      </c>
      <c r="BC66" s="105">
        <f t="shared" si="30"/>
        <v>4521.346528</v>
      </c>
      <c r="BD66" s="94">
        <f t="shared" ref="BD66:BD129" si="72">AO66-AX66</f>
        <v>4237.7999999999993</v>
      </c>
      <c r="BE66" s="94">
        <f t="shared" si="31"/>
        <v>2240.2282139999998</v>
      </c>
      <c r="BF66" s="94">
        <f t="shared" ref="BF66:BF129" si="73">AP66-AY66</f>
        <v>2137.8000000000002</v>
      </c>
      <c r="BG66" s="94">
        <f t="shared" si="32"/>
        <v>1130.1052140000002</v>
      </c>
      <c r="BH66" s="94">
        <f t="shared" ref="BH66:BH129" si="74">BB66+BD66+BF66</f>
        <v>8220.4</v>
      </c>
      <c r="BI66" s="94">
        <f t="shared" ref="BI66:BI129" si="75">BC66+BE66+BG66</f>
        <v>7891.6799559999999</v>
      </c>
      <c r="BJ66" s="186">
        <f t="shared" ref="BJ66:BJ129" si="76">BL66+BS66+BV66+BY66+CB66+CE66+CH66+CK66</f>
        <v>14573.9</v>
      </c>
      <c r="BK66" s="182">
        <f t="shared" ref="BK66:BK129" si="77">((AI66+AW66)*AB66)+((AJ66+AK66+AX66+AY66)*AC66)</f>
        <v>7704.2007570000005</v>
      </c>
      <c r="BL66" s="98">
        <f t="shared" ref="BL66:BL129" si="78">BM66+BN66+AL66</f>
        <v>14573.9</v>
      </c>
      <c r="BM66" s="99">
        <f t="shared" si="54"/>
        <v>0</v>
      </c>
      <c r="BN66" s="99">
        <f t="shared" si="55"/>
        <v>4137</v>
      </c>
      <c r="BO66" s="202">
        <f>1.89033+0.56053</f>
        <v>2.45086</v>
      </c>
      <c r="BP66" s="202">
        <f>0.17871+0.34992</f>
        <v>0.52863000000000004</v>
      </c>
      <c r="BQ66" s="182">
        <f t="shared" si="56"/>
        <v>0</v>
      </c>
      <c r="BR66" s="182">
        <f t="shared" si="57"/>
        <v>2186.9423100000004</v>
      </c>
      <c r="BS66" s="95"/>
      <c r="BT66" s="182"/>
      <c r="BU66" s="182"/>
      <c r="BV66" s="95"/>
      <c r="BW66" s="182"/>
      <c r="BX66" s="182"/>
      <c r="BY66" s="95"/>
      <c r="BZ66" s="182"/>
      <c r="CA66" s="95"/>
      <c r="CB66" s="95"/>
      <c r="CC66" s="182"/>
      <c r="CD66" s="95"/>
      <c r="CE66" s="95"/>
      <c r="CF66" s="182"/>
      <c r="CG66" s="95"/>
      <c r="CH66" s="95"/>
      <c r="CI66" s="182"/>
      <c r="CJ66" s="95"/>
      <c r="CK66" s="95"/>
      <c r="CL66" s="182"/>
      <c r="CM66" s="95"/>
      <c r="CN66" s="182">
        <f t="shared" si="58"/>
        <v>7704.2007570000005</v>
      </c>
      <c r="CO66" s="112">
        <f t="shared" si="60"/>
        <v>4.5474735088646412E-13</v>
      </c>
      <c r="CP66" s="182">
        <f t="shared" si="47"/>
        <v>0</v>
      </c>
      <c r="CQ66" s="95">
        <f t="shared" si="48"/>
        <v>26931.299999999996</v>
      </c>
      <c r="CR66" s="115">
        <f t="shared" si="59"/>
        <v>0</v>
      </c>
      <c r="CS66" s="113"/>
      <c r="CT66" s="113"/>
      <c r="CU66" s="187"/>
      <c r="CV66" s="187"/>
      <c r="CW66" s="240"/>
    </row>
    <row r="67" spans="1:101" s="51" customFormat="1" ht="19.899999999999999" customHeight="1" x14ac:dyDescent="0.3">
      <c r="A67" s="148" t="s">
        <v>200</v>
      </c>
      <c r="B67" s="50">
        <v>12084724</v>
      </c>
      <c r="C67" s="148" t="s">
        <v>201</v>
      </c>
      <c r="D67" s="104" t="s">
        <v>171</v>
      </c>
      <c r="E67" s="104">
        <v>44834</v>
      </c>
      <c r="F67" s="105">
        <v>19509</v>
      </c>
      <c r="G67" s="188">
        <v>0.68799999999999994</v>
      </c>
      <c r="H67" s="118">
        <f t="shared" si="61"/>
        <v>13422.191999999999</v>
      </c>
      <c r="I67" s="93" t="s">
        <v>129</v>
      </c>
      <c r="J67" s="96" t="s">
        <v>202</v>
      </c>
      <c r="K67" s="49" t="s">
        <v>203</v>
      </c>
      <c r="L67" s="93"/>
      <c r="M67" s="97" t="s">
        <v>135</v>
      </c>
      <c r="N67" s="97" t="s">
        <v>136</v>
      </c>
      <c r="O67" s="183">
        <v>9264.7999999999993</v>
      </c>
      <c r="P67" s="183">
        <v>0</v>
      </c>
      <c r="Q67" s="183">
        <v>2658.61</v>
      </c>
      <c r="R67" s="131"/>
      <c r="S67" s="183">
        <v>0</v>
      </c>
      <c r="T67" s="183">
        <v>0</v>
      </c>
      <c r="U67" s="183">
        <v>9.93</v>
      </c>
      <c r="V67" s="183">
        <v>0</v>
      </c>
      <c r="W67" s="183">
        <v>0</v>
      </c>
      <c r="X67" s="183"/>
      <c r="Y67" s="183"/>
      <c r="Z67" s="183"/>
      <c r="AA67" s="183"/>
      <c r="AB67" s="184">
        <f>1.89777+0.56273</f>
        <v>2.4604999999999997</v>
      </c>
      <c r="AC67" s="184">
        <f>0.1794+0.35131</f>
        <v>0.53071000000000002</v>
      </c>
      <c r="AD67" s="95">
        <v>0</v>
      </c>
      <c r="AE67" s="95">
        <v>14144.5</v>
      </c>
      <c r="AF67" s="95">
        <v>0</v>
      </c>
      <c r="AG67" s="95">
        <f t="shared" si="62"/>
        <v>14144.5</v>
      </c>
      <c r="AH67" s="95">
        <f t="shared" si="63"/>
        <v>7506.6275949999999</v>
      </c>
      <c r="AI67" s="95">
        <f t="shared" si="64"/>
        <v>0</v>
      </c>
      <c r="AJ67" s="95">
        <f t="shared" si="65"/>
        <v>9671.5</v>
      </c>
      <c r="AK67" s="95">
        <f t="shared" si="66"/>
        <v>0</v>
      </c>
      <c r="AL67" s="133">
        <f t="shared" si="67"/>
        <v>9671.5</v>
      </c>
      <c r="AM67" s="199">
        <f t="shared" si="68"/>
        <v>5132.7617650000002</v>
      </c>
      <c r="AN67" s="106">
        <v>1539.51</v>
      </c>
      <c r="AO67" s="106">
        <v>7463.4</v>
      </c>
      <c r="AP67" s="106">
        <v>2301.6</v>
      </c>
      <c r="AQ67" s="95">
        <f t="shared" si="69"/>
        <v>11304.51</v>
      </c>
      <c r="AR67" s="183">
        <f t="shared" si="70"/>
        <v>8970.3475049999997</v>
      </c>
      <c r="AS67" s="106">
        <v>0</v>
      </c>
      <c r="AT67" s="106">
        <v>4473</v>
      </c>
      <c r="AU67" s="106">
        <v>0</v>
      </c>
      <c r="AV67" s="106">
        <f t="shared" si="51"/>
        <v>4473</v>
      </c>
      <c r="AW67" s="106">
        <v>0</v>
      </c>
      <c r="AX67" s="106">
        <v>4473</v>
      </c>
      <c r="AY67" s="106">
        <v>0</v>
      </c>
      <c r="AZ67" s="106">
        <f t="shared" si="52"/>
        <v>4473</v>
      </c>
      <c r="BA67" s="197">
        <f t="shared" si="53"/>
        <v>2373.8658300000002</v>
      </c>
      <c r="BB67" s="105">
        <f t="shared" si="71"/>
        <v>1539.51</v>
      </c>
      <c r="BC67" s="105">
        <f t="shared" si="30"/>
        <v>3787.9643549999996</v>
      </c>
      <c r="BD67" s="105">
        <f t="shared" si="72"/>
        <v>2990.3999999999996</v>
      </c>
      <c r="BE67" s="105">
        <f t="shared" si="31"/>
        <v>1587.0351839999998</v>
      </c>
      <c r="BF67" s="105">
        <f t="shared" si="73"/>
        <v>2301.6</v>
      </c>
      <c r="BG67" s="105">
        <f t="shared" si="32"/>
        <v>1221.4821360000001</v>
      </c>
      <c r="BH67" s="105">
        <f t="shared" si="74"/>
        <v>6831.51</v>
      </c>
      <c r="BI67" s="105">
        <f t="shared" si="75"/>
        <v>6596.4816749999991</v>
      </c>
      <c r="BJ67" s="186">
        <f t="shared" si="76"/>
        <v>14144.5</v>
      </c>
      <c r="BK67" s="182">
        <f t="shared" si="77"/>
        <v>7506.6275949999999</v>
      </c>
      <c r="BL67" s="98">
        <f t="shared" si="78"/>
        <v>14144.5</v>
      </c>
      <c r="BM67" s="99">
        <f t="shared" si="54"/>
        <v>0</v>
      </c>
      <c r="BN67" s="99">
        <f t="shared" si="55"/>
        <v>4473</v>
      </c>
      <c r="BO67" s="190">
        <f>1.89777+0.56273</f>
        <v>2.4604999999999997</v>
      </c>
      <c r="BP67" s="190">
        <f>0.1794+0.35131</f>
        <v>0.53071000000000002</v>
      </c>
      <c r="BQ67" s="182">
        <f t="shared" si="56"/>
        <v>0</v>
      </c>
      <c r="BR67" s="182">
        <f t="shared" si="57"/>
        <v>2373.8658300000002</v>
      </c>
      <c r="BS67" s="106"/>
      <c r="BT67" s="196"/>
      <c r="BU67" s="196"/>
      <c r="BV67" s="106"/>
      <c r="BW67" s="196"/>
      <c r="BX67" s="196"/>
      <c r="BY67" s="118"/>
      <c r="BZ67" s="188"/>
      <c r="CA67" s="118"/>
      <c r="CB67" s="118"/>
      <c r="CC67" s="188"/>
      <c r="CD67" s="106"/>
      <c r="CE67" s="106"/>
      <c r="CF67" s="196"/>
      <c r="CG67" s="106"/>
      <c r="CH67" s="106"/>
      <c r="CI67" s="196"/>
      <c r="CJ67" s="106"/>
      <c r="CK67" s="106"/>
      <c r="CL67" s="196"/>
      <c r="CM67" s="106"/>
      <c r="CN67" s="182">
        <f t="shared" si="58"/>
        <v>7506.6275949999999</v>
      </c>
      <c r="CO67" s="112">
        <f t="shared" si="60"/>
        <v>4.5474735088646412E-13</v>
      </c>
      <c r="CP67" s="182">
        <f t="shared" si="47"/>
        <v>0</v>
      </c>
      <c r="CQ67" s="95">
        <f t="shared" si="48"/>
        <v>25449.010000000002</v>
      </c>
      <c r="CR67" s="115">
        <f t="shared" si="59"/>
        <v>0</v>
      </c>
      <c r="CS67" s="113"/>
      <c r="CT67" s="113"/>
      <c r="CU67" s="187"/>
      <c r="CV67" s="187"/>
      <c r="CW67" s="240"/>
    </row>
    <row r="68" spans="1:101" s="51" customFormat="1" ht="19.899999999999999" customHeight="1" x14ac:dyDescent="0.3">
      <c r="A68" s="92" t="s">
        <v>200</v>
      </c>
      <c r="B68" s="49">
        <v>12084724</v>
      </c>
      <c r="C68" s="92" t="s">
        <v>201</v>
      </c>
      <c r="D68" s="93" t="s">
        <v>171</v>
      </c>
      <c r="E68" s="93">
        <v>44834</v>
      </c>
      <c r="F68" s="94">
        <v>19509</v>
      </c>
      <c r="G68" s="182">
        <v>0.68799999999999994</v>
      </c>
      <c r="H68" s="95">
        <f t="shared" si="61"/>
        <v>13422.191999999999</v>
      </c>
      <c r="I68" s="104" t="s">
        <v>129</v>
      </c>
      <c r="J68" s="107" t="s">
        <v>202</v>
      </c>
      <c r="K68" s="50" t="s">
        <v>203</v>
      </c>
      <c r="L68" s="104"/>
      <c r="M68" s="108" t="s">
        <v>137</v>
      </c>
      <c r="N68" s="108" t="s">
        <v>138</v>
      </c>
      <c r="O68" s="193">
        <v>8920.48</v>
      </c>
      <c r="P68" s="193">
        <v>0</v>
      </c>
      <c r="Q68" s="193">
        <v>2537.21</v>
      </c>
      <c r="R68" s="109"/>
      <c r="S68" s="193">
        <v>4.4400000000000004</v>
      </c>
      <c r="T68" s="193">
        <v>0</v>
      </c>
      <c r="U68" s="193">
        <v>9.9499999999999993</v>
      </c>
      <c r="V68" s="193">
        <v>0</v>
      </c>
      <c r="W68" s="193">
        <v>0</v>
      </c>
      <c r="X68" s="193"/>
      <c r="Y68" s="193"/>
      <c r="Z68" s="193"/>
      <c r="AA68" s="193"/>
      <c r="AB68" s="194">
        <f>1.811117+0.537045</f>
        <v>2.3481620000000003</v>
      </c>
      <c r="AC68" s="194">
        <f>0.171223+0.335271</f>
        <v>0.506494</v>
      </c>
      <c r="AD68" s="106">
        <v>0</v>
      </c>
      <c r="AE68" s="118">
        <v>15141.16</v>
      </c>
      <c r="AF68" s="106">
        <v>0</v>
      </c>
      <c r="AG68" s="106">
        <f t="shared" si="62"/>
        <v>15141.16</v>
      </c>
      <c r="AH68" s="106">
        <f t="shared" si="63"/>
        <v>7668.9066930399995</v>
      </c>
      <c r="AI68" s="106">
        <f t="shared" si="64"/>
        <v>0</v>
      </c>
      <c r="AJ68" s="106">
        <f t="shared" si="65"/>
        <v>10542.16</v>
      </c>
      <c r="AK68" s="106">
        <f t="shared" si="66"/>
        <v>0</v>
      </c>
      <c r="AL68" s="132">
        <f t="shared" si="67"/>
        <v>10542.16</v>
      </c>
      <c r="AM68" s="198">
        <f t="shared" si="68"/>
        <v>5339.5407870399995</v>
      </c>
      <c r="AN68" s="95">
        <v>1874.29</v>
      </c>
      <c r="AO68" s="95">
        <v>6249.6</v>
      </c>
      <c r="AP68" s="95">
        <v>2234.4</v>
      </c>
      <c r="AQ68" s="106">
        <f t="shared" si="69"/>
        <v>10358.290000000001</v>
      </c>
      <c r="AR68" s="193">
        <f t="shared" si="70"/>
        <v>8698.2316509800003</v>
      </c>
      <c r="AS68" s="95">
        <v>0</v>
      </c>
      <c r="AT68" s="95">
        <v>4599</v>
      </c>
      <c r="AU68" s="95">
        <v>0</v>
      </c>
      <c r="AV68" s="95">
        <f t="shared" si="51"/>
        <v>4599</v>
      </c>
      <c r="AW68" s="95">
        <v>0</v>
      </c>
      <c r="AX68" s="95">
        <v>4599</v>
      </c>
      <c r="AY68" s="95">
        <v>0</v>
      </c>
      <c r="AZ68" s="95">
        <f t="shared" si="52"/>
        <v>4599</v>
      </c>
      <c r="BA68" s="197">
        <f t="shared" si="53"/>
        <v>2329.365906</v>
      </c>
      <c r="BB68" s="94">
        <f t="shared" si="71"/>
        <v>1874.29</v>
      </c>
      <c r="BC68" s="105">
        <f t="shared" si="30"/>
        <v>4401.1365549800003</v>
      </c>
      <c r="BD68" s="94">
        <f t="shared" si="72"/>
        <v>1650.6000000000004</v>
      </c>
      <c r="BE68" s="94">
        <f t="shared" si="31"/>
        <v>836.01899640000022</v>
      </c>
      <c r="BF68" s="94">
        <f t="shared" si="73"/>
        <v>2234.4</v>
      </c>
      <c r="BG68" s="94">
        <f t="shared" si="32"/>
        <v>1131.7101936000001</v>
      </c>
      <c r="BH68" s="94">
        <f t="shared" si="74"/>
        <v>5759.2900000000009</v>
      </c>
      <c r="BI68" s="94">
        <f t="shared" si="75"/>
        <v>6368.8657449800003</v>
      </c>
      <c r="BJ68" s="186">
        <f t="shared" si="76"/>
        <v>15141.16</v>
      </c>
      <c r="BK68" s="182">
        <f t="shared" si="77"/>
        <v>7668.9066930399995</v>
      </c>
      <c r="BL68" s="98">
        <f t="shared" si="78"/>
        <v>15141.16</v>
      </c>
      <c r="BM68" s="99">
        <f t="shared" si="54"/>
        <v>0</v>
      </c>
      <c r="BN68" s="99">
        <f t="shared" si="55"/>
        <v>4599</v>
      </c>
      <c r="BO68" s="202">
        <f>1.811117+0.537045</f>
        <v>2.3481620000000003</v>
      </c>
      <c r="BP68" s="202">
        <f>0.171223+0.335271</f>
        <v>0.506494</v>
      </c>
      <c r="BQ68" s="182">
        <f t="shared" si="56"/>
        <v>0</v>
      </c>
      <c r="BR68" s="182">
        <f t="shared" si="57"/>
        <v>2329.365906</v>
      </c>
      <c r="BS68" s="95"/>
      <c r="BT68" s="182"/>
      <c r="BU68" s="182"/>
      <c r="BV68" s="95"/>
      <c r="BW68" s="182"/>
      <c r="BX68" s="182"/>
      <c r="BY68" s="95"/>
      <c r="BZ68" s="182"/>
      <c r="CA68" s="95"/>
      <c r="CB68" s="95"/>
      <c r="CC68" s="182"/>
      <c r="CD68" s="95"/>
      <c r="CE68" s="95"/>
      <c r="CF68" s="182"/>
      <c r="CG68" s="95"/>
      <c r="CH68" s="95"/>
      <c r="CI68" s="182"/>
      <c r="CJ68" s="95"/>
      <c r="CK68" s="95"/>
      <c r="CL68" s="182"/>
      <c r="CM68" s="95"/>
      <c r="CN68" s="182">
        <f t="shared" si="58"/>
        <v>7668.9066930399995</v>
      </c>
      <c r="CO68" s="112">
        <f t="shared" si="60"/>
        <v>4.5474735088646412E-13</v>
      </c>
      <c r="CP68" s="182">
        <f t="shared" si="47"/>
        <v>0</v>
      </c>
      <c r="CQ68" s="95">
        <f t="shared" si="48"/>
        <v>25499.45</v>
      </c>
      <c r="CR68" s="115">
        <f t="shared" si="59"/>
        <v>0</v>
      </c>
      <c r="CS68" s="113"/>
      <c r="CT68" s="113"/>
      <c r="CU68" s="187"/>
      <c r="CV68" s="187"/>
      <c r="CW68" s="240"/>
    </row>
    <row r="69" spans="1:101" s="51" customFormat="1" ht="19.899999999999999" customHeight="1" x14ac:dyDescent="0.3">
      <c r="A69" s="148" t="s">
        <v>200</v>
      </c>
      <c r="B69" s="50">
        <v>12084724</v>
      </c>
      <c r="C69" s="148" t="s">
        <v>201</v>
      </c>
      <c r="D69" s="104" t="s">
        <v>171</v>
      </c>
      <c r="E69" s="104">
        <v>44834</v>
      </c>
      <c r="F69" s="105">
        <v>19509</v>
      </c>
      <c r="G69" s="188">
        <v>0.68799999999999994</v>
      </c>
      <c r="H69" s="118">
        <f t="shared" si="61"/>
        <v>13422.191999999999</v>
      </c>
      <c r="I69" s="93" t="s">
        <v>129</v>
      </c>
      <c r="J69" s="96" t="s">
        <v>202</v>
      </c>
      <c r="K69" s="49" t="s">
        <v>203</v>
      </c>
      <c r="L69" s="93"/>
      <c r="M69" s="97" t="s">
        <v>139</v>
      </c>
      <c r="N69" s="97" t="s">
        <v>140</v>
      </c>
      <c r="O69" s="183">
        <v>10438.700000000001</v>
      </c>
      <c r="P69" s="183">
        <v>0</v>
      </c>
      <c r="Q69" s="183">
        <v>4282.59</v>
      </c>
      <c r="R69" s="131"/>
      <c r="S69" s="183">
        <v>3</v>
      </c>
      <c r="T69" s="183">
        <v>0</v>
      </c>
      <c r="U69" s="183">
        <v>9.5</v>
      </c>
      <c r="V69" s="183">
        <v>0</v>
      </c>
      <c r="W69" s="183">
        <v>0</v>
      </c>
      <c r="X69" s="183"/>
      <c r="Y69" s="183"/>
      <c r="Z69" s="183"/>
      <c r="AA69" s="183"/>
      <c r="AB69" s="184">
        <f>1.834207+0.543892</f>
        <v>2.3780989999999997</v>
      </c>
      <c r="AC69" s="184">
        <f>0.173406+0.339545</f>
        <v>0.51295099999999993</v>
      </c>
      <c r="AD69" s="95">
        <v>0</v>
      </c>
      <c r="AE69" s="95">
        <v>11650.96</v>
      </c>
      <c r="AF69" s="95">
        <v>0</v>
      </c>
      <c r="AG69" s="95">
        <f t="shared" si="62"/>
        <v>11650.96</v>
      </c>
      <c r="AH69" s="95">
        <f t="shared" si="63"/>
        <v>5976.3715829599987</v>
      </c>
      <c r="AI69" s="95">
        <f t="shared" si="64"/>
        <v>0</v>
      </c>
      <c r="AJ69" s="95">
        <f t="shared" si="65"/>
        <v>8206.9599999999991</v>
      </c>
      <c r="AK69" s="95">
        <f t="shared" si="66"/>
        <v>0</v>
      </c>
      <c r="AL69" s="133">
        <f t="shared" si="67"/>
        <v>8206.9599999999991</v>
      </c>
      <c r="AM69" s="199">
        <f t="shared" si="68"/>
        <v>4209.7683389599988</v>
      </c>
      <c r="AN69" s="106">
        <v>1595.95</v>
      </c>
      <c r="AO69" s="106">
        <v>5947.2</v>
      </c>
      <c r="AP69" s="106">
        <v>2074.8000000000002</v>
      </c>
      <c r="AQ69" s="95">
        <f t="shared" si="69"/>
        <v>9617.9500000000007</v>
      </c>
      <c r="AR69" s="183">
        <f t="shared" si="70"/>
        <v>7910.2200210499986</v>
      </c>
      <c r="AS69" s="106">
        <v>0</v>
      </c>
      <c r="AT69" s="106">
        <v>3444</v>
      </c>
      <c r="AU69" s="106">
        <v>0</v>
      </c>
      <c r="AV69" s="106">
        <f t="shared" si="51"/>
        <v>3444</v>
      </c>
      <c r="AW69" s="106">
        <v>0</v>
      </c>
      <c r="AX69" s="106">
        <v>3444</v>
      </c>
      <c r="AY69" s="106">
        <v>0</v>
      </c>
      <c r="AZ69" s="106">
        <f t="shared" si="52"/>
        <v>3444</v>
      </c>
      <c r="BA69" s="197">
        <f t="shared" si="53"/>
        <v>1766.6032439999997</v>
      </c>
      <c r="BB69" s="105">
        <f t="shared" si="71"/>
        <v>1595.95</v>
      </c>
      <c r="BC69" s="105">
        <f t="shared" si="30"/>
        <v>3795.3270990499996</v>
      </c>
      <c r="BD69" s="105">
        <f t="shared" si="72"/>
        <v>2503.1999999999998</v>
      </c>
      <c r="BE69" s="105">
        <f t="shared" si="31"/>
        <v>1284.0189431999997</v>
      </c>
      <c r="BF69" s="105">
        <f t="shared" si="73"/>
        <v>2074.8000000000002</v>
      </c>
      <c r="BG69" s="105">
        <f t="shared" si="32"/>
        <v>1064.2707347999999</v>
      </c>
      <c r="BH69" s="105">
        <f t="shared" si="74"/>
        <v>6173.95</v>
      </c>
      <c r="BI69" s="105">
        <f t="shared" si="75"/>
        <v>6143.6167770499997</v>
      </c>
      <c r="BJ69" s="186">
        <f t="shared" si="76"/>
        <v>11650.96</v>
      </c>
      <c r="BK69" s="182">
        <f t="shared" si="77"/>
        <v>5976.3715829599987</v>
      </c>
      <c r="BL69" s="98">
        <f t="shared" si="78"/>
        <v>11650.96</v>
      </c>
      <c r="BM69" s="99">
        <f t="shared" si="54"/>
        <v>0</v>
      </c>
      <c r="BN69" s="99">
        <f t="shared" si="55"/>
        <v>3444</v>
      </c>
      <c r="BO69" s="190">
        <f>1.834207+0.543892</f>
        <v>2.3780989999999997</v>
      </c>
      <c r="BP69" s="190">
        <f>0.173406+0.339545</f>
        <v>0.51295099999999993</v>
      </c>
      <c r="BQ69" s="182">
        <f t="shared" si="56"/>
        <v>0</v>
      </c>
      <c r="BR69" s="182">
        <f t="shared" si="57"/>
        <v>1766.6032439999997</v>
      </c>
      <c r="BS69" s="106"/>
      <c r="BT69" s="196"/>
      <c r="BU69" s="196"/>
      <c r="BV69" s="106"/>
      <c r="BW69" s="196"/>
      <c r="BX69" s="196"/>
      <c r="BY69" s="118"/>
      <c r="BZ69" s="188"/>
      <c r="CA69" s="118"/>
      <c r="CB69" s="118"/>
      <c r="CC69" s="188"/>
      <c r="CD69" s="106"/>
      <c r="CE69" s="106"/>
      <c r="CF69" s="196"/>
      <c r="CG69" s="106"/>
      <c r="CH69" s="106"/>
      <c r="CI69" s="196"/>
      <c r="CJ69" s="106"/>
      <c r="CK69" s="106"/>
      <c r="CL69" s="196"/>
      <c r="CM69" s="106"/>
      <c r="CN69" s="182">
        <f t="shared" si="58"/>
        <v>5976.3715829599987</v>
      </c>
      <c r="CO69" s="112">
        <f t="shared" si="60"/>
        <v>4.5474735088646412E-13</v>
      </c>
      <c r="CP69" s="182">
        <f t="shared" si="47"/>
        <v>0</v>
      </c>
      <c r="CQ69" s="95">
        <f t="shared" si="48"/>
        <v>21268.91</v>
      </c>
      <c r="CR69" s="115">
        <f t="shared" si="59"/>
        <v>0</v>
      </c>
      <c r="CS69" s="113"/>
      <c r="CT69" s="113"/>
      <c r="CU69" s="187"/>
      <c r="CV69" s="187"/>
      <c r="CW69" s="240"/>
    </row>
    <row r="70" spans="1:101" s="51" customFormat="1" ht="19.899999999999999" customHeight="1" x14ac:dyDescent="0.3">
      <c r="A70" s="92" t="s">
        <v>200</v>
      </c>
      <c r="B70" s="49">
        <v>12084724</v>
      </c>
      <c r="C70" s="92" t="s">
        <v>201</v>
      </c>
      <c r="D70" s="93" t="s">
        <v>171</v>
      </c>
      <c r="E70" s="93">
        <v>44834</v>
      </c>
      <c r="F70" s="94">
        <v>19509</v>
      </c>
      <c r="G70" s="182">
        <v>0.68799999999999994</v>
      </c>
      <c r="H70" s="95">
        <f t="shared" si="61"/>
        <v>13422.191999999999</v>
      </c>
      <c r="I70" s="104" t="s">
        <v>129</v>
      </c>
      <c r="J70" s="107" t="s">
        <v>202</v>
      </c>
      <c r="K70" s="50" t="s">
        <v>203</v>
      </c>
      <c r="L70" s="104"/>
      <c r="M70" s="108" t="s">
        <v>141</v>
      </c>
      <c r="N70" s="108" t="s">
        <v>142</v>
      </c>
      <c r="O70" s="193">
        <v>11090</v>
      </c>
      <c r="P70" s="193">
        <v>0</v>
      </c>
      <c r="Q70" s="193">
        <v>4331.8999999999996</v>
      </c>
      <c r="R70" s="109"/>
      <c r="S70" s="193">
        <v>10.6</v>
      </c>
      <c r="T70" s="193">
        <v>0</v>
      </c>
      <c r="U70" s="193">
        <v>10.18</v>
      </c>
      <c r="V70" s="193">
        <v>0</v>
      </c>
      <c r="W70" s="193">
        <v>0</v>
      </c>
      <c r="X70" s="193"/>
      <c r="Y70" s="193"/>
      <c r="Z70" s="193"/>
      <c r="AA70" s="193"/>
      <c r="AB70" s="194">
        <f>1.855328+0.550155</f>
        <v>2.4054830000000003</v>
      </c>
      <c r="AC70" s="194">
        <f>0.175404+0.343454</f>
        <v>0.51885800000000004</v>
      </c>
      <c r="AD70" s="106">
        <v>0</v>
      </c>
      <c r="AE70" s="118">
        <v>11742.04</v>
      </c>
      <c r="AF70" s="106">
        <v>0</v>
      </c>
      <c r="AG70" s="106">
        <f t="shared" si="62"/>
        <v>11742.04</v>
      </c>
      <c r="AH70" s="106">
        <f t="shared" si="63"/>
        <v>6092.4513903200013</v>
      </c>
      <c r="AI70" s="106">
        <f t="shared" si="64"/>
        <v>0</v>
      </c>
      <c r="AJ70" s="106">
        <f t="shared" si="65"/>
        <v>8382.0400000000009</v>
      </c>
      <c r="AK70" s="106">
        <f t="shared" si="66"/>
        <v>0</v>
      </c>
      <c r="AL70" s="132">
        <f t="shared" si="67"/>
        <v>8382.0400000000009</v>
      </c>
      <c r="AM70" s="198">
        <f t="shared" si="68"/>
        <v>4349.0885103200008</v>
      </c>
      <c r="AN70" s="95">
        <v>1628.55</v>
      </c>
      <c r="AO70" s="95">
        <v>6522.6</v>
      </c>
      <c r="AP70" s="95">
        <v>2272.1999999999998</v>
      </c>
      <c r="AQ70" s="106">
        <f t="shared" si="69"/>
        <v>10423.35</v>
      </c>
      <c r="AR70" s="193">
        <f t="shared" si="70"/>
        <v>8480.7016780499998</v>
      </c>
      <c r="AS70" s="95">
        <v>0</v>
      </c>
      <c r="AT70" s="95">
        <v>3360</v>
      </c>
      <c r="AU70" s="95">
        <v>0</v>
      </c>
      <c r="AV70" s="95">
        <f t="shared" si="51"/>
        <v>3360</v>
      </c>
      <c r="AW70" s="95">
        <v>0</v>
      </c>
      <c r="AX70" s="95">
        <v>3360</v>
      </c>
      <c r="AY70" s="95">
        <v>0</v>
      </c>
      <c r="AZ70" s="95">
        <f t="shared" si="52"/>
        <v>3360</v>
      </c>
      <c r="BA70" s="197">
        <f t="shared" si="53"/>
        <v>1743.3628800000001</v>
      </c>
      <c r="BB70" s="94">
        <f t="shared" si="71"/>
        <v>1628.55</v>
      </c>
      <c r="BC70" s="105">
        <f t="shared" si="30"/>
        <v>3917.4493396500002</v>
      </c>
      <c r="BD70" s="94">
        <f t="shared" si="72"/>
        <v>3162.6000000000004</v>
      </c>
      <c r="BE70" s="94">
        <f t="shared" si="31"/>
        <v>1640.9403108000004</v>
      </c>
      <c r="BF70" s="94">
        <f t="shared" si="73"/>
        <v>2272.1999999999998</v>
      </c>
      <c r="BG70" s="94">
        <f t="shared" si="32"/>
        <v>1178.9491476000001</v>
      </c>
      <c r="BH70" s="94">
        <f t="shared" si="74"/>
        <v>7063.35</v>
      </c>
      <c r="BI70" s="94">
        <f t="shared" si="75"/>
        <v>6737.3387980500011</v>
      </c>
      <c r="BJ70" s="186">
        <f t="shared" si="76"/>
        <v>11742.04</v>
      </c>
      <c r="BK70" s="182">
        <f t="shared" si="77"/>
        <v>6092.4513903200013</v>
      </c>
      <c r="BL70" s="98">
        <f t="shared" si="78"/>
        <v>11742.04</v>
      </c>
      <c r="BM70" s="99">
        <f t="shared" si="54"/>
        <v>0</v>
      </c>
      <c r="BN70" s="99">
        <f t="shared" si="55"/>
        <v>3360</v>
      </c>
      <c r="BO70" s="202">
        <f>1.855328+0.550155</f>
        <v>2.4054830000000003</v>
      </c>
      <c r="BP70" s="202">
        <f>0.175404+0.343454</f>
        <v>0.51885800000000004</v>
      </c>
      <c r="BQ70" s="182">
        <f t="shared" si="56"/>
        <v>0</v>
      </c>
      <c r="BR70" s="182">
        <f t="shared" si="57"/>
        <v>1743.3628800000001</v>
      </c>
      <c r="BS70" s="95"/>
      <c r="BT70" s="182"/>
      <c r="BU70" s="182"/>
      <c r="BV70" s="95"/>
      <c r="BW70" s="182"/>
      <c r="BX70" s="182"/>
      <c r="BY70" s="95"/>
      <c r="BZ70" s="182"/>
      <c r="CA70" s="95"/>
      <c r="CB70" s="95"/>
      <c r="CC70" s="182"/>
      <c r="CD70" s="95"/>
      <c r="CE70" s="95"/>
      <c r="CF70" s="182"/>
      <c r="CG70" s="95"/>
      <c r="CH70" s="95"/>
      <c r="CI70" s="182"/>
      <c r="CJ70" s="95"/>
      <c r="CK70" s="95"/>
      <c r="CL70" s="182"/>
      <c r="CM70" s="95"/>
      <c r="CN70" s="182">
        <f t="shared" si="58"/>
        <v>6092.4513903200013</v>
      </c>
      <c r="CO70" s="112">
        <f t="shared" si="60"/>
        <v>4.5474735088646412E-13</v>
      </c>
      <c r="CP70" s="182">
        <f t="shared" si="47"/>
        <v>0</v>
      </c>
      <c r="CQ70" s="95">
        <f t="shared" si="48"/>
        <v>22165.39</v>
      </c>
      <c r="CR70" s="115">
        <f t="shared" si="59"/>
        <v>0</v>
      </c>
      <c r="CS70" s="113"/>
      <c r="CT70" s="113"/>
      <c r="CU70" s="187"/>
      <c r="CV70" s="187"/>
      <c r="CW70" s="240"/>
    </row>
    <row r="71" spans="1:101" s="51" customFormat="1" ht="19.899999999999999" customHeight="1" x14ac:dyDescent="0.3">
      <c r="A71" s="148" t="s">
        <v>200</v>
      </c>
      <c r="B71" s="50">
        <v>12084724</v>
      </c>
      <c r="C71" s="148" t="s">
        <v>201</v>
      </c>
      <c r="D71" s="104" t="s">
        <v>171</v>
      </c>
      <c r="E71" s="104">
        <v>44834</v>
      </c>
      <c r="F71" s="105">
        <v>19509</v>
      </c>
      <c r="G71" s="188">
        <v>0.68799999999999994</v>
      </c>
      <c r="H71" s="118">
        <f t="shared" si="61"/>
        <v>13422.191999999999</v>
      </c>
      <c r="I71" s="93" t="s">
        <v>129</v>
      </c>
      <c r="J71" s="96" t="s">
        <v>202</v>
      </c>
      <c r="K71" s="49" t="s">
        <v>203</v>
      </c>
      <c r="L71" s="93"/>
      <c r="M71" s="97" t="s">
        <v>130</v>
      </c>
      <c r="N71" s="97" t="s">
        <v>143</v>
      </c>
      <c r="O71" s="183">
        <v>14571.53</v>
      </c>
      <c r="P71" s="183">
        <v>0</v>
      </c>
      <c r="Q71" s="183">
        <v>4216.12</v>
      </c>
      <c r="R71" s="131"/>
      <c r="S71" s="183">
        <v>25.06</v>
      </c>
      <c r="T71" s="183">
        <v>0</v>
      </c>
      <c r="U71" s="183">
        <v>9.66</v>
      </c>
      <c r="V71" s="183">
        <v>0</v>
      </c>
      <c r="W71" s="183">
        <v>0</v>
      </c>
      <c r="X71" s="183"/>
      <c r="Y71" s="183"/>
      <c r="Z71" s="183"/>
      <c r="AA71" s="183"/>
      <c r="AB71" s="184">
        <f>1.805739 +0.535451</f>
        <v>2.3411900000000001</v>
      </c>
      <c r="AC71" s="184">
        <f>0.170714+0.334275</f>
        <v>0.50498900000000002</v>
      </c>
      <c r="AD71" s="95">
        <v>0</v>
      </c>
      <c r="AE71" s="95">
        <v>11399.7</v>
      </c>
      <c r="AF71" s="95">
        <v>0</v>
      </c>
      <c r="AG71" s="95">
        <f t="shared" si="62"/>
        <v>11399.7</v>
      </c>
      <c r="AH71" s="95">
        <f t="shared" si="63"/>
        <v>5756.7231033000007</v>
      </c>
      <c r="AI71" s="95">
        <f t="shared" si="64"/>
        <v>0</v>
      </c>
      <c r="AJ71" s="95">
        <f t="shared" si="65"/>
        <v>9744.9000000000015</v>
      </c>
      <c r="AK71" s="95">
        <f t="shared" si="66"/>
        <v>0</v>
      </c>
      <c r="AL71" s="133">
        <f t="shared" si="67"/>
        <v>9744.9000000000015</v>
      </c>
      <c r="AM71" s="199">
        <f t="shared" si="68"/>
        <v>4921.0673061000007</v>
      </c>
      <c r="AN71" s="106">
        <v>2292.06</v>
      </c>
      <c r="AO71" s="106">
        <v>9030</v>
      </c>
      <c r="AP71" s="106">
        <v>2436</v>
      </c>
      <c r="AQ71" s="95">
        <f t="shared" si="69"/>
        <v>13758.06</v>
      </c>
      <c r="AR71" s="183">
        <f t="shared" si="70"/>
        <v>11156.351825400001</v>
      </c>
      <c r="AS71" s="106">
        <v>0</v>
      </c>
      <c r="AT71" s="106">
        <v>1654.8</v>
      </c>
      <c r="AU71" s="106">
        <v>0</v>
      </c>
      <c r="AV71" s="106">
        <f t="shared" si="51"/>
        <v>1654.8</v>
      </c>
      <c r="AW71" s="106">
        <v>0</v>
      </c>
      <c r="AX71" s="106">
        <v>1654.8</v>
      </c>
      <c r="AY71" s="106">
        <v>0</v>
      </c>
      <c r="AZ71" s="106">
        <f t="shared" si="52"/>
        <v>1654.8</v>
      </c>
      <c r="BA71" s="197">
        <f t="shared" si="53"/>
        <v>835.65579720000005</v>
      </c>
      <c r="BB71" s="105">
        <f t="shared" si="71"/>
        <v>2292.06</v>
      </c>
      <c r="BC71" s="105">
        <f t="shared" si="30"/>
        <v>5366.1479514000002</v>
      </c>
      <c r="BD71" s="105">
        <f t="shared" si="72"/>
        <v>7375.2</v>
      </c>
      <c r="BE71" s="105">
        <f t="shared" si="31"/>
        <v>3724.3948728</v>
      </c>
      <c r="BF71" s="105">
        <f t="shared" si="73"/>
        <v>2436</v>
      </c>
      <c r="BG71" s="105">
        <f t="shared" si="32"/>
        <v>1230.153204</v>
      </c>
      <c r="BH71" s="105">
        <f t="shared" si="74"/>
        <v>12103.26</v>
      </c>
      <c r="BI71" s="105">
        <f t="shared" si="75"/>
        <v>10320.6960282</v>
      </c>
      <c r="BJ71" s="186">
        <f t="shared" si="76"/>
        <v>11399.7</v>
      </c>
      <c r="BK71" s="182">
        <f t="shared" si="77"/>
        <v>5756.7231033000007</v>
      </c>
      <c r="BL71" s="98">
        <f t="shared" si="78"/>
        <v>11399.7</v>
      </c>
      <c r="BM71" s="99">
        <f t="shared" si="54"/>
        <v>0</v>
      </c>
      <c r="BN71" s="99">
        <f t="shared" si="55"/>
        <v>1654.8</v>
      </c>
      <c r="BO71" s="190">
        <f>1.805739 +0.535451</f>
        <v>2.3411900000000001</v>
      </c>
      <c r="BP71" s="190">
        <f>0.170714+0.334275</f>
        <v>0.50498900000000002</v>
      </c>
      <c r="BQ71" s="182">
        <f t="shared" si="56"/>
        <v>0</v>
      </c>
      <c r="BR71" s="182">
        <f t="shared" si="57"/>
        <v>835.65579720000005</v>
      </c>
      <c r="BS71" s="106"/>
      <c r="BT71" s="196"/>
      <c r="BU71" s="196"/>
      <c r="BV71" s="106"/>
      <c r="BW71" s="196"/>
      <c r="BX71" s="196"/>
      <c r="BY71" s="118"/>
      <c r="BZ71" s="188"/>
      <c r="CA71" s="118"/>
      <c r="CB71" s="118"/>
      <c r="CC71" s="188"/>
      <c r="CD71" s="106"/>
      <c r="CE71" s="106"/>
      <c r="CF71" s="196"/>
      <c r="CG71" s="106"/>
      <c r="CH71" s="106"/>
      <c r="CI71" s="196"/>
      <c r="CJ71" s="106"/>
      <c r="CK71" s="106"/>
      <c r="CL71" s="196"/>
      <c r="CM71" s="106"/>
      <c r="CN71" s="182">
        <f t="shared" si="58"/>
        <v>5756.7231033000007</v>
      </c>
      <c r="CO71" s="112">
        <f t="shared" si="60"/>
        <v>4.5474735088646412E-13</v>
      </c>
      <c r="CP71" s="182">
        <f t="shared" si="47"/>
        <v>0</v>
      </c>
      <c r="CQ71" s="95">
        <f t="shared" si="48"/>
        <v>25157.760000000002</v>
      </c>
      <c r="CR71" s="115">
        <f t="shared" si="59"/>
        <v>0</v>
      </c>
      <c r="CS71" s="113"/>
      <c r="CT71" s="113"/>
      <c r="CU71" s="187"/>
      <c r="CV71" s="187"/>
      <c r="CW71" s="240"/>
    </row>
    <row r="72" spans="1:101" s="51" customFormat="1" ht="19.899999999999999" customHeight="1" x14ac:dyDescent="0.3">
      <c r="A72" s="92" t="s">
        <v>200</v>
      </c>
      <c r="B72" s="49">
        <v>12084724</v>
      </c>
      <c r="C72" s="92" t="s">
        <v>201</v>
      </c>
      <c r="D72" s="93" t="s">
        <v>171</v>
      </c>
      <c r="E72" s="93">
        <v>44834</v>
      </c>
      <c r="F72" s="94">
        <v>19509</v>
      </c>
      <c r="G72" s="182">
        <v>0.68799999999999994</v>
      </c>
      <c r="H72" s="95">
        <f t="shared" si="61"/>
        <v>13422.191999999999</v>
      </c>
      <c r="I72" s="104" t="s">
        <v>129</v>
      </c>
      <c r="J72" s="107" t="s">
        <v>202</v>
      </c>
      <c r="K72" s="50" t="s">
        <v>203</v>
      </c>
      <c r="L72" s="104"/>
      <c r="M72" s="108" t="s">
        <v>144</v>
      </c>
      <c r="N72" s="108" t="s">
        <v>145</v>
      </c>
      <c r="O72" s="193">
        <v>16907.37</v>
      </c>
      <c r="P72" s="193">
        <v>0</v>
      </c>
      <c r="Q72" s="193">
        <v>4304.6499999999996</v>
      </c>
      <c r="R72" s="109"/>
      <c r="S72" s="193">
        <v>18.059999999999999</v>
      </c>
      <c r="T72" s="193">
        <v>0</v>
      </c>
      <c r="U72" s="193">
        <v>12.96</v>
      </c>
      <c r="V72" s="193">
        <v>0</v>
      </c>
      <c r="W72" s="193">
        <v>0</v>
      </c>
      <c r="X72" s="193"/>
      <c r="Y72" s="193"/>
      <c r="Z72" s="193"/>
      <c r="AA72" s="193"/>
      <c r="AB72" s="194">
        <f>1.843655+0.546694</f>
        <v>2.3903490000000001</v>
      </c>
      <c r="AC72" s="194">
        <f>0.1743+0.341294</f>
        <v>0.515594</v>
      </c>
      <c r="AD72" s="106">
        <v>0</v>
      </c>
      <c r="AE72" s="118">
        <v>14483.72</v>
      </c>
      <c r="AF72" s="106">
        <v>0</v>
      </c>
      <c r="AG72" s="106">
        <f t="shared" si="62"/>
        <v>14483.72</v>
      </c>
      <c r="AH72" s="106">
        <f t="shared" si="63"/>
        <v>7467.7191296799992</v>
      </c>
      <c r="AI72" s="106">
        <f t="shared" si="64"/>
        <v>0</v>
      </c>
      <c r="AJ72" s="106">
        <f t="shared" si="65"/>
        <v>12425.72</v>
      </c>
      <c r="AK72" s="106">
        <f t="shared" si="66"/>
        <v>0</v>
      </c>
      <c r="AL72" s="132">
        <f t="shared" si="67"/>
        <v>12425.72</v>
      </c>
      <c r="AM72" s="198">
        <f t="shared" si="68"/>
        <v>6406.6266776799994</v>
      </c>
      <c r="AN72" s="95">
        <v>2607.69</v>
      </c>
      <c r="AO72" s="95">
        <v>11466</v>
      </c>
      <c r="AP72" s="95">
        <v>2885.4</v>
      </c>
      <c r="AQ72" s="106">
        <f t="shared" si="69"/>
        <v>16959.09</v>
      </c>
      <c r="AR72" s="193">
        <f t="shared" si="70"/>
        <v>13632.78491541</v>
      </c>
      <c r="AS72" s="95">
        <v>0</v>
      </c>
      <c r="AT72" s="95">
        <v>2058</v>
      </c>
      <c r="AU72" s="95">
        <v>0</v>
      </c>
      <c r="AV72" s="95">
        <f t="shared" si="51"/>
        <v>2058</v>
      </c>
      <c r="AW72" s="95">
        <v>0</v>
      </c>
      <c r="AX72" s="95">
        <v>2058</v>
      </c>
      <c r="AY72" s="95">
        <v>0</v>
      </c>
      <c r="AZ72" s="95">
        <f t="shared" si="52"/>
        <v>2058</v>
      </c>
      <c r="BA72" s="197">
        <f t="shared" si="53"/>
        <v>1061.0924520000001</v>
      </c>
      <c r="BB72" s="94">
        <f t="shared" si="71"/>
        <v>2607.69</v>
      </c>
      <c r="BC72" s="105">
        <f t="shared" si="30"/>
        <v>6233.2891838100004</v>
      </c>
      <c r="BD72" s="94">
        <f t="shared" si="72"/>
        <v>9408</v>
      </c>
      <c r="BE72" s="94">
        <f t="shared" si="31"/>
        <v>4850.7083519999996</v>
      </c>
      <c r="BF72" s="94">
        <f t="shared" si="73"/>
        <v>2885.4</v>
      </c>
      <c r="BG72" s="94">
        <f t="shared" si="32"/>
        <v>1487.6949276</v>
      </c>
      <c r="BH72" s="94">
        <f t="shared" si="74"/>
        <v>14901.09</v>
      </c>
      <c r="BI72" s="94">
        <f t="shared" si="75"/>
        <v>12571.69246341</v>
      </c>
      <c r="BJ72" s="186">
        <f t="shared" si="76"/>
        <v>14483.72</v>
      </c>
      <c r="BK72" s="182">
        <f t="shared" si="77"/>
        <v>7467.7191296799992</v>
      </c>
      <c r="BL72" s="98">
        <f t="shared" si="78"/>
        <v>14483.72</v>
      </c>
      <c r="BM72" s="99">
        <f t="shared" si="54"/>
        <v>0</v>
      </c>
      <c r="BN72" s="99">
        <f t="shared" si="55"/>
        <v>2058</v>
      </c>
      <c r="BO72" s="202">
        <f>1.843655+0.546694</f>
        <v>2.3903490000000001</v>
      </c>
      <c r="BP72" s="202">
        <f>0.1743+0.341294</f>
        <v>0.515594</v>
      </c>
      <c r="BQ72" s="182">
        <f t="shared" si="56"/>
        <v>0</v>
      </c>
      <c r="BR72" s="182">
        <f t="shared" si="57"/>
        <v>1061.0924520000001</v>
      </c>
      <c r="BS72" s="95"/>
      <c r="BT72" s="182"/>
      <c r="BU72" s="182"/>
      <c r="BV72" s="95"/>
      <c r="BW72" s="182"/>
      <c r="BX72" s="182"/>
      <c r="BY72" s="95"/>
      <c r="BZ72" s="182"/>
      <c r="CA72" s="95"/>
      <c r="CB72" s="95"/>
      <c r="CC72" s="182"/>
      <c r="CD72" s="95"/>
      <c r="CE72" s="95"/>
      <c r="CF72" s="182"/>
      <c r="CG72" s="95"/>
      <c r="CH72" s="95"/>
      <c r="CI72" s="182"/>
      <c r="CJ72" s="95"/>
      <c r="CK72" s="95"/>
      <c r="CL72" s="182"/>
      <c r="CM72" s="95"/>
      <c r="CN72" s="182">
        <f t="shared" si="58"/>
        <v>7467.7191296799992</v>
      </c>
      <c r="CO72" s="112">
        <f t="shared" si="60"/>
        <v>4.5474735088646412E-13</v>
      </c>
      <c r="CP72" s="182">
        <f t="shared" si="47"/>
        <v>0</v>
      </c>
      <c r="CQ72" s="95">
        <f t="shared" si="48"/>
        <v>31442.809999999998</v>
      </c>
      <c r="CR72" s="115">
        <f t="shared" si="59"/>
        <v>0</v>
      </c>
      <c r="CS72" s="113"/>
      <c r="CT72" s="113"/>
      <c r="CU72" s="187"/>
      <c r="CV72" s="187"/>
      <c r="CW72" s="240"/>
    </row>
    <row r="73" spans="1:101" s="51" customFormat="1" ht="19.899999999999999" customHeight="1" x14ac:dyDescent="0.3">
      <c r="A73" s="148" t="s">
        <v>200</v>
      </c>
      <c r="B73" s="50">
        <v>12084724</v>
      </c>
      <c r="C73" s="148" t="s">
        <v>201</v>
      </c>
      <c r="D73" s="104" t="s">
        <v>171</v>
      </c>
      <c r="E73" s="104">
        <v>44834</v>
      </c>
      <c r="F73" s="105">
        <v>19509</v>
      </c>
      <c r="G73" s="188">
        <v>0.68799999999999994</v>
      </c>
      <c r="H73" s="118">
        <f t="shared" si="61"/>
        <v>13422.191999999999</v>
      </c>
      <c r="I73" s="93" t="s">
        <v>129</v>
      </c>
      <c r="J73" s="96" t="s">
        <v>202</v>
      </c>
      <c r="K73" s="49" t="s">
        <v>203</v>
      </c>
      <c r="L73" s="93"/>
      <c r="M73" s="97" t="s">
        <v>146</v>
      </c>
      <c r="N73" s="97" t="s">
        <v>147</v>
      </c>
      <c r="O73" s="183">
        <v>15463.41</v>
      </c>
      <c r="P73" s="183">
        <v>0</v>
      </c>
      <c r="Q73" s="183">
        <v>4509.63</v>
      </c>
      <c r="R73" s="131"/>
      <c r="S73" s="183">
        <v>7.58</v>
      </c>
      <c r="T73" s="183">
        <v>0</v>
      </c>
      <c r="U73" s="183">
        <v>14.46</v>
      </c>
      <c r="V73" s="183">
        <v>0</v>
      </c>
      <c r="W73" s="183">
        <v>0</v>
      </c>
      <c r="X73" s="183"/>
      <c r="Y73" s="183"/>
      <c r="Z73" s="183"/>
      <c r="AA73" s="183"/>
      <c r="AB73" s="184">
        <f>1.909664+0.546042</f>
        <v>2.4557060000000002</v>
      </c>
      <c r="AC73" s="184">
        <f>0.157737+0.343425</f>
        <v>0.501162</v>
      </c>
      <c r="AD73" s="95">
        <v>0.9</v>
      </c>
      <c r="AE73" s="95">
        <v>15627.19</v>
      </c>
      <c r="AF73" s="95">
        <v>2.65</v>
      </c>
      <c r="AG73" s="95">
        <f t="shared" si="62"/>
        <v>15630.74</v>
      </c>
      <c r="AH73" s="95">
        <f t="shared" si="63"/>
        <v>7835.2920094799993</v>
      </c>
      <c r="AI73" s="95">
        <f t="shared" si="64"/>
        <v>0.9</v>
      </c>
      <c r="AJ73" s="95">
        <f t="shared" si="65"/>
        <v>12015.19</v>
      </c>
      <c r="AK73" s="95">
        <f t="shared" si="66"/>
        <v>2.65</v>
      </c>
      <c r="AL73" s="133">
        <f t="shared" si="67"/>
        <v>12018.74</v>
      </c>
      <c r="AM73" s="199">
        <f t="shared" si="68"/>
        <v>6025.0948654799995</v>
      </c>
      <c r="AN73" s="95">
        <v>2548.7199999999998</v>
      </c>
      <c r="AO73" s="95">
        <v>10071.6</v>
      </c>
      <c r="AP73" s="95">
        <v>2864.4</v>
      </c>
      <c r="AQ73" s="95">
        <f t="shared" si="69"/>
        <v>15484.72</v>
      </c>
      <c r="AR73" s="183">
        <f t="shared" si="70"/>
        <v>12741.93862832</v>
      </c>
      <c r="AS73" s="95">
        <v>0</v>
      </c>
      <c r="AT73" s="95">
        <v>3612</v>
      </c>
      <c r="AU73" s="95">
        <v>0</v>
      </c>
      <c r="AV73" s="95">
        <f t="shared" si="51"/>
        <v>3612</v>
      </c>
      <c r="AW73" s="95">
        <v>0</v>
      </c>
      <c r="AX73" s="95">
        <v>3612</v>
      </c>
      <c r="AY73" s="95">
        <v>0</v>
      </c>
      <c r="AZ73" s="95">
        <f t="shared" si="52"/>
        <v>3612</v>
      </c>
      <c r="BA73" s="197">
        <f t="shared" si="53"/>
        <v>1810.197144</v>
      </c>
      <c r="BB73" s="94">
        <f t="shared" si="71"/>
        <v>2548.7199999999998</v>
      </c>
      <c r="BC73" s="105">
        <f t="shared" si="30"/>
        <v>6258.90699632</v>
      </c>
      <c r="BD73" s="94">
        <f t="shared" si="72"/>
        <v>6459.6</v>
      </c>
      <c r="BE73" s="94">
        <f t="shared" si="31"/>
        <v>3237.3060552000002</v>
      </c>
      <c r="BF73" s="94">
        <f t="shared" si="73"/>
        <v>2864.4</v>
      </c>
      <c r="BG73" s="94">
        <f t="shared" si="32"/>
        <v>1435.5284328</v>
      </c>
      <c r="BH73" s="94">
        <f t="shared" si="74"/>
        <v>11872.72</v>
      </c>
      <c r="BI73" s="94">
        <f t="shared" si="75"/>
        <v>10931.74148432</v>
      </c>
      <c r="BJ73" s="186">
        <f t="shared" si="76"/>
        <v>15630.74</v>
      </c>
      <c r="BK73" s="182">
        <f t="shared" si="77"/>
        <v>7835.2920094799993</v>
      </c>
      <c r="BL73" s="98">
        <f t="shared" si="78"/>
        <v>15630.74</v>
      </c>
      <c r="BM73" s="99">
        <f t="shared" si="54"/>
        <v>0</v>
      </c>
      <c r="BN73" s="99">
        <f t="shared" si="55"/>
        <v>3612</v>
      </c>
      <c r="BO73" s="202">
        <f>1.909664+0.546042</f>
        <v>2.4557060000000002</v>
      </c>
      <c r="BP73" s="202">
        <f>0.157737+0.343425</f>
        <v>0.501162</v>
      </c>
      <c r="BQ73" s="182">
        <f t="shared" si="56"/>
        <v>0</v>
      </c>
      <c r="BR73" s="182">
        <f t="shared" si="57"/>
        <v>1810.197144</v>
      </c>
      <c r="BS73" s="95"/>
      <c r="BT73" s="182"/>
      <c r="BU73" s="182"/>
      <c r="BV73" s="95"/>
      <c r="BW73" s="182"/>
      <c r="BX73" s="182"/>
      <c r="BY73" s="118"/>
      <c r="BZ73" s="188"/>
      <c r="CA73" s="118"/>
      <c r="CB73" s="118"/>
      <c r="CC73" s="188"/>
      <c r="CD73" s="95"/>
      <c r="CE73" s="95"/>
      <c r="CF73" s="182"/>
      <c r="CG73" s="95"/>
      <c r="CH73" s="95"/>
      <c r="CI73" s="182"/>
      <c r="CJ73" s="95"/>
      <c r="CK73" s="95"/>
      <c r="CL73" s="182"/>
      <c r="CM73" s="95"/>
      <c r="CN73" s="182">
        <f t="shared" si="58"/>
        <v>7835.2920094799993</v>
      </c>
      <c r="CO73" s="112">
        <f t="shared" si="60"/>
        <v>4.5474735088646412E-13</v>
      </c>
      <c r="CP73" s="182">
        <f t="shared" si="47"/>
        <v>0</v>
      </c>
      <c r="CQ73" s="95">
        <f t="shared" si="48"/>
        <v>31115.46</v>
      </c>
      <c r="CR73" s="115">
        <f t="shared" si="59"/>
        <v>0</v>
      </c>
      <c r="CS73" s="113"/>
      <c r="CT73" s="113"/>
      <c r="CU73" s="187"/>
      <c r="CV73" s="187"/>
      <c r="CW73" s="240"/>
    </row>
    <row r="74" spans="1:101" s="51" customFormat="1" ht="19.899999999999999" customHeight="1" x14ac:dyDescent="0.3">
      <c r="A74" s="92" t="s">
        <v>200</v>
      </c>
      <c r="B74" s="49">
        <v>12084724</v>
      </c>
      <c r="C74" s="92" t="s">
        <v>201</v>
      </c>
      <c r="D74" s="93" t="s">
        <v>171</v>
      </c>
      <c r="E74" s="93">
        <v>44834</v>
      </c>
      <c r="F74" s="94">
        <v>19509</v>
      </c>
      <c r="G74" s="182">
        <v>0.68799999999999994</v>
      </c>
      <c r="H74" s="95">
        <f t="shared" si="61"/>
        <v>13422.191999999999</v>
      </c>
      <c r="I74" s="104" t="s">
        <v>129</v>
      </c>
      <c r="J74" s="107" t="s">
        <v>202</v>
      </c>
      <c r="K74" s="50" t="s">
        <v>203</v>
      </c>
      <c r="L74" s="104"/>
      <c r="M74" s="108" t="s">
        <v>148</v>
      </c>
      <c r="N74" s="108" t="s">
        <v>149</v>
      </c>
      <c r="O74" s="193">
        <v>13959.74</v>
      </c>
      <c r="P74" s="193">
        <v>0</v>
      </c>
      <c r="Q74" s="193">
        <v>4819.13</v>
      </c>
      <c r="R74" s="109"/>
      <c r="S74" s="193">
        <v>10.57</v>
      </c>
      <c r="T74" s="193">
        <v>0</v>
      </c>
      <c r="U74" s="193">
        <v>15.36</v>
      </c>
      <c r="V74" s="193">
        <v>0</v>
      </c>
      <c r="W74" s="193">
        <v>0</v>
      </c>
      <c r="X74" s="193"/>
      <c r="Y74" s="193"/>
      <c r="Z74" s="193"/>
      <c r="AA74" s="193"/>
      <c r="AB74" s="194">
        <v>2.538583</v>
      </c>
      <c r="AC74" s="194">
        <v>0.46666299999999999</v>
      </c>
      <c r="AD74" s="106">
        <v>5.17</v>
      </c>
      <c r="AE74" s="118">
        <v>16039.99</v>
      </c>
      <c r="AF74" s="106">
        <v>11.01</v>
      </c>
      <c r="AG74" s="106">
        <f t="shared" si="62"/>
        <v>16056.17</v>
      </c>
      <c r="AH74" s="106">
        <f t="shared" si="63"/>
        <v>7503.5322871099997</v>
      </c>
      <c r="AI74" s="106">
        <f t="shared" si="64"/>
        <v>5.17</v>
      </c>
      <c r="AJ74" s="106">
        <f t="shared" si="65"/>
        <v>11852.59</v>
      </c>
      <c r="AK74" s="106">
        <f t="shared" si="66"/>
        <v>11.01</v>
      </c>
      <c r="AL74" s="132">
        <f t="shared" si="67"/>
        <v>11868.77</v>
      </c>
      <c r="AM74" s="198">
        <f t="shared" si="68"/>
        <v>5549.4276409100003</v>
      </c>
      <c r="AN74" s="95">
        <v>2313.44</v>
      </c>
      <c r="AO74" s="95">
        <v>7971.6</v>
      </c>
      <c r="AP74" s="95">
        <v>3162.6</v>
      </c>
      <c r="AQ74" s="106">
        <f t="shared" si="69"/>
        <v>13447.640000000001</v>
      </c>
      <c r="AR74" s="193">
        <f t="shared" si="70"/>
        <v>11068.778630120001</v>
      </c>
      <c r="AS74" s="95">
        <v>0</v>
      </c>
      <c r="AT74" s="95">
        <v>4187.3999999999996</v>
      </c>
      <c r="AU74" s="95">
        <v>0</v>
      </c>
      <c r="AV74" s="95">
        <f t="shared" si="51"/>
        <v>4187.3999999999996</v>
      </c>
      <c r="AW74" s="95">
        <v>0</v>
      </c>
      <c r="AX74" s="95">
        <v>4187.3999999999996</v>
      </c>
      <c r="AY74" s="95">
        <v>0</v>
      </c>
      <c r="AZ74" s="95">
        <f t="shared" si="52"/>
        <v>4187.3999999999996</v>
      </c>
      <c r="BA74" s="197">
        <f t="shared" si="53"/>
        <v>1954.1046461999997</v>
      </c>
      <c r="BB74" s="94">
        <f t="shared" si="71"/>
        <v>2313.44</v>
      </c>
      <c r="BC74" s="105">
        <f t="shared" si="30"/>
        <v>5872.8594555200007</v>
      </c>
      <c r="BD74" s="94">
        <f t="shared" si="72"/>
        <v>3784.2000000000007</v>
      </c>
      <c r="BE74" s="94">
        <f t="shared" si="31"/>
        <v>1765.9461246000003</v>
      </c>
      <c r="BF74" s="94">
        <f t="shared" si="73"/>
        <v>3162.6</v>
      </c>
      <c r="BG74" s="94">
        <f t="shared" si="32"/>
        <v>1475.8684037999999</v>
      </c>
      <c r="BH74" s="94">
        <f t="shared" si="74"/>
        <v>9260.2400000000016</v>
      </c>
      <c r="BI74" s="94">
        <f t="shared" si="75"/>
        <v>9114.67398392</v>
      </c>
      <c r="BJ74" s="186">
        <f t="shared" si="76"/>
        <v>16056.17</v>
      </c>
      <c r="BK74" s="182">
        <f t="shared" si="77"/>
        <v>7503.5322871099997</v>
      </c>
      <c r="BL74" s="98">
        <f t="shared" si="78"/>
        <v>16056.17</v>
      </c>
      <c r="BM74" s="99">
        <f t="shared" si="54"/>
        <v>0</v>
      </c>
      <c r="BN74" s="99">
        <f t="shared" si="55"/>
        <v>4187.3999999999996</v>
      </c>
      <c r="BO74" s="202">
        <f>2.002225+0.536358</f>
        <v>2.538583</v>
      </c>
      <c r="BP74" s="202">
        <f>0.124624+0.342039</f>
        <v>0.46666299999999999</v>
      </c>
      <c r="BQ74" s="182">
        <f t="shared" si="56"/>
        <v>0</v>
      </c>
      <c r="BR74" s="182">
        <f t="shared" si="57"/>
        <v>1954.1046461999997</v>
      </c>
      <c r="BS74" s="95"/>
      <c r="BT74" s="182"/>
      <c r="BU74" s="182"/>
      <c r="BV74" s="95"/>
      <c r="BW74" s="182"/>
      <c r="BX74" s="182"/>
      <c r="BY74" s="95"/>
      <c r="BZ74" s="182"/>
      <c r="CA74" s="95"/>
      <c r="CB74" s="95"/>
      <c r="CC74" s="182"/>
      <c r="CD74" s="95"/>
      <c r="CE74" s="95"/>
      <c r="CF74" s="182"/>
      <c r="CG74" s="95"/>
      <c r="CH74" s="95"/>
      <c r="CI74" s="182"/>
      <c r="CJ74" s="95"/>
      <c r="CK74" s="95"/>
      <c r="CL74" s="182"/>
      <c r="CM74" s="95"/>
      <c r="CN74" s="182">
        <f t="shared" si="58"/>
        <v>7503.5322871099997</v>
      </c>
      <c r="CO74" s="112">
        <f t="shared" si="60"/>
        <v>4.5474735088646412E-13</v>
      </c>
      <c r="CP74" s="182">
        <f t="shared" si="47"/>
        <v>0</v>
      </c>
      <c r="CQ74" s="95">
        <f t="shared" si="48"/>
        <v>29503.81</v>
      </c>
      <c r="CR74" s="115">
        <f t="shared" si="59"/>
        <v>0</v>
      </c>
      <c r="CS74" s="113"/>
      <c r="CT74" s="113"/>
      <c r="CU74" s="187"/>
      <c r="CV74" s="187"/>
      <c r="CW74" s="240"/>
    </row>
    <row r="75" spans="1:101" s="51" customFormat="1" ht="19.899999999999999" customHeight="1" x14ac:dyDescent="0.3">
      <c r="A75" s="148" t="s">
        <v>200</v>
      </c>
      <c r="B75" s="50">
        <v>12084724</v>
      </c>
      <c r="C75" s="148" t="s">
        <v>201</v>
      </c>
      <c r="D75" s="104" t="s">
        <v>171</v>
      </c>
      <c r="E75" s="104">
        <v>44834</v>
      </c>
      <c r="F75" s="105">
        <v>19509</v>
      </c>
      <c r="G75" s="188">
        <v>0.68799999999999994</v>
      </c>
      <c r="H75" s="118">
        <f t="shared" si="61"/>
        <v>13422.191999999999</v>
      </c>
      <c r="I75" s="93" t="s">
        <v>129</v>
      </c>
      <c r="J75" s="96" t="s">
        <v>202</v>
      </c>
      <c r="K75" s="49" t="s">
        <v>203</v>
      </c>
      <c r="L75" s="93"/>
      <c r="M75" s="97" t="s">
        <v>150</v>
      </c>
      <c r="N75" s="97" t="s">
        <v>151</v>
      </c>
      <c r="O75" s="183">
        <v>11719.18</v>
      </c>
      <c r="P75" s="183">
        <v>0</v>
      </c>
      <c r="Q75" s="183">
        <v>4751.71</v>
      </c>
      <c r="R75" s="131"/>
      <c r="S75" s="183">
        <v>2.98</v>
      </c>
      <c r="T75" s="183">
        <v>0</v>
      </c>
      <c r="U75" s="183">
        <v>12.16</v>
      </c>
      <c r="V75" s="183">
        <v>0</v>
      </c>
      <c r="W75" s="183">
        <v>0</v>
      </c>
      <c r="X75" s="183"/>
      <c r="Y75" s="183"/>
      <c r="Z75" s="183"/>
      <c r="AA75" s="183"/>
      <c r="AB75" s="184">
        <v>2.503069</v>
      </c>
      <c r="AC75" s="184">
        <v>0.46013500000000002</v>
      </c>
      <c r="AD75" s="95">
        <v>19.21</v>
      </c>
      <c r="AE75" s="95">
        <v>15820.87</v>
      </c>
      <c r="AF75" s="95">
        <v>7.47</v>
      </c>
      <c r="AG75" s="95">
        <f t="shared" si="62"/>
        <v>15847.55</v>
      </c>
      <c r="AH75" s="95">
        <f t="shared" si="63"/>
        <v>7331.2571813900004</v>
      </c>
      <c r="AI75" s="95">
        <f t="shared" si="64"/>
        <v>19.21</v>
      </c>
      <c r="AJ75" s="95">
        <f t="shared" si="65"/>
        <v>11226.07</v>
      </c>
      <c r="AK75" s="95">
        <f t="shared" si="66"/>
        <v>7.47</v>
      </c>
      <c r="AL75" s="133">
        <f t="shared" si="67"/>
        <v>11252.749999999998</v>
      </c>
      <c r="AM75" s="199">
        <f t="shared" si="68"/>
        <v>5217.0288833900004</v>
      </c>
      <c r="AN75" s="95">
        <v>1806.25</v>
      </c>
      <c r="AO75" s="95">
        <v>7341.6</v>
      </c>
      <c r="AP75" s="95">
        <v>2536.8000000000002</v>
      </c>
      <c r="AQ75" s="95">
        <f t="shared" si="69"/>
        <v>11684.650000000001</v>
      </c>
      <c r="AR75" s="183">
        <f t="shared" si="70"/>
        <v>9066.5659652499999</v>
      </c>
      <c r="AS75" s="95">
        <v>0</v>
      </c>
      <c r="AT75" s="95">
        <v>4594.8</v>
      </c>
      <c r="AU75" s="95">
        <v>0</v>
      </c>
      <c r="AV75" s="95">
        <f t="shared" si="51"/>
        <v>4594.8</v>
      </c>
      <c r="AW75" s="95">
        <v>0</v>
      </c>
      <c r="AX75" s="95">
        <v>4594.8</v>
      </c>
      <c r="AY75" s="95">
        <v>0</v>
      </c>
      <c r="AZ75" s="95">
        <f t="shared" si="52"/>
        <v>4594.8</v>
      </c>
      <c r="BA75" s="197">
        <f t="shared" si="53"/>
        <v>2114.228298</v>
      </c>
      <c r="BB75" s="94">
        <f t="shared" si="71"/>
        <v>1806.25</v>
      </c>
      <c r="BC75" s="105">
        <f t="shared" si="30"/>
        <v>4521.1683812499996</v>
      </c>
      <c r="BD75" s="94">
        <f t="shared" si="72"/>
        <v>2746.8</v>
      </c>
      <c r="BE75" s="94">
        <f t="shared" si="31"/>
        <v>1263.8988180000001</v>
      </c>
      <c r="BF75" s="94">
        <f t="shared" si="73"/>
        <v>2536.8000000000002</v>
      </c>
      <c r="BG75" s="94">
        <f t="shared" si="32"/>
        <v>1167.2704680000002</v>
      </c>
      <c r="BH75" s="94">
        <f t="shared" si="74"/>
        <v>7089.85</v>
      </c>
      <c r="BI75" s="94">
        <f t="shared" si="75"/>
        <v>6952.3376672499999</v>
      </c>
      <c r="BJ75" s="186">
        <f t="shared" si="76"/>
        <v>15847.55</v>
      </c>
      <c r="BK75" s="182">
        <f t="shared" si="77"/>
        <v>7331.2571813900004</v>
      </c>
      <c r="BL75" s="98">
        <f t="shared" si="78"/>
        <v>15847.55</v>
      </c>
      <c r="BM75" s="99">
        <f t="shared" si="54"/>
        <v>0</v>
      </c>
      <c r="BN75" s="99">
        <f t="shared" si="55"/>
        <v>4594.8</v>
      </c>
      <c r="BO75" s="202">
        <v>2.503069</v>
      </c>
      <c r="BP75" s="202">
        <v>0.46013500000000002</v>
      </c>
      <c r="BQ75" s="182">
        <f t="shared" si="56"/>
        <v>0</v>
      </c>
      <c r="BR75" s="182">
        <f t="shared" si="57"/>
        <v>2114.228298</v>
      </c>
      <c r="BS75" s="95"/>
      <c r="BT75" s="182"/>
      <c r="BU75" s="182"/>
      <c r="BV75" s="95"/>
      <c r="BW75" s="182"/>
      <c r="BX75" s="182"/>
      <c r="BY75" s="118"/>
      <c r="BZ75" s="188"/>
      <c r="CA75" s="118"/>
      <c r="CB75" s="118"/>
      <c r="CC75" s="188"/>
      <c r="CD75" s="95"/>
      <c r="CE75" s="95"/>
      <c r="CF75" s="182"/>
      <c r="CG75" s="95"/>
      <c r="CH75" s="95"/>
      <c r="CI75" s="182"/>
      <c r="CJ75" s="95"/>
      <c r="CK75" s="95"/>
      <c r="CL75" s="182"/>
      <c r="CM75" s="95"/>
      <c r="CN75" s="182">
        <f t="shared" si="58"/>
        <v>7331.2571813900004</v>
      </c>
      <c r="CO75" s="112">
        <f t="shared" si="60"/>
        <v>4.5474735088646412E-13</v>
      </c>
      <c r="CP75" s="182">
        <f t="shared" si="47"/>
        <v>0</v>
      </c>
      <c r="CQ75" s="95">
        <f t="shared" si="48"/>
        <v>27532.2</v>
      </c>
      <c r="CR75" s="115">
        <f t="shared" si="59"/>
        <v>0</v>
      </c>
      <c r="CS75" s="113"/>
      <c r="CT75" s="113"/>
      <c r="CU75" s="187"/>
      <c r="CV75" s="187"/>
      <c r="CW75" s="240"/>
    </row>
    <row r="76" spans="1:101" s="51" customFormat="1" ht="19.899999999999999" customHeight="1" x14ac:dyDescent="0.3">
      <c r="A76" s="92" t="s">
        <v>200</v>
      </c>
      <c r="B76" s="49">
        <v>12084724</v>
      </c>
      <c r="C76" s="92" t="s">
        <v>201</v>
      </c>
      <c r="D76" s="93" t="s">
        <v>171</v>
      </c>
      <c r="E76" s="93">
        <v>44834</v>
      </c>
      <c r="F76" s="94">
        <v>19509</v>
      </c>
      <c r="G76" s="182">
        <v>0.68799999999999994</v>
      </c>
      <c r="H76" s="95">
        <f t="shared" si="61"/>
        <v>13422.191999999999</v>
      </c>
      <c r="I76" s="104" t="s">
        <v>129</v>
      </c>
      <c r="J76" s="107" t="s">
        <v>202</v>
      </c>
      <c r="K76" s="50" t="s">
        <v>203</v>
      </c>
      <c r="L76" s="104"/>
      <c r="M76" s="108" t="s">
        <v>152</v>
      </c>
      <c r="N76" s="108" t="s">
        <v>153</v>
      </c>
      <c r="O76" s="193">
        <v>12416.22</v>
      </c>
      <c r="P76" s="193">
        <v>0</v>
      </c>
      <c r="Q76" s="193">
        <v>4738.93</v>
      </c>
      <c r="R76" s="109"/>
      <c r="S76" s="193">
        <v>1.49</v>
      </c>
      <c r="T76" s="193">
        <v>0</v>
      </c>
      <c r="U76" s="193">
        <v>17.02</v>
      </c>
      <c r="V76" s="193">
        <v>0</v>
      </c>
      <c r="W76" s="193">
        <v>0</v>
      </c>
      <c r="X76" s="193"/>
      <c r="Y76" s="193"/>
      <c r="Z76" s="193">
        <v>7.75</v>
      </c>
      <c r="AA76" s="193"/>
      <c r="AB76" s="194">
        <v>2.496337</v>
      </c>
      <c r="AC76" s="194">
        <v>0.45889799999999997</v>
      </c>
      <c r="AD76" s="106">
        <v>46.14</v>
      </c>
      <c r="AE76" s="118">
        <v>14485.74</v>
      </c>
      <c r="AF76" s="106">
        <v>0.36</v>
      </c>
      <c r="AG76" s="106">
        <f t="shared" si="62"/>
        <v>14532.24</v>
      </c>
      <c r="AH76" s="106">
        <f t="shared" si="63"/>
        <v>6762.8233069799999</v>
      </c>
      <c r="AI76" s="106">
        <f t="shared" si="64"/>
        <v>46.14</v>
      </c>
      <c r="AJ76" s="106">
        <f t="shared" si="65"/>
        <v>10659.54</v>
      </c>
      <c r="AK76" s="106">
        <f t="shared" si="66"/>
        <v>0.36</v>
      </c>
      <c r="AL76" s="132">
        <f t="shared" si="67"/>
        <v>10706.04</v>
      </c>
      <c r="AM76" s="198">
        <f t="shared" si="68"/>
        <v>5006.9877793800006</v>
      </c>
      <c r="AN76" s="95">
        <v>1861.23</v>
      </c>
      <c r="AO76" s="95">
        <v>7946.4</v>
      </c>
      <c r="AP76" s="95">
        <v>2427.6</v>
      </c>
      <c r="AQ76" s="95">
        <f t="shared" si="69"/>
        <v>12235.23</v>
      </c>
      <c r="AR76" s="183">
        <f t="shared" si="70"/>
        <v>9406.8651665100006</v>
      </c>
      <c r="AS76" s="95">
        <v>0</v>
      </c>
      <c r="AT76" s="95">
        <v>3826.2</v>
      </c>
      <c r="AU76" s="95">
        <v>0</v>
      </c>
      <c r="AV76" s="95">
        <f t="shared" si="51"/>
        <v>3826.2</v>
      </c>
      <c r="AW76" s="95">
        <v>0</v>
      </c>
      <c r="AX76" s="95">
        <v>3826.2</v>
      </c>
      <c r="AY76" s="95">
        <v>0</v>
      </c>
      <c r="AZ76" s="95">
        <f t="shared" si="52"/>
        <v>3826.2</v>
      </c>
      <c r="BA76" s="197">
        <f t="shared" si="53"/>
        <v>1755.8355275999998</v>
      </c>
      <c r="BB76" s="94">
        <f t="shared" si="71"/>
        <v>1861.23</v>
      </c>
      <c r="BC76" s="105">
        <f t="shared" si="30"/>
        <v>4646.2573145100005</v>
      </c>
      <c r="BD76" s="94">
        <f t="shared" si="72"/>
        <v>4120.2</v>
      </c>
      <c r="BE76" s="94">
        <f t="shared" si="31"/>
        <v>1890.7515395999999</v>
      </c>
      <c r="BF76" s="94">
        <f t="shared" si="73"/>
        <v>2427.6</v>
      </c>
      <c r="BG76" s="94">
        <f t="shared" si="32"/>
        <v>1114.0207848</v>
      </c>
      <c r="BH76" s="94">
        <f t="shared" si="74"/>
        <v>8409.0300000000007</v>
      </c>
      <c r="BI76" s="94">
        <f t="shared" si="75"/>
        <v>7651.0296389100004</v>
      </c>
      <c r="BJ76" s="186">
        <f t="shared" si="76"/>
        <v>14532.240000000002</v>
      </c>
      <c r="BK76" s="182">
        <f t="shared" si="77"/>
        <v>6762.8233069800008</v>
      </c>
      <c r="BL76" s="98">
        <f t="shared" si="78"/>
        <v>14532.240000000002</v>
      </c>
      <c r="BM76" s="99">
        <f t="shared" si="54"/>
        <v>0</v>
      </c>
      <c r="BN76" s="99">
        <f t="shared" si="55"/>
        <v>3826.2</v>
      </c>
      <c r="BO76" s="184">
        <v>2.496337</v>
      </c>
      <c r="BP76" s="184">
        <v>0.45889799999999997</v>
      </c>
      <c r="BQ76" s="182">
        <f t="shared" si="56"/>
        <v>0</v>
      </c>
      <c r="BR76" s="182">
        <f t="shared" si="57"/>
        <v>1755.8355275999998</v>
      </c>
      <c r="BS76" s="95"/>
      <c r="BT76" s="182"/>
      <c r="BU76" s="182"/>
      <c r="BV76" s="95"/>
      <c r="BW76" s="182"/>
      <c r="BX76" s="182"/>
      <c r="BY76" s="95"/>
      <c r="BZ76" s="182"/>
      <c r="CA76" s="95"/>
      <c r="CB76" s="95"/>
      <c r="CC76" s="182"/>
      <c r="CD76" s="95"/>
      <c r="CE76" s="95"/>
      <c r="CF76" s="182"/>
      <c r="CG76" s="95"/>
      <c r="CH76" s="95"/>
      <c r="CI76" s="182"/>
      <c r="CJ76" s="95"/>
      <c r="CK76" s="95"/>
      <c r="CL76" s="182"/>
      <c r="CM76" s="95"/>
      <c r="CN76" s="182">
        <f t="shared" si="58"/>
        <v>6762.8233069800008</v>
      </c>
      <c r="CO76" s="112">
        <f t="shared" si="60"/>
        <v>4.5474735088646412E-13</v>
      </c>
      <c r="CP76" s="182">
        <f t="shared" si="47"/>
        <v>0</v>
      </c>
      <c r="CQ76" s="95">
        <f t="shared" si="48"/>
        <v>26767.47</v>
      </c>
      <c r="CR76" s="115">
        <f t="shared" si="59"/>
        <v>0</v>
      </c>
      <c r="CS76" s="113"/>
      <c r="CT76" s="113"/>
      <c r="CU76" s="187"/>
      <c r="CV76" s="187"/>
      <c r="CW76" s="240"/>
    </row>
    <row r="77" spans="1:101" s="51" customFormat="1" ht="19.899999999999999" customHeight="1" x14ac:dyDescent="0.3">
      <c r="A77" s="148" t="s">
        <v>200</v>
      </c>
      <c r="B77" s="50">
        <v>12084724</v>
      </c>
      <c r="C77" s="148" t="s">
        <v>201</v>
      </c>
      <c r="D77" s="104" t="s">
        <v>171</v>
      </c>
      <c r="E77" s="104">
        <v>44834</v>
      </c>
      <c r="F77" s="105">
        <v>19509</v>
      </c>
      <c r="G77" s="188">
        <v>0.68799999999999994</v>
      </c>
      <c r="H77" s="118">
        <f t="shared" si="61"/>
        <v>13422.191999999999</v>
      </c>
      <c r="I77" s="93" t="s">
        <v>129</v>
      </c>
      <c r="J77" s="96" t="s">
        <v>202</v>
      </c>
      <c r="K77" s="49" t="s">
        <v>203</v>
      </c>
      <c r="L77" s="104"/>
      <c r="M77" s="108" t="s">
        <v>155</v>
      </c>
      <c r="N77" s="108" t="s">
        <v>156</v>
      </c>
      <c r="O77" s="193">
        <v>10926.16</v>
      </c>
      <c r="P77" s="193">
        <v>0</v>
      </c>
      <c r="Q77" s="193">
        <v>4835.2700000000004</v>
      </c>
      <c r="R77" s="109"/>
      <c r="S77" s="193">
        <v>1.52</v>
      </c>
      <c r="T77" s="193">
        <v>0</v>
      </c>
      <c r="U77" s="193">
        <v>20.8</v>
      </c>
      <c r="V77" s="193">
        <v>0</v>
      </c>
      <c r="W77" s="193">
        <v>0</v>
      </c>
      <c r="X77" s="193"/>
      <c r="Y77" s="193"/>
      <c r="Z77" s="193"/>
      <c r="AA77" s="193"/>
      <c r="AB77" s="194">
        <v>2.5470839999999999</v>
      </c>
      <c r="AC77" s="194">
        <v>0.468225</v>
      </c>
      <c r="AD77" s="106">
        <v>24.06</v>
      </c>
      <c r="AE77" s="118">
        <v>14311.04</v>
      </c>
      <c r="AF77" s="106">
        <v>0</v>
      </c>
      <c r="AG77" s="106">
        <f t="shared" si="62"/>
        <v>14335.1</v>
      </c>
      <c r="AH77" s="106">
        <f t="shared" si="63"/>
        <v>6762.0695450399999</v>
      </c>
      <c r="AI77" s="106">
        <f t="shared" si="64"/>
        <v>24.06</v>
      </c>
      <c r="AJ77" s="106">
        <f t="shared" si="65"/>
        <v>10048.040000000001</v>
      </c>
      <c r="AK77" s="106">
        <f t="shared" si="66"/>
        <v>0</v>
      </c>
      <c r="AL77" s="132">
        <f t="shared" si="67"/>
        <v>10072.1</v>
      </c>
      <c r="AM77" s="198">
        <f t="shared" si="68"/>
        <v>4766.0263700400001</v>
      </c>
      <c r="AN77" s="95">
        <v>1580.37</v>
      </c>
      <c r="AO77" s="95">
        <v>6438.6</v>
      </c>
      <c r="AP77" s="95">
        <v>2188.1999999999998</v>
      </c>
      <c r="AQ77" s="95">
        <f t="shared" si="69"/>
        <v>10207.17</v>
      </c>
      <c r="AR77" s="183">
        <f t="shared" si="70"/>
        <v>8064.6185710799991</v>
      </c>
      <c r="AS77" s="95">
        <v>0</v>
      </c>
      <c r="AT77" s="95">
        <v>4263</v>
      </c>
      <c r="AU77" s="95">
        <v>0</v>
      </c>
      <c r="AV77" s="95">
        <f t="shared" si="51"/>
        <v>4263</v>
      </c>
      <c r="AW77" s="95">
        <v>0</v>
      </c>
      <c r="AX77" s="95">
        <v>4263</v>
      </c>
      <c r="AY77" s="95">
        <v>0</v>
      </c>
      <c r="AZ77" s="95">
        <f t="shared" si="52"/>
        <v>4263</v>
      </c>
      <c r="BA77" s="197">
        <f t="shared" si="53"/>
        <v>1996.043175</v>
      </c>
      <c r="BB77" s="94">
        <f t="shared" si="71"/>
        <v>1580.37</v>
      </c>
      <c r="BC77" s="105">
        <f t="shared" si="30"/>
        <v>4025.3351410799996</v>
      </c>
      <c r="BD77" s="94">
        <f t="shared" si="72"/>
        <v>2175.6000000000004</v>
      </c>
      <c r="BE77" s="94">
        <f t="shared" si="31"/>
        <v>1018.6703100000002</v>
      </c>
      <c r="BF77" s="94">
        <f t="shared" si="73"/>
        <v>2188.1999999999998</v>
      </c>
      <c r="BG77" s="94">
        <f t="shared" si="32"/>
        <v>1024.569945</v>
      </c>
      <c r="BH77" s="94">
        <f t="shared" si="74"/>
        <v>5944.17</v>
      </c>
      <c r="BI77" s="94">
        <f t="shared" si="75"/>
        <v>6068.5753960800002</v>
      </c>
      <c r="BJ77" s="186">
        <f t="shared" si="76"/>
        <v>14335.1</v>
      </c>
      <c r="BK77" s="182">
        <f t="shared" si="77"/>
        <v>6762.0695450399999</v>
      </c>
      <c r="BL77" s="98">
        <f t="shared" si="78"/>
        <v>14335.1</v>
      </c>
      <c r="BM77" s="99">
        <f t="shared" si="54"/>
        <v>0</v>
      </c>
      <c r="BN77" s="99">
        <f t="shared" si="55"/>
        <v>4263</v>
      </c>
      <c r="BO77" s="194">
        <v>2.5470839999999999</v>
      </c>
      <c r="BP77" s="194">
        <v>0.468225</v>
      </c>
      <c r="BQ77" s="182">
        <f t="shared" si="56"/>
        <v>0</v>
      </c>
      <c r="BR77" s="182">
        <f t="shared" si="57"/>
        <v>1996.043175</v>
      </c>
      <c r="BS77" s="95"/>
      <c r="BT77" s="182"/>
      <c r="BU77" s="182"/>
      <c r="BV77" s="95"/>
      <c r="BW77" s="182"/>
      <c r="BX77" s="182"/>
      <c r="BY77" s="118"/>
      <c r="BZ77" s="188"/>
      <c r="CA77" s="118"/>
      <c r="CB77" s="118"/>
      <c r="CC77" s="188"/>
      <c r="CD77" s="95"/>
      <c r="CE77" s="95"/>
      <c r="CF77" s="182"/>
      <c r="CG77" s="95"/>
      <c r="CH77" s="95"/>
      <c r="CI77" s="182"/>
      <c r="CJ77" s="95"/>
      <c r="CK77" s="95"/>
      <c r="CL77" s="182"/>
      <c r="CM77" s="95"/>
      <c r="CN77" s="182">
        <f t="shared" si="58"/>
        <v>6762.0695450399999</v>
      </c>
      <c r="CO77" s="112">
        <f t="shared" si="60"/>
        <v>4.5474735088646412E-13</v>
      </c>
      <c r="CP77" s="182">
        <f t="shared" si="47"/>
        <v>0</v>
      </c>
      <c r="CQ77" s="95">
        <f t="shared" si="48"/>
        <v>24542.27</v>
      </c>
      <c r="CR77" s="115">
        <f t="shared" si="59"/>
        <v>0</v>
      </c>
      <c r="CS77" s="113"/>
      <c r="CT77" s="113"/>
      <c r="CU77" s="187"/>
      <c r="CV77" s="187"/>
      <c r="CW77" s="240"/>
    </row>
    <row r="78" spans="1:101" s="51" customFormat="1" ht="19.899999999999999" customHeight="1" x14ac:dyDescent="0.3">
      <c r="A78" s="92" t="s">
        <v>200</v>
      </c>
      <c r="B78" s="49">
        <v>10011741021</v>
      </c>
      <c r="C78" s="92" t="s">
        <v>206</v>
      </c>
      <c r="D78" s="93" t="s">
        <v>171</v>
      </c>
      <c r="E78" s="93" t="s">
        <v>207</v>
      </c>
      <c r="F78" s="94">
        <v>3801.5</v>
      </c>
      <c r="G78" s="182">
        <v>0.96</v>
      </c>
      <c r="H78" s="95">
        <f t="shared" si="61"/>
        <v>3649.44</v>
      </c>
      <c r="I78" s="93"/>
      <c r="J78" s="96" t="s">
        <v>208</v>
      </c>
      <c r="K78" s="49" t="s">
        <v>209</v>
      </c>
      <c r="L78" s="93"/>
      <c r="M78" s="97" t="s">
        <v>129</v>
      </c>
      <c r="N78" s="97" t="s">
        <v>210</v>
      </c>
      <c r="O78" s="183">
        <v>2451.23</v>
      </c>
      <c r="P78" s="183">
        <v>0</v>
      </c>
      <c r="Q78" s="183">
        <v>0</v>
      </c>
      <c r="R78" s="131"/>
      <c r="S78" s="183">
        <v>0</v>
      </c>
      <c r="T78" s="183">
        <v>0</v>
      </c>
      <c r="U78" s="183">
        <v>13.62</v>
      </c>
      <c r="V78" s="183">
        <v>0</v>
      </c>
      <c r="W78" s="183">
        <v>0</v>
      </c>
      <c r="X78" s="183"/>
      <c r="Y78" s="183"/>
      <c r="Z78" s="183"/>
      <c r="AA78" s="183"/>
      <c r="AB78" s="184">
        <v>0.86012999999999995</v>
      </c>
      <c r="AC78" s="184">
        <v>0.86012999999999995</v>
      </c>
      <c r="AD78" s="95">
        <v>0</v>
      </c>
      <c r="AE78" s="95">
        <v>1508.3</v>
      </c>
      <c r="AF78" s="95">
        <v>0</v>
      </c>
      <c r="AG78" s="95">
        <f t="shared" si="62"/>
        <v>1508.3</v>
      </c>
      <c r="AH78" s="95">
        <f t="shared" si="63"/>
        <v>1297.334079</v>
      </c>
      <c r="AI78" s="95">
        <f t="shared" si="64"/>
        <v>0</v>
      </c>
      <c r="AJ78" s="95">
        <f t="shared" si="65"/>
        <v>773.3</v>
      </c>
      <c r="AK78" s="95">
        <f t="shared" si="66"/>
        <v>0</v>
      </c>
      <c r="AL78" s="133">
        <f t="shared" si="67"/>
        <v>773.3</v>
      </c>
      <c r="AM78" s="199">
        <f t="shared" si="68"/>
        <v>665.13852899999995</v>
      </c>
      <c r="AN78" s="106">
        <v>0</v>
      </c>
      <c r="AO78" s="106">
        <v>3569</v>
      </c>
      <c r="AP78" s="106">
        <v>0</v>
      </c>
      <c r="AQ78" s="106">
        <f t="shared" si="69"/>
        <v>3569</v>
      </c>
      <c r="AR78" s="193">
        <f t="shared" si="70"/>
        <v>3069.8039699999999</v>
      </c>
      <c r="AS78" s="106">
        <v>0</v>
      </c>
      <c r="AT78" s="106">
        <v>735</v>
      </c>
      <c r="AU78" s="106">
        <v>0</v>
      </c>
      <c r="AV78" s="106">
        <f t="shared" si="51"/>
        <v>735</v>
      </c>
      <c r="AW78" s="106">
        <v>0</v>
      </c>
      <c r="AX78" s="106">
        <v>735</v>
      </c>
      <c r="AY78" s="106">
        <v>0</v>
      </c>
      <c r="AZ78" s="106">
        <f t="shared" si="52"/>
        <v>735</v>
      </c>
      <c r="BA78" s="197">
        <f t="shared" si="53"/>
        <v>632.19554999999991</v>
      </c>
      <c r="BB78" s="105">
        <f t="shared" si="71"/>
        <v>0</v>
      </c>
      <c r="BC78" s="105">
        <f t="shared" ref="BC78:BC141" si="79">BB78*AB78</f>
        <v>0</v>
      </c>
      <c r="BD78" s="105">
        <f t="shared" si="72"/>
        <v>2834</v>
      </c>
      <c r="BE78" s="105">
        <f t="shared" ref="BE78:BE141" si="80">BD78*AC78</f>
        <v>2437.60842</v>
      </c>
      <c r="BF78" s="105">
        <f t="shared" si="73"/>
        <v>0</v>
      </c>
      <c r="BG78" s="105">
        <f t="shared" ref="BG78:BG141" si="81">BF78*AC78</f>
        <v>0</v>
      </c>
      <c r="BH78" s="105">
        <f t="shared" si="74"/>
        <v>2834</v>
      </c>
      <c r="BI78" s="105">
        <f t="shared" si="75"/>
        <v>2437.60842</v>
      </c>
      <c r="BJ78" s="186">
        <f t="shared" si="76"/>
        <v>1508.3</v>
      </c>
      <c r="BK78" s="182">
        <f t="shared" si="77"/>
        <v>1297.334079</v>
      </c>
      <c r="BL78" s="98">
        <f t="shared" si="78"/>
        <v>1508.3</v>
      </c>
      <c r="BM78" s="99">
        <f t="shared" si="54"/>
        <v>0</v>
      </c>
      <c r="BN78" s="99">
        <f t="shared" si="55"/>
        <v>735</v>
      </c>
      <c r="BO78" s="196"/>
      <c r="BP78" s="203">
        <v>0.86012999999999995</v>
      </c>
      <c r="BQ78" s="121"/>
      <c r="BR78" s="196">
        <f t="shared" ref="BR78:BR124" si="82">BN78*BP78</f>
        <v>632.19554999999991</v>
      </c>
      <c r="BS78" s="95">
        <v>0</v>
      </c>
      <c r="BT78" s="242">
        <v>0.67098999999999998</v>
      </c>
      <c r="BU78" s="196">
        <f t="shared" ref="BU78:BU109" si="83">BS78*BT78</f>
        <v>0</v>
      </c>
      <c r="BV78" s="106"/>
      <c r="BW78" s="196"/>
      <c r="BX78" s="196"/>
      <c r="BY78" s="95"/>
      <c r="BZ78" s="182"/>
      <c r="CA78" s="95"/>
      <c r="CB78" s="95"/>
      <c r="CC78" s="182"/>
      <c r="CD78" s="106"/>
      <c r="CE78" s="106"/>
      <c r="CF78" s="196"/>
      <c r="CG78" s="106"/>
      <c r="CH78" s="106"/>
      <c r="CI78" s="196"/>
      <c r="CJ78" s="106"/>
      <c r="CK78" s="106"/>
      <c r="CL78" s="196"/>
      <c r="CM78" s="106"/>
      <c r="CN78" s="182">
        <f t="shared" si="58"/>
        <v>1297.334079</v>
      </c>
      <c r="CO78" s="112">
        <v>0</v>
      </c>
      <c r="CP78" s="182">
        <f t="shared" ref="CP78:CP109" si="84">CR78*G78</f>
        <v>0</v>
      </c>
      <c r="CQ78" s="95">
        <f t="shared" ref="CQ78:CQ109" si="85">AL78+AZ78+AQ78</f>
        <v>5077.3</v>
      </c>
      <c r="CR78" s="115">
        <f t="shared" si="59"/>
        <v>0</v>
      </c>
      <c r="CS78" s="113"/>
      <c r="CT78" s="113"/>
      <c r="CU78" s="187"/>
      <c r="CV78" s="187"/>
      <c r="CW78" s="240"/>
    </row>
    <row r="79" spans="1:101" s="51" customFormat="1" ht="19.899999999999999" customHeight="1" x14ac:dyDescent="0.3">
      <c r="A79" s="148" t="s">
        <v>200</v>
      </c>
      <c r="B79" s="50">
        <v>10011741021</v>
      </c>
      <c r="C79" s="148" t="s">
        <v>206</v>
      </c>
      <c r="D79" s="104" t="s">
        <v>171</v>
      </c>
      <c r="E79" s="104" t="s">
        <v>207</v>
      </c>
      <c r="F79" s="105">
        <v>3801.5</v>
      </c>
      <c r="G79" s="188">
        <v>0.96</v>
      </c>
      <c r="H79" s="118">
        <f t="shared" si="61"/>
        <v>3649.44</v>
      </c>
      <c r="I79" s="104"/>
      <c r="J79" s="107" t="s">
        <v>208</v>
      </c>
      <c r="K79" s="50" t="s">
        <v>209</v>
      </c>
      <c r="L79" s="104"/>
      <c r="M79" s="108" t="s">
        <v>159</v>
      </c>
      <c r="N79" s="108" t="s">
        <v>211</v>
      </c>
      <c r="O79" s="193">
        <v>97.3</v>
      </c>
      <c r="P79" s="193">
        <v>0</v>
      </c>
      <c r="Q79" s="193">
        <v>0</v>
      </c>
      <c r="R79" s="109"/>
      <c r="S79" s="193">
        <v>0</v>
      </c>
      <c r="T79" s="193">
        <v>0</v>
      </c>
      <c r="U79" s="193">
        <v>14.02</v>
      </c>
      <c r="V79" s="193">
        <v>0</v>
      </c>
      <c r="W79" s="193">
        <v>0</v>
      </c>
      <c r="X79" s="193"/>
      <c r="Y79" s="193"/>
      <c r="Z79" s="193"/>
      <c r="AA79" s="193"/>
      <c r="AB79" s="194">
        <v>0.83287</v>
      </c>
      <c r="AC79" s="194">
        <v>0.83287</v>
      </c>
      <c r="AD79" s="106">
        <v>0</v>
      </c>
      <c r="AE79" s="118">
        <v>3125.8</v>
      </c>
      <c r="AF79" s="106">
        <v>0</v>
      </c>
      <c r="AG79" s="106">
        <f t="shared" si="62"/>
        <v>3125.8</v>
      </c>
      <c r="AH79" s="106">
        <f t="shared" si="63"/>
        <v>2603.3850460000003</v>
      </c>
      <c r="AI79" s="106">
        <f t="shared" si="64"/>
        <v>0</v>
      </c>
      <c r="AJ79" s="106">
        <f t="shared" si="65"/>
        <v>1428.8000000000002</v>
      </c>
      <c r="AK79" s="106">
        <f t="shared" si="66"/>
        <v>0</v>
      </c>
      <c r="AL79" s="132">
        <f t="shared" si="67"/>
        <v>1428.8000000000002</v>
      </c>
      <c r="AM79" s="198">
        <f t="shared" si="68"/>
        <v>1190.0046560000001</v>
      </c>
      <c r="AN79" s="95">
        <v>0</v>
      </c>
      <c r="AO79" s="95">
        <v>1508</v>
      </c>
      <c r="AP79" s="95">
        <v>0</v>
      </c>
      <c r="AQ79" s="95">
        <f t="shared" si="69"/>
        <v>1508</v>
      </c>
      <c r="AR79" s="183">
        <f t="shared" si="70"/>
        <v>1255.9679599999999</v>
      </c>
      <c r="AS79" s="95">
        <v>0</v>
      </c>
      <c r="AT79" s="95">
        <v>1697</v>
      </c>
      <c r="AU79" s="95">
        <v>0</v>
      </c>
      <c r="AV79" s="95">
        <f t="shared" si="51"/>
        <v>1697</v>
      </c>
      <c r="AW79" s="95">
        <v>0</v>
      </c>
      <c r="AX79" s="95">
        <v>1408</v>
      </c>
      <c r="AY79" s="95">
        <v>0</v>
      </c>
      <c r="AZ79" s="95">
        <f t="shared" si="52"/>
        <v>1408</v>
      </c>
      <c r="BA79" s="197">
        <f t="shared" si="53"/>
        <v>1172.6809599999999</v>
      </c>
      <c r="BB79" s="94">
        <f t="shared" si="71"/>
        <v>0</v>
      </c>
      <c r="BC79" s="105">
        <f t="shared" si="79"/>
        <v>0</v>
      </c>
      <c r="BD79" s="94">
        <f t="shared" si="72"/>
        <v>100</v>
      </c>
      <c r="BE79" s="94">
        <f t="shared" si="80"/>
        <v>83.287000000000006</v>
      </c>
      <c r="BF79" s="94">
        <f t="shared" si="73"/>
        <v>0</v>
      </c>
      <c r="BG79" s="94">
        <f t="shared" si="81"/>
        <v>0</v>
      </c>
      <c r="BH79" s="94">
        <f t="shared" si="74"/>
        <v>100</v>
      </c>
      <c r="BI79" s="94">
        <f t="shared" si="75"/>
        <v>83.287000000000006</v>
      </c>
      <c r="BJ79" s="186">
        <f t="shared" si="76"/>
        <v>2836.8</v>
      </c>
      <c r="BK79" s="182">
        <f t="shared" si="77"/>
        <v>2362.6856160000002</v>
      </c>
      <c r="BL79" s="98">
        <f t="shared" si="78"/>
        <v>2836.8</v>
      </c>
      <c r="BM79" s="99">
        <f t="shared" si="54"/>
        <v>0</v>
      </c>
      <c r="BN79" s="99">
        <f t="shared" si="55"/>
        <v>1408</v>
      </c>
      <c r="BO79" s="182"/>
      <c r="BP79" s="204">
        <v>0.83287</v>
      </c>
      <c r="BQ79" s="121"/>
      <c r="BR79" s="196">
        <f t="shared" si="82"/>
        <v>1172.6809599999999</v>
      </c>
      <c r="BS79" s="106">
        <v>0</v>
      </c>
      <c r="BT79" s="243">
        <v>0.67098999999999998</v>
      </c>
      <c r="BU79" s="196">
        <f t="shared" si="83"/>
        <v>0</v>
      </c>
      <c r="BV79" s="95"/>
      <c r="BW79" s="182"/>
      <c r="BX79" s="182"/>
      <c r="BY79" s="118"/>
      <c r="BZ79" s="188"/>
      <c r="CA79" s="118"/>
      <c r="CB79" s="118"/>
      <c r="CC79" s="188"/>
      <c r="CD79" s="95"/>
      <c r="CE79" s="95"/>
      <c r="CF79" s="182"/>
      <c r="CG79" s="95"/>
      <c r="CH79" s="95"/>
      <c r="CI79" s="182"/>
      <c r="CJ79" s="95"/>
      <c r="CK79" s="95"/>
      <c r="CL79" s="182"/>
      <c r="CM79" s="95"/>
      <c r="CN79" s="182">
        <f t="shared" si="58"/>
        <v>2362.6856160000002</v>
      </c>
      <c r="CO79" s="112">
        <f>AV79-AZ79</f>
        <v>289</v>
      </c>
      <c r="CP79" s="182">
        <f t="shared" si="84"/>
        <v>277.44</v>
      </c>
      <c r="CQ79" s="95">
        <f t="shared" si="85"/>
        <v>4344.8</v>
      </c>
      <c r="CR79" s="115">
        <f t="shared" si="59"/>
        <v>289</v>
      </c>
      <c r="CS79" s="113"/>
      <c r="CT79" s="113"/>
      <c r="CU79" s="187"/>
      <c r="CV79" s="187"/>
      <c r="CW79" s="240"/>
    </row>
    <row r="80" spans="1:101" s="51" customFormat="1" ht="19.899999999999999" customHeight="1" x14ac:dyDescent="0.3">
      <c r="A80" s="92" t="s">
        <v>200</v>
      </c>
      <c r="B80" s="49">
        <v>10011741021</v>
      </c>
      <c r="C80" s="92" t="s">
        <v>206</v>
      </c>
      <c r="D80" s="93" t="s">
        <v>171</v>
      </c>
      <c r="E80" s="93" t="s">
        <v>207</v>
      </c>
      <c r="F80" s="94">
        <v>3801.5</v>
      </c>
      <c r="G80" s="182">
        <v>0.96</v>
      </c>
      <c r="H80" s="95">
        <f t="shared" si="61"/>
        <v>3649.44</v>
      </c>
      <c r="I80" s="93"/>
      <c r="J80" s="96" t="s">
        <v>208</v>
      </c>
      <c r="K80" s="49" t="s">
        <v>209</v>
      </c>
      <c r="L80" s="93"/>
      <c r="M80" s="97" t="s">
        <v>163</v>
      </c>
      <c r="N80" s="97" t="s">
        <v>212</v>
      </c>
      <c r="O80" s="183">
        <v>94.95</v>
      </c>
      <c r="P80" s="183">
        <v>0</v>
      </c>
      <c r="Q80" s="183">
        <v>0</v>
      </c>
      <c r="R80" s="131"/>
      <c r="S80" s="183">
        <v>0</v>
      </c>
      <c r="T80" s="183">
        <v>0</v>
      </c>
      <c r="U80" s="183">
        <v>11.73</v>
      </c>
      <c r="V80" s="183">
        <v>0</v>
      </c>
      <c r="W80" s="183">
        <v>0</v>
      </c>
      <c r="X80" s="183"/>
      <c r="Y80" s="183"/>
      <c r="Z80" s="183"/>
      <c r="AA80" s="183"/>
      <c r="AB80" s="184">
        <v>0.83218999999999999</v>
      </c>
      <c r="AC80" s="184">
        <v>0.83218999999999999</v>
      </c>
      <c r="AD80" s="95">
        <v>0</v>
      </c>
      <c r="AE80" s="95">
        <v>3348.6</v>
      </c>
      <c r="AF80" s="95">
        <v>0</v>
      </c>
      <c r="AG80" s="95">
        <f t="shared" si="62"/>
        <v>3348.6</v>
      </c>
      <c r="AH80" s="95">
        <f t="shared" si="63"/>
        <v>2786.6714339999999</v>
      </c>
      <c r="AI80" s="95">
        <f t="shared" si="64"/>
        <v>0</v>
      </c>
      <c r="AJ80" s="95">
        <f t="shared" si="65"/>
        <v>1421.6</v>
      </c>
      <c r="AK80" s="95">
        <f t="shared" si="66"/>
        <v>0</v>
      </c>
      <c r="AL80" s="133">
        <f t="shared" si="67"/>
        <v>1421.6</v>
      </c>
      <c r="AM80" s="199">
        <f t="shared" si="68"/>
        <v>1183.0413039999999</v>
      </c>
      <c r="AN80" s="106">
        <v>0</v>
      </c>
      <c r="AO80" s="106">
        <v>1424</v>
      </c>
      <c r="AP80" s="106">
        <v>0</v>
      </c>
      <c r="AQ80" s="106">
        <f t="shared" si="69"/>
        <v>1424</v>
      </c>
      <c r="AR80" s="193">
        <f t="shared" si="70"/>
        <v>1185.03856</v>
      </c>
      <c r="AS80" s="106">
        <v>0</v>
      </c>
      <c r="AT80" s="106">
        <v>1927</v>
      </c>
      <c r="AU80" s="106">
        <v>0</v>
      </c>
      <c r="AV80" s="106">
        <f t="shared" si="51"/>
        <v>1927</v>
      </c>
      <c r="AW80" s="106">
        <v>0</v>
      </c>
      <c r="AX80" s="106">
        <v>1324</v>
      </c>
      <c r="AY80" s="106">
        <v>0</v>
      </c>
      <c r="AZ80" s="106">
        <f t="shared" si="52"/>
        <v>1324</v>
      </c>
      <c r="BA80" s="197">
        <f t="shared" si="53"/>
        <v>1101.8195599999999</v>
      </c>
      <c r="BB80" s="105">
        <f t="shared" si="71"/>
        <v>0</v>
      </c>
      <c r="BC80" s="105">
        <f t="shared" si="79"/>
        <v>0</v>
      </c>
      <c r="BD80" s="105">
        <f t="shared" si="72"/>
        <v>100</v>
      </c>
      <c r="BE80" s="105">
        <f t="shared" si="80"/>
        <v>83.218999999999994</v>
      </c>
      <c r="BF80" s="105">
        <f t="shared" si="73"/>
        <v>0</v>
      </c>
      <c r="BG80" s="105">
        <f t="shared" si="81"/>
        <v>0</v>
      </c>
      <c r="BH80" s="105">
        <f t="shared" si="74"/>
        <v>100</v>
      </c>
      <c r="BI80" s="105">
        <f t="shared" si="75"/>
        <v>83.218999999999994</v>
      </c>
      <c r="BJ80" s="186">
        <f t="shared" si="76"/>
        <v>2745.6</v>
      </c>
      <c r="BK80" s="182">
        <f t="shared" si="77"/>
        <v>2284.8608639999998</v>
      </c>
      <c r="BL80" s="98">
        <f t="shared" si="78"/>
        <v>2745.6</v>
      </c>
      <c r="BM80" s="99">
        <f t="shared" si="54"/>
        <v>0</v>
      </c>
      <c r="BN80" s="99">
        <f t="shared" si="55"/>
        <v>1324</v>
      </c>
      <c r="BO80" s="196"/>
      <c r="BP80" s="203">
        <v>0.83218999999999999</v>
      </c>
      <c r="BQ80" s="121"/>
      <c r="BR80" s="196">
        <f t="shared" si="82"/>
        <v>1101.8195599999999</v>
      </c>
      <c r="BS80" s="95">
        <v>0</v>
      </c>
      <c r="BT80" s="242">
        <v>0.67098999999999998</v>
      </c>
      <c r="BU80" s="196">
        <f t="shared" si="83"/>
        <v>0</v>
      </c>
      <c r="BV80" s="106"/>
      <c r="BW80" s="196"/>
      <c r="BX80" s="196"/>
      <c r="BY80" s="95"/>
      <c r="BZ80" s="182"/>
      <c r="CA80" s="95"/>
      <c r="CB80" s="95"/>
      <c r="CC80" s="182"/>
      <c r="CD80" s="106"/>
      <c r="CE80" s="106"/>
      <c r="CF80" s="196"/>
      <c r="CG80" s="106"/>
      <c r="CH80" s="106"/>
      <c r="CI80" s="196"/>
      <c r="CJ80" s="106"/>
      <c r="CK80" s="106"/>
      <c r="CL80" s="196"/>
      <c r="CM80" s="106"/>
      <c r="CN80" s="182">
        <f t="shared" si="58"/>
        <v>2284.8608639999998</v>
      </c>
      <c r="CO80" s="112">
        <f t="shared" ref="CO80:CO92" si="86">(AV80-(AZ80+BV80+BY80+CB80+CE80+CH80+CK80+BS80)+CO79)</f>
        <v>892</v>
      </c>
      <c r="CP80" s="182">
        <f t="shared" si="84"/>
        <v>578.88</v>
      </c>
      <c r="CQ80" s="95">
        <f t="shared" si="85"/>
        <v>4169.6000000000004</v>
      </c>
      <c r="CR80" s="115">
        <f t="shared" si="59"/>
        <v>603</v>
      </c>
      <c r="CS80" s="113"/>
      <c r="CT80" s="113"/>
      <c r="CU80" s="187"/>
      <c r="CV80" s="187"/>
      <c r="CW80" s="240"/>
    </row>
    <row r="81" spans="1:101" s="51" customFormat="1" ht="19.899999999999999" customHeight="1" x14ac:dyDescent="0.3">
      <c r="A81" s="148" t="s">
        <v>200</v>
      </c>
      <c r="B81" s="50">
        <v>10011741021</v>
      </c>
      <c r="C81" s="148" t="s">
        <v>206</v>
      </c>
      <c r="D81" s="104" t="s">
        <v>171</v>
      </c>
      <c r="E81" s="104" t="s">
        <v>207</v>
      </c>
      <c r="F81" s="105">
        <v>3801.5</v>
      </c>
      <c r="G81" s="188">
        <v>0.96</v>
      </c>
      <c r="H81" s="118">
        <f t="shared" si="61"/>
        <v>3649.44</v>
      </c>
      <c r="I81" s="104"/>
      <c r="J81" s="107" t="s">
        <v>208</v>
      </c>
      <c r="K81" s="50" t="s">
        <v>209</v>
      </c>
      <c r="L81" s="104"/>
      <c r="M81" s="108" t="s">
        <v>165</v>
      </c>
      <c r="N81" s="108" t="s">
        <v>213</v>
      </c>
      <c r="O81" s="193">
        <v>97.62</v>
      </c>
      <c r="P81" s="193">
        <v>0</v>
      </c>
      <c r="Q81" s="193">
        <v>0</v>
      </c>
      <c r="R81" s="109"/>
      <c r="S81" s="193">
        <v>0</v>
      </c>
      <c r="T81" s="193">
        <v>1.66</v>
      </c>
      <c r="U81" s="193">
        <v>9.3699999999999992</v>
      </c>
      <c r="V81" s="193">
        <v>0</v>
      </c>
      <c r="W81" s="193">
        <v>0</v>
      </c>
      <c r="X81" s="193"/>
      <c r="Y81" s="193"/>
      <c r="Z81" s="193"/>
      <c r="AA81" s="193"/>
      <c r="AB81" s="194">
        <v>0.86587000000000003</v>
      </c>
      <c r="AC81" s="194">
        <v>0.86587000000000003</v>
      </c>
      <c r="AD81" s="106">
        <v>0</v>
      </c>
      <c r="AE81" s="118">
        <v>3362.5</v>
      </c>
      <c r="AF81" s="106">
        <v>0</v>
      </c>
      <c r="AG81" s="106">
        <f t="shared" si="62"/>
        <v>3362.5</v>
      </c>
      <c r="AH81" s="106">
        <f t="shared" si="63"/>
        <v>2911.4878750000003</v>
      </c>
      <c r="AI81" s="106">
        <f t="shared" si="64"/>
        <v>0</v>
      </c>
      <c r="AJ81" s="106">
        <f t="shared" si="65"/>
        <v>1458.5</v>
      </c>
      <c r="AK81" s="106">
        <f t="shared" si="66"/>
        <v>0</v>
      </c>
      <c r="AL81" s="132">
        <f t="shared" si="67"/>
        <v>1458.5</v>
      </c>
      <c r="AM81" s="198">
        <f t="shared" si="68"/>
        <v>1262.8713950000001</v>
      </c>
      <c r="AN81" s="95">
        <v>0</v>
      </c>
      <c r="AO81" s="95">
        <v>1527</v>
      </c>
      <c r="AP81" s="95">
        <v>0</v>
      </c>
      <c r="AQ81" s="95">
        <f t="shared" si="69"/>
        <v>1527</v>
      </c>
      <c r="AR81" s="183">
        <f t="shared" si="70"/>
        <v>1322.1834900000001</v>
      </c>
      <c r="AS81" s="95">
        <v>0</v>
      </c>
      <c r="AT81" s="95">
        <v>1904</v>
      </c>
      <c r="AU81" s="95">
        <v>0</v>
      </c>
      <c r="AV81" s="95">
        <f t="shared" si="51"/>
        <v>1904</v>
      </c>
      <c r="AW81" s="95">
        <v>0</v>
      </c>
      <c r="AX81" s="95">
        <v>1427</v>
      </c>
      <c r="AY81" s="95">
        <v>0</v>
      </c>
      <c r="AZ81" s="95">
        <f t="shared" si="52"/>
        <v>1427</v>
      </c>
      <c r="BA81" s="197">
        <f t="shared" si="53"/>
        <v>1235.5964900000001</v>
      </c>
      <c r="BB81" s="94">
        <f t="shared" si="71"/>
        <v>0</v>
      </c>
      <c r="BC81" s="105">
        <f t="shared" si="79"/>
        <v>0</v>
      </c>
      <c r="BD81" s="94">
        <f t="shared" si="72"/>
        <v>100</v>
      </c>
      <c r="BE81" s="94">
        <f t="shared" si="80"/>
        <v>86.587000000000003</v>
      </c>
      <c r="BF81" s="94">
        <f t="shared" si="73"/>
        <v>0</v>
      </c>
      <c r="BG81" s="94">
        <f t="shared" si="81"/>
        <v>0</v>
      </c>
      <c r="BH81" s="94">
        <f t="shared" si="74"/>
        <v>100</v>
      </c>
      <c r="BI81" s="94">
        <f t="shared" si="75"/>
        <v>86.587000000000003</v>
      </c>
      <c r="BJ81" s="186">
        <f t="shared" si="76"/>
        <v>2967.5</v>
      </c>
      <c r="BK81" s="182">
        <f t="shared" si="77"/>
        <v>2498.467885</v>
      </c>
      <c r="BL81" s="98">
        <f t="shared" si="78"/>
        <v>2885.5</v>
      </c>
      <c r="BM81" s="99">
        <f t="shared" si="54"/>
        <v>0</v>
      </c>
      <c r="BN81" s="99">
        <f t="shared" si="55"/>
        <v>1427</v>
      </c>
      <c r="BO81" s="182"/>
      <c r="BP81" s="204">
        <v>0.86587000000000003</v>
      </c>
      <c r="BQ81" s="121"/>
      <c r="BR81" s="196">
        <f t="shared" si="82"/>
        <v>1235.5964900000001</v>
      </c>
      <c r="BS81" s="106">
        <v>82</v>
      </c>
      <c r="BT81" s="243">
        <v>0.67098999999999998</v>
      </c>
      <c r="BU81" s="196">
        <f t="shared" si="83"/>
        <v>55.021180000000001</v>
      </c>
      <c r="BV81" s="95"/>
      <c r="BW81" s="182"/>
      <c r="BX81" s="182"/>
      <c r="BY81" s="118"/>
      <c r="BZ81" s="188"/>
      <c r="CA81" s="118"/>
      <c r="CB81" s="118"/>
      <c r="CC81" s="188"/>
      <c r="CD81" s="95"/>
      <c r="CE81" s="95"/>
      <c r="CF81" s="182"/>
      <c r="CG81" s="95"/>
      <c r="CH81" s="95"/>
      <c r="CI81" s="182"/>
      <c r="CJ81" s="95"/>
      <c r="CK81" s="95"/>
      <c r="CL81" s="182"/>
      <c r="CM81" s="95"/>
      <c r="CN81" s="182">
        <f t="shared" si="58"/>
        <v>2553.4890650000002</v>
      </c>
      <c r="CO81" s="112">
        <f t="shared" si="86"/>
        <v>1287</v>
      </c>
      <c r="CP81" s="182">
        <f t="shared" si="84"/>
        <v>379.2</v>
      </c>
      <c r="CQ81" s="95">
        <f t="shared" si="85"/>
        <v>4412.5</v>
      </c>
      <c r="CR81" s="115">
        <f t="shared" si="59"/>
        <v>395</v>
      </c>
      <c r="CS81" s="113"/>
      <c r="CT81" s="113"/>
      <c r="CU81" s="187"/>
      <c r="CV81" s="187"/>
      <c r="CW81" s="240"/>
    </row>
    <row r="82" spans="1:101" s="51" customFormat="1" ht="19.899999999999999" customHeight="1" x14ac:dyDescent="0.3">
      <c r="A82" s="92" t="s">
        <v>200</v>
      </c>
      <c r="B82" s="49">
        <v>10011741021</v>
      </c>
      <c r="C82" s="92" t="s">
        <v>206</v>
      </c>
      <c r="D82" s="93" t="s">
        <v>171</v>
      </c>
      <c r="E82" s="93" t="s">
        <v>207</v>
      </c>
      <c r="F82" s="94">
        <v>3801.5</v>
      </c>
      <c r="G82" s="182">
        <v>0.96</v>
      </c>
      <c r="H82" s="95">
        <f t="shared" si="61"/>
        <v>3649.44</v>
      </c>
      <c r="I82" s="93"/>
      <c r="J82" s="96" t="s">
        <v>208</v>
      </c>
      <c r="K82" s="49" t="s">
        <v>209</v>
      </c>
      <c r="L82" s="93"/>
      <c r="M82" s="97" t="s">
        <v>133</v>
      </c>
      <c r="N82" s="97" t="s">
        <v>214</v>
      </c>
      <c r="O82" s="183">
        <v>95.83</v>
      </c>
      <c r="P82" s="183">
        <v>0</v>
      </c>
      <c r="Q82" s="183">
        <v>0</v>
      </c>
      <c r="R82" s="131"/>
      <c r="S82" s="183">
        <v>0</v>
      </c>
      <c r="T82" s="183">
        <v>0.49</v>
      </c>
      <c r="U82" s="183">
        <v>9.2799999999999994</v>
      </c>
      <c r="V82" s="183">
        <v>0</v>
      </c>
      <c r="W82" s="183">
        <v>0</v>
      </c>
      <c r="X82" s="183"/>
      <c r="Y82" s="183"/>
      <c r="Z82" s="183"/>
      <c r="AA82" s="183"/>
      <c r="AB82" s="184">
        <v>0.86063999999999996</v>
      </c>
      <c r="AC82" s="184">
        <v>0.86063999999999996</v>
      </c>
      <c r="AD82" s="95">
        <v>0</v>
      </c>
      <c r="AE82" s="95">
        <v>3207.6</v>
      </c>
      <c r="AF82" s="95">
        <v>0</v>
      </c>
      <c r="AG82" s="95">
        <f t="shared" si="62"/>
        <v>3207.6</v>
      </c>
      <c r="AH82" s="95">
        <f t="shared" si="63"/>
        <v>2760.5888639999998</v>
      </c>
      <c r="AI82" s="95">
        <f t="shared" si="64"/>
        <v>0</v>
      </c>
      <c r="AJ82" s="95">
        <f t="shared" si="65"/>
        <v>1486.6</v>
      </c>
      <c r="AK82" s="95">
        <f t="shared" si="66"/>
        <v>0</v>
      </c>
      <c r="AL82" s="133">
        <f t="shared" si="67"/>
        <v>1486.6</v>
      </c>
      <c r="AM82" s="199">
        <f t="shared" si="68"/>
        <v>1279.427424</v>
      </c>
      <c r="AN82" s="106">
        <v>0</v>
      </c>
      <c r="AO82" s="106">
        <v>1616</v>
      </c>
      <c r="AP82" s="106">
        <v>0</v>
      </c>
      <c r="AQ82" s="106">
        <f t="shared" si="69"/>
        <v>1616</v>
      </c>
      <c r="AR82" s="193">
        <f t="shared" si="70"/>
        <v>1390.7942399999999</v>
      </c>
      <c r="AS82" s="106">
        <v>0</v>
      </c>
      <c r="AT82" s="106">
        <v>1721</v>
      </c>
      <c r="AU82" s="106">
        <v>0</v>
      </c>
      <c r="AV82" s="106">
        <f t="shared" si="51"/>
        <v>1721</v>
      </c>
      <c r="AW82" s="106">
        <v>0</v>
      </c>
      <c r="AX82" s="106">
        <v>1516</v>
      </c>
      <c r="AY82" s="106">
        <v>0</v>
      </c>
      <c r="AZ82" s="106">
        <f t="shared" si="52"/>
        <v>1516</v>
      </c>
      <c r="BA82" s="197">
        <f t="shared" si="53"/>
        <v>1304.7302399999999</v>
      </c>
      <c r="BB82" s="105">
        <f t="shared" si="71"/>
        <v>0</v>
      </c>
      <c r="BC82" s="105">
        <f t="shared" si="79"/>
        <v>0</v>
      </c>
      <c r="BD82" s="105">
        <f t="shared" si="72"/>
        <v>100</v>
      </c>
      <c r="BE82" s="105">
        <f t="shared" si="80"/>
        <v>86.063999999999993</v>
      </c>
      <c r="BF82" s="105">
        <f t="shared" si="73"/>
        <v>0</v>
      </c>
      <c r="BG82" s="105">
        <f t="shared" si="81"/>
        <v>0</v>
      </c>
      <c r="BH82" s="105">
        <f t="shared" si="74"/>
        <v>100</v>
      </c>
      <c r="BI82" s="105">
        <f t="shared" si="75"/>
        <v>86.063999999999993</v>
      </c>
      <c r="BJ82" s="186">
        <f t="shared" si="76"/>
        <v>3629.35</v>
      </c>
      <c r="BK82" s="182">
        <f t="shared" si="77"/>
        <v>2584.1576639999998</v>
      </c>
      <c r="BL82" s="98">
        <f t="shared" si="78"/>
        <v>3002.6</v>
      </c>
      <c r="BM82" s="99">
        <f t="shared" si="54"/>
        <v>0</v>
      </c>
      <c r="BN82" s="99">
        <f t="shared" si="55"/>
        <v>1516</v>
      </c>
      <c r="BO82" s="196"/>
      <c r="BP82" s="203">
        <v>0.86063999999999996</v>
      </c>
      <c r="BQ82" s="121"/>
      <c r="BR82" s="196">
        <f t="shared" si="82"/>
        <v>1304.7302399999999</v>
      </c>
      <c r="BS82" s="95">
        <v>626.75</v>
      </c>
      <c r="BT82" s="242">
        <v>0.67098999999999998</v>
      </c>
      <c r="BU82" s="196">
        <f t="shared" si="83"/>
        <v>420.54298249999999</v>
      </c>
      <c r="BV82" s="106"/>
      <c r="BW82" s="196"/>
      <c r="BX82" s="196"/>
      <c r="BY82" s="95"/>
      <c r="BZ82" s="182"/>
      <c r="CA82" s="95"/>
      <c r="CB82" s="95"/>
      <c r="CC82" s="182"/>
      <c r="CD82" s="106"/>
      <c r="CE82" s="106"/>
      <c r="CF82" s="196"/>
      <c r="CG82" s="106"/>
      <c r="CH82" s="106"/>
      <c r="CI82" s="196"/>
      <c r="CJ82" s="106"/>
      <c r="CK82" s="106"/>
      <c r="CL82" s="196"/>
      <c r="CM82" s="106"/>
      <c r="CN82" s="182">
        <f t="shared" si="58"/>
        <v>3004.7006464999999</v>
      </c>
      <c r="CO82" s="112">
        <f t="shared" si="86"/>
        <v>865.25</v>
      </c>
      <c r="CP82" s="182">
        <f t="shared" si="84"/>
        <v>-404.88</v>
      </c>
      <c r="CQ82" s="95">
        <f t="shared" si="85"/>
        <v>4618.6000000000004</v>
      </c>
      <c r="CR82" s="115">
        <f t="shared" si="59"/>
        <v>-421.75</v>
      </c>
      <c r="CS82" s="113"/>
      <c r="CT82" s="113"/>
      <c r="CU82" s="187"/>
      <c r="CV82" s="187"/>
      <c r="CW82" s="240"/>
    </row>
    <row r="83" spans="1:101" s="51" customFormat="1" ht="19.899999999999999" customHeight="1" x14ac:dyDescent="0.3">
      <c r="A83" s="148" t="s">
        <v>200</v>
      </c>
      <c r="B83" s="50">
        <v>10011741021</v>
      </c>
      <c r="C83" s="148" t="s">
        <v>206</v>
      </c>
      <c r="D83" s="104" t="s">
        <v>171</v>
      </c>
      <c r="E83" s="104" t="s">
        <v>207</v>
      </c>
      <c r="F83" s="105">
        <v>3801.5</v>
      </c>
      <c r="G83" s="188">
        <v>0.96</v>
      </c>
      <c r="H83" s="118">
        <f t="shared" si="61"/>
        <v>3649.44</v>
      </c>
      <c r="I83" s="104"/>
      <c r="J83" s="107" t="s">
        <v>208</v>
      </c>
      <c r="K83" s="50" t="s">
        <v>209</v>
      </c>
      <c r="L83" s="104"/>
      <c r="M83" s="108" t="s">
        <v>135</v>
      </c>
      <c r="N83" s="108" t="s">
        <v>215</v>
      </c>
      <c r="O83" s="193">
        <v>96.33</v>
      </c>
      <c r="P83" s="193">
        <v>0</v>
      </c>
      <c r="Q83" s="193">
        <v>0</v>
      </c>
      <c r="R83" s="109"/>
      <c r="S83" s="193">
        <v>0</v>
      </c>
      <c r="T83" s="193">
        <v>0</v>
      </c>
      <c r="U83" s="193">
        <v>9.93</v>
      </c>
      <c r="V83" s="193">
        <v>0</v>
      </c>
      <c r="W83" s="193">
        <v>0</v>
      </c>
      <c r="X83" s="193"/>
      <c r="Y83" s="193"/>
      <c r="Z83" s="193"/>
      <c r="AA83" s="193"/>
      <c r="AB83" s="194">
        <v>0.86404199999999998</v>
      </c>
      <c r="AC83" s="194">
        <v>0.86404199999999998</v>
      </c>
      <c r="AD83" s="106">
        <v>0</v>
      </c>
      <c r="AE83" s="118">
        <v>3530.5</v>
      </c>
      <c r="AF83" s="106">
        <v>0</v>
      </c>
      <c r="AG83" s="106">
        <f t="shared" si="62"/>
        <v>3530.5</v>
      </c>
      <c r="AH83" s="106">
        <f t="shared" si="63"/>
        <v>3050.5002810000001</v>
      </c>
      <c r="AI83" s="106">
        <f t="shared" si="64"/>
        <v>0</v>
      </c>
      <c r="AJ83" s="106">
        <f t="shared" si="65"/>
        <v>1543.5</v>
      </c>
      <c r="AK83" s="106">
        <f t="shared" si="66"/>
        <v>0</v>
      </c>
      <c r="AL83" s="132">
        <f t="shared" si="67"/>
        <v>1543.5</v>
      </c>
      <c r="AM83" s="198">
        <f t="shared" si="68"/>
        <v>1333.648827</v>
      </c>
      <c r="AN83" s="95">
        <v>0</v>
      </c>
      <c r="AO83" s="95">
        <v>1594</v>
      </c>
      <c r="AP83" s="95">
        <v>0</v>
      </c>
      <c r="AQ83" s="95">
        <f t="shared" si="69"/>
        <v>1594</v>
      </c>
      <c r="AR83" s="183">
        <f t="shared" si="70"/>
        <v>1377.282948</v>
      </c>
      <c r="AS83" s="95">
        <v>0</v>
      </c>
      <c r="AT83" s="95">
        <v>1987</v>
      </c>
      <c r="AU83" s="95">
        <v>0</v>
      </c>
      <c r="AV83" s="95">
        <f t="shared" si="51"/>
        <v>1987</v>
      </c>
      <c r="AW83" s="95">
        <v>0</v>
      </c>
      <c r="AX83" s="95">
        <v>1494</v>
      </c>
      <c r="AY83" s="95">
        <v>0</v>
      </c>
      <c r="AZ83" s="95">
        <f t="shared" si="52"/>
        <v>1494</v>
      </c>
      <c r="BA83" s="197">
        <f t="shared" si="53"/>
        <v>1290.8787479999999</v>
      </c>
      <c r="BB83" s="94">
        <f t="shared" si="71"/>
        <v>0</v>
      </c>
      <c r="BC83" s="105">
        <f t="shared" si="79"/>
        <v>0</v>
      </c>
      <c r="BD83" s="94">
        <f t="shared" si="72"/>
        <v>100</v>
      </c>
      <c r="BE83" s="94">
        <f t="shared" si="80"/>
        <v>86.404200000000003</v>
      </c>
      <c r="BF83" s="94">
        <f t="shared" si="73"/>
        <v>0</v>
      </c>
      <c r="BG83" s="94">
        <f t="shared" si="81"/>
        <v>0</v>
      </c>
      <c r="BH83" s="94">
        <f t="shared" si="74"/>
        <v>100</v>
      </c>
      <c r="BI83" s="94">
        <f t="shared" si="75"/>
        <v>86.404200000000003</v>
      </c>
      <c r="BJ83" s="186">
        <f t="shared" si="76"/>
        <v>3439.15</v>
      </c>
      <c r="BK83" s="182">
        <f t="shared" si="77"/>
        <v>2624.5275750000001</v>
      </c>
      <c r="BL83" s="98">
        <f t="shared" si="78"/>
        <v>3037.5</v>
      </c>
      <c r="BM83" s="99">
        <f t="shared" si="54"/>
        <v>0</v>
      </c>
      <c r="BN83" s="99">
        <f t="shared" si="55"/>
        <v>1494</v>
      </c>
      <c r="BO83" s="182"/>
      <c r="BP83" s="204">
        <v>0.86404199999999998</v>
      </c>
      <c r="BQ83" s="121"/>
      <c r="BR83" s="196">
        <f t="shared" si="82"/>
        <v>1290.8787479999999</v>
      </c>
      <c r="BS83" s="106">
        <v>401.65</v>
      </c>
      <c r="BT83" s="243">
        <v>0.67098999999999998</v>
      </c>
      <c r="BU83" s="196">
        <f t="shared" si="83"/>
        <v>269.50313349999999</v>
      </c>
      <c r="BV83" s="95"/>
      <c r="BW83" s="182"/>
      <c r="BX83" s="182"/>
      <c r="BY83" s="118"/>
      <c r="BZ83" s="188"/>
      <c r="CA83" s="118"/>
      <c r="CB83" s="118"/>
      <c r="CC83" s="188"/>
      <c r="CD83" s="95"/>
      <c r="CE83" s="95"/>
      <c r="CF83" s="182"/>
      <c r="CG83" s="95"/>
      <c r="CH83" s="95"/>
      <c r="CI83" s="182"/>
      <c r="CJ83" s="95"/>
      <c r="CK83" s="95"/>
      <c r="CL83" s="182"/>
      <c r="CM83" s="95"/>
      <c r="CN83" s="182">
        <f t="shared" si="58"/>
        <v>2894.0307084999999</v>
      </c>
      <c r="CO83" s="112">
        <f t="shared" si="86"/>
        <v>956.59999999999991</v>
      </c>
      <c r="CP83" s="182">
        <f t="shared" si="84"/>
        <v>87.696000000000012</v>
      </c>
      <c r="CQ83" s="95">
        <f t="shared" si="85"/>
        <v>4631.5</v>
      </c>
      <c r="CR83" s="115">
        <f t="shared" si="59"/>
        <v>91.350000000000023</v>
      </c>
      <c r="CS83" s="113"/>
      <c r="CT83" s="113"/>
      <c r="CU83" s="187"/>
      <c r="CV83" s="187"/>
      <c r="CW83" s="240"/>
    </row>
    <row r="84" spans="1:101" s="51" customFormat="1" ht="19.899999999999999" customHeight="1" x14ac:dyDescent="0.3">
      <c r="A84" s="92" t="s">
        <v>200</v>
      </c>
      <c r="B84" s="49">
        <v>10011741021</v>
      </c>
      <c r="C84" s="92" t="s">
        <v>206</v>
      </c>
      <c r="D84" s="93" t="s">
        <v>171</v>
      </c>
      <c r="E84" s="93" t="s">
        <v>207</v>
      </c>
      <c r="F84" s="94">
        <v>3801.5</v>
      </c>
      <c r="G84" s="182">
        <v>0.96</v>
      </c>
      <c r="H84" s="95">
        <f t="shared" si="61"/>
        <v>3649.44</v>
      </c>
      <c r="I84" s="93"/>
      <c r="J84" s="96" t="s">
        <v>208</v>
      </c>
      <c r="K84" s="49" t="s">
        <v>209</v>
      </c>
      <c r="L84" s="93"/>
      <c r="M84" s="97" t="s">
        <v>137</v>
      </c>
      <c r="N84" s="97" t="s">
        <v>216</v>
      </c>
      <c r="O84" s="183">
        <v>92.41</v>
      </c>
      <c r="P84" s="183">
        <v>0</v>
      </c>
      <c r="Q84" s="183">
        <v>0</v>
      </c>
      <c r="R84" s="131"/>
      <c r="S84" s="183">
        <v>0</v>
      </c>
      <c r="T84" s="183">
        <v>0</v>
      </c>
      <c r="U84" s="183">
        <v>9.9499999999999993</v>
      </c>
      <c r="V84" s="183">
        <v>0</v>
      </c>
      <c r="W84" s="183">
        <v>0</v>
      </c>
      <c r="X84" s="183"/>
      <c r="Y84" s="183"/>
      <c r="Z84" s="183"/>
      <c r="AA84" s="183"/>
      <c r="AB84" s="184">
        <v>0.82458600000000004</v>
      </c>
      <c r="AC84" s="184">
        <v>0.82458600000000004</v>
      </c>
      <c r="AD84" s="95">
        <v>0</v>
      </c>
      <c r="AE84" s="95">
        <v>2711.3</v>
      </c>
      <c r="AF84" s="95">
        <v>0</v>
      </c>
      <c r="AG84" s="95">
        <f t="shared" si="62"/>
        <v>2711.3</v>
      </c>
      <c r="AH84" s="95">
        <f t="shared" si="63"/>
        <v>2235.7000218000003</v>
      </c>
      <c r="AI84" s="95">
        <f t="shared" si="64"/>
        <v>0</v>
      </c>
      <c r="AJ84" s="95">
        <f t="shared" si="65"/>
        <v>1323.3000000000002</v>
      </c>
      <c r="AK84" s="95">
        <f t="shared" si="66"/>
        <v>0</v>
      </c>
      <c r="AL84" s="133">
        <f t="shared" si="67"/>
        <v>1323.3000000000002</v>
      </c>
      <c r="AM84" s="199">
        <f t="shared" si="68"/>
        <v>1091.1746538000002</v>
      </c>
      <c r="AN84" s="106">
        <v>0</v>
      </c>
      <c r="AO84" s="106">
        <v>1555</v>
      </c>
      <c r="AP84" s="106">
        <v>0</v>
      </c>
      <c r="AQ84" s="106">
        <f t="shared" si="69"/>
        <v>1555</v>
      </c>
      <c r="AR84" s="193">
        <f t="shared" si="70"/>
        <v>1282.2312300000001</v>
      </c>
      <c r="AS84" s="106">
        <v>0</v>
      </c>
      <c r="AT84" s="106">
        <v>1388</v>
      </c>
      <c r="AU84" s="106">
        <v>0</v>
      </c>
      <c r="AV84" s="106">
        <f t="shared" si="51"/>
        <v>1388</v>
      </c>
      <c r="AW84" s="106">
        <v>0</v>
      </c>
      <c r="AX84" s="106">
        <v>1455</v>
      </c>
      <c r="AY84" s="106">
        <v>0</v>
      </c>
      <c r="AZ84" s="106">
        <f t="shared" si="52"/>
        <v>1455</v>
      </c>
      <c r="BA84" s="197">
        <f t="shared" si="53"/>
        <v>1199.7726300000002</v>
      </c>
      <c r="BB84" s="105">
        <f t="shared" si="71"/>
        <v>0</v>
      </c>
      <c r="BC84" s="105">
        <f t="shared" si="79"/>
        <v>0</v>
      </c>
      <c r="BD84" s="105">
        <f t="shared" si="72"/>
        <v>100</v>
      </c>
      <c r="BE84" s="105">
        <f t="shared" si="80"/>
        <v>82.458600000000004</v>
      </c>
      <c r="BF84" s="105">
        <f t="shared" si="73"/>
        <v>0</v>
      </c>
      <c r="BG84" s="105">
        <f t="shared" si="81"/>
        <v>0</v>
      </c>
      <c r="BH84" s="105">
        <f t="shared" si="74"/>
        <v>100</v>
      </c>
      <c r="BI84" s="105">
        <f t="shared" si="75"/>
        <v>82.458600000000004</v>
      </c>
      <c r="BJ84" s="186">
        <f t="shared" si="76"/>
        <v>3175.7000000000003</v>
      </c>
      <c r="BK84" s="182">
        <f t="shared" si="77"/>
        <v>2290.9472838000002</v>
      </c>
      <c r="BL84" s="98">
        <f t="shared" si="78"/>
        <v>2778.3</v>
      </c>
      <c r="BM84" s="99">
        <f t="shared" si="54"/>
        <v>0</v>
      </c>
      <c r="BN84" s="99">
        <f t="shared" si="55"/>
        <v>1455</v>
      </c>
      <c r="BO84" s="196"/>
      <c r="BP84" s="203">
        <v>0.82458600000000004</v>
      </c>
      <c r="BQ84" s="121"/>
      <c r="BR84" s="196">
        <f t="shared" si="82"/>
        <v>1199.7726300000002</v>
      </c>
      <c r="BS84" s="95">
        <v>397.4</v>
      </c>
      <c r="BT84" s="242">
        <v>0.67098999999999998</v>
      </c>
      <c r="BU84" s="196">
        <f t="shared" si="83"/>
        <v>266.65142599999996</v>
      </c>
      <c r="BV84" s="106"/>
      <c r="BW84" s="196"/>
      <c r="BX84" s="196"/>
      <c r="BY84" s="95"/>
      <c r="BZ84" s="182"/>
      <c r="CA84" s="95"/>
      <c r="CB84" s="95"/>
      <c r="CC84" s="182"/>
      <c r="CD84" s="106"/>
      <c r="CE84" s="106"/>
      <c r="CF84" s="196"/>
      <c r="CG84" s="106"/>
      <c r="CH84" s="106"/>
      <c r="CI84" s="196"/>
      <c r="CJ84" s="106"/>
      <c r="CK84" s="106"/>
      <c r="CL84" s="196"/>
      <c r="CM84" s="106"/>
      <c r="CN84" s="182">
        <f t="shared" si="58"/>
        <v>2557.5987098000001</v>
      </c>
      <c r="CO84" s="112">
        <f t="shared" si="86"/>
        <v>492.19999999999982</v>
      </c>
      <c r="CP84" s="182">
        <f t="shared" si="84"/>
        <v>-445.82399999999996</v>
      </c>
      <c r="CQ84" s="95">
        <f t="shared" si="85"/>
        <v>4333.3</v>
      </c>
      <c r="CR84" s="115">
        <f t="shared" si="59"/>
        <v>-464.4</v>
      </c>
      <c r="CS84" s="113"/>
      <c r="CT84" s="113"/>
      <c r="CU84" s="187"/>
      <c r="CV84" s="187"/>
      <c r="CW84" s="240"/>
    </row>
    <row r="85" spans="1:101" s="51" customFormat="1" ht="19.899999999999999" customHeight="1" x14ac:dyDescent="0.3">
      <c r="A85" s="148" t="s">
        <v>200</v>
      </c>
      <c r="B85" s="50">
        <v>10011741021</v>
      </c>
      <c r="C85" s="148" t="s">
        <v>206</v>
      </c>
      <c r="D85" s="104" t="s">
        <v>171</v>
      </c>
      <c r="E85" s="104" t="s">
        <v>207</v>
      </c>
      <c r="F85" s="105">
        <v>3801.5</v>
      </c>
      <c r="G85" s="188">
        <v>0.96</v>
      </c>
      <c r="H85" s="118">
        <f t="shared" si="61"/>
        <v>3649.44</v>
      </c>
      <c r="I85" s="104"/>
      <c r="J85" s="107" t="s">
        <v>208</v>
      </c>
      <c r="K85" s="50" t="s">
        <v>209</v>
      </c>
      <c r="L85" s="104"/>
      <c r="M85" s="108" t="s">
        <v>139</v>
      </c>
      <c r="N85" s="108" t="s">
        <v>217</v>
      </c>
      <c r="O85" s="193">
        <v>317.17</v>
      </c>
      <c r="P85" s="193">
        <v>0</v>
      </c>
      <c r="Q85" s="193">
        <v>0</v>
      </c>
      <c r="R85" s="109"/>
      <c r="S85" s="193">
        <v>0</v>
      </c>
      <c r="T85" s="193">
        <v>2.19</v>
      </c>
      <c r="U85" s="193">
        <v>9.5</v>
      </c>
      <c r="V85" s="193">
        <v>0</v>
      </c>
      <c r="W85" s="193">
        <v>0</v>
      </c>
      <c r="X85" s="193"/>
      <c r="Y85" s="193"/>
      <c r="Z85" s="193"/>
      <c r="AA85" s="193"/>
      <c r="AB85" s="194">
        <v>0.83509900000000004</v>
      </c>
      <c r="AC85" s="194">
        <v>0.83509900000000004</v>
      </c>
      <c r="AD85" s="106">
        <v>0</v>
      </c>
      <c r="AE85" s="118">
        <v>2347.8000000000002</v>
      </c>
      <c r="AF85" s="106">
        <v>0</v>
      </c>
      <c r="AG85" s="106">
        <f t="shared" si="62"/>
        <v>2347.8000000000002</v>
      </c>
      <c r="AH85" s="106">
        <f t="shared" si="63"/>
        <v>1960.6454322000002</v>
      </c>
      <c r="AI85" s="106">
        <f t="shared" si="64"/>
        <v>0</v>
      </c>
      <c r="AJ85" s="106">
        <f t="shared" si="65"/>
        <v>1200.8000000000002</v>
      </c>
      <c r="AK85" s="106">
        <f t="shared" si="66"/>
        <v>0</v>
      </c>
      <c r="AL85" s="132">
        <f t="shared" si="67"/>
        <v>1200.8000000000002</v>
      </c>
      <c r="AM85" s="198">
        <f t="shared" si="68"/>
        <v>1002.7868792000002</v>
      </c>
      <c r="AN85" s="95">
        <v>0</v>
      </c>
      <c r="AO85" s="95">
        <v>1498</v>
      </c>
      <c r="AP85" s="95">
        <v>0</v>
      </c>
      <c r="AQ85" s="95">
        <f t="shared" si="69"/>
        <v>1498</v>
      </c>
      <c r="AR85" s="183">
        <f t="shared" si="70"/>
        <v>1250.978302</v>
      </c>
      <c r="AS85" s="95">
        <v>0</v>
      </c>
      <c r="AT85" s="95">
        <v>1147</v>
      </c>
      <c r="AU85" s="95">
        <v>0</v>
      </c>
      <c r="AV85" s="95">
        <f t="shared" si="51"/>
        <v>1147</v>
      </c>
      <c r="AW85" s="95">
        <v>0</v>
      </c>
      <c r="AX85" s="95">
        <v>1132.2</v>
      </c>
      <c r="AY85" s="95">
        <v>0</v>
      </c>
      <c r="AZ85" s="95">
        <f t="shared" si="52"/>
        <v>1132.2</v>
      </c>
      <c r="BA85" s="197">
        <f t="shared" si="53"/>
        <v>945.4990878000001</v>
      </c>
      <c r="BB85" s="94">
        <f t="shared" si="71"/>
        <v>0</v>
      </c>
      <c r="BC85" s="105">
        <f t="shared" si="79"/>
        <v>0</v>
      </c>
      <c r="BD85" s="94">
        <f t="shared" si="72"/>
        <v>365.79999999999995</v>
      </c>
      <c r="BE85" s="94">
        <f t="shared" si="80"/>
        <v>305.4792142</v>
      </c>
      <c r="BF85" s="94">
        <f t="shared" si="73"/>
        <v>0</v>
      </c>
      <c r="BG85" s="94">
        <f t="shared" si="81"/>
        <v>0</v>
      </c>
      <c r="BH85" s="94">
        <f t="shared" si="74"/>
        <v>365.79999999999995</v>
      </c>
      <c r="BI85" s="94">
        <f t="shared" si="75"/>
        <v>305.4792142</v>
      </c>
      <c r="BJ85" s="186">
        <f t="shared" si="76"/>
        <v>2333</v>
      </c>
      <c r="BK85" s="182">
        <f t="shared" si="77"/>
        <v>1948.285967</v>
      </c>
      <c r="BL85" s="98">
        <f t="shared" si="78"/>
        <v>2333</v>
      </c>
      <c r="BM85" s="99">
        <f t="shared" si="54"/>
        <v>0</v>
      </c>
      <c r="BN85" s="99">
        <f t="shared" si="55"/>
        <v>1132.2</v>
      </c>
      <c r="BO85" s="182"/>
      <c r="BP85" s="204">
        <v>0.83509900000000004</v>
      </c>
      <c r="BQ85" s="121"/>
      <c r="BR85" s="196">
        <f t="shared" si="82"/>
        <v>945.4990878000001</v>
      </c>
      <c r="BS85" s="106">
        <v>0</v>
      </c>
      <c r="BT85" s="243">
        <v>0.67098999999999998</v>
      </c>
      <c r="BU85" s="196">
        <f t="shared" si="83"/>
        <v>0</v>
      </c>
      <c r="BV85" s="95"/>
      <c r="BW85" s="182"/>
      <c r="BX85" s="182"/>
      <c r="BY85" s="118"/>
      <c r="BZ85" s="188"/>
      <c r="CA85" s="118"/>
      <c r="CB85" s="118"/>
      <c r="CC85" s="188"/>
      <c r="CD85" s="95"/>
      <c r="CE85" s="95"/>
      <c r="CF85" s="182"/>
      <c r="CG85" s="95"/>
      <c r="CH85" s="95"/>
      <c r="CI85" s="182"/>
      <c r="CJ85" s="95"/>
      <c r="CK85" s="95"/>
      <c r="CL85" s="182"/>
      <c r="CM85" s="95"/>
      <c r="CN85" s="182">
        <f t="shared" si="58"/>
        <v>1948.285967</v>
      </c>
      <c r="CO85" s="112">
        <f t="shared" si="86"/>
        <v>506.99999999999977</v>
      </c>
      <c r="CP85" s="182">
        <f t="shared" si="84"/>
        <v>14.207999999999956</v>
      </c>
      <c r="CQ85" s="95">
        <f t="shared" si="85"/>
        <v>3831</v>
      </c>
      <c r="CR85" s="115">
        <f t="shared" si="59"/>
        <v>14.799999999999955</v>
      </c>
      <c r="CS85" s="113"/>
      <c r="CT85" s="113"/>
      <c r="CU85" s="187"/>
      <c r="CV85" s="187"/>
      <c r="CW85" s="240"/>
    </row>
    <row r="86" spans="1:101" s="51" customFormat="1" ht="19.899999999999999" customHeight="1" x14ac:dyDescent="0.3">
      <c r="A86" s="92" t="s">
        <v>200</v>
      </c>
      <c r="B86" s="49">
        <v>10011741021</v>
      </c>
      <c r="C86" s="92" t="s">
        <v>206</v>
      </c>
      <c r="D86" s="93" t="s">
        <v>171</v>
      </c>
      <c r="E86" s="93" t="s">
        <v>207</v>
      </c>
      <c r="F86" s="94">
        <v>3801.5</v>
      </c>
      <c r="G86" s="182">
        <v>0.96</v>
      </c>
      <c r="H86" s="95">
        <f t="shared" si="61"/>
        <v>3649.44</v>
      </c>
      <c r="I86" s="93"/>
      <c r="J86" s="96" t="s">
        <v>208</v>
      </c>
      <c r="K86" s="49" t="s">
        <v>209</v>
      </c>
      <c r="L86" s="93"/>
      <c r="M86" s="97" t="s">
        <v>141</v>
      </c>
      <c r="N86" s="97" t="s">
        <v>218</v>
      </c>
      <c r="O86" s="183">
        <v>834.96</v>
      </c>
      <c r="P86" s="183">
        <v>0</v>
      </c>
      <c r="Q86" s="183">
        <v>0</v>
      </c>
      <c r="R86" s="131"/>
      <c r="S86" s="183">
        <v>0</v>
      </c>
      <c r="T86" s="183">
        <v>2.2000000000000002</v>
      </c>
      <c r="U86" s="183">
        <v>10.18</v>
      </c>
      <c r="V86" s="183">
        <v>0</v>
      </c>
      <c r="W86" s="183">
        <v>0</v>
      </c>
      <c r="X86" s="183"/>
      <c r="Y86" s="183"/>
      <c r="Z86" s="183"/>
      <c r="AA86" s="183"/>
      <c r="AB86" s="184">
        <v>0.84471399999999996</v>
      </c>
      <c r="AC86" s="184">
        <v>0.84471399999999996</v>
      </c>
      <c r="AD86" s="95">
        <v>0</v>
      </c>
      <c r="AE86" s="95">
        <v>2499.1</v>
      </c>
      <c r="AF86" s="95">
        <v>0</v>
      </c>
      <c r="AG86" s="95">
        <f t="shared" si="62"/>
        <v>2499.1</v>
      </c>
      <c r="AH86" s="95">
        <f t="shared" si="63"/>
        <v>2111.0247574</v>
      </c>
      <c r="AI86" s="95">
        <f t="shared" si="64"/>
        <v>0</v>
      </c>
      <c r="AJ86" s="95">
        <f t="shared" si="65"/>
        <v>1440.1</v>
      </c>
      <c r="AK86" s="95">
        <f t="shared" si="66"/>
        <v>0</v>
      </c>
      <c r="AL86" s="133">
        <f t="shared" si="67"/>
        <v>1440.1</v>
      </c>
      <c r="AM86" s="199">
        <f t="shared" si="68"/>
        <v>1216.4726314</v>
      </c>
      <c r="AN86" s="106">
        <v>0</v>
      </c>
      <c r="AO86" s="106">
        <v>1821</v>
      </c>
      <c r="AP86" s="106">
        <v>0</v>
      </c>
      <c r="AQ86" s="106">
        <f t="shared" si="69"/>
        <v>1821</v>
      </c>
      <c r="AR86" s="193">
        <f t="shared" si="70"/>
        <v>1538.2241939999999</v>
      </c>
      <c r="AS86" s="106">
        <v>0</v>
      </c>
      <c r="AT86" s="106">
        <v>1059</v>
      </c>
      <c r="AU86" s="106">
        <v>0</v>
      </c>
      <c r="AV86" s="106">
        <f t="shared" si="51"/>
        <v>1059</v>
      </c>
      <c r="AW86" s="106">
        <v>0</v>
      </c>
      <c r="AX86" s="106">
        <v>847.2</v>
      </c>
      <c r="AY86" s="106">
        <v>0</v>
      </c>
      <c r="AZ86" s="106">
        <f t="shared" si="52"/>
        <v>847.2</v>
      </c>
      <c r="BA86" s="197">
        <f t="shared" si="53"/>
        <v>715.64170079999997</v>
      </c>
      <c r="BB86" s="105">
        <f t="shared" si="71"/>
        <v>0</v>
      </c>
      <c r="BC86" s="105">
        <f t="shared" si="79"/>
        <v>0</v>
      </c>
      <c r="BD86" s="105">
        <f t="shared" si="72"/>
        <v>973.8</v>
      </c>
      <c r="BE86" s="105">
        <f t="shared" si="80"/>
        <v>822.58249319999993</v>
      </c>
      <c r="BF86" s="105">
        <f t="shared" si="73"/>
        <v>0</v>
      </c>
      <c r="BG86" s="105">
        <f t="shared" si="81"/>
        <v>0</v>
      </c>
      <c r="BH86" s="105">
        <f t="shared" si="74"/>
        <v>973.8</v>
      </c>
      <c r="BI86" s="105">
        <f t="shared" si="75"/>
        <v>822.58249319999993</v>
      </c>
      <c r="BJ86" s="186">
        <f t="shared" si="76"/>
        <v>2287.3000000000002</v>
      </c>
      <c r="BK86" s="182">
        <f t="shared" si="77"/>
        <v>1932.1143322</v>
      </c>
      <c r="BL86" s="98">
        <f t="shared" si="78"/>
        <v>2287.3000000000002</v>
      </c>
      <c r="BM86" s="99">
        <f t="shared" si="54"/>
        <v>0</v>
      </c>
      <c r="BN86" s="99">
        <f t="shared" si="55"/>
        <v>847.2</v>
      </c>
      <c r="BO86" s="196"/>
      <c r="BP86" s="203">
        <v>0.84471399999999996</v>
      </c>
      <c r="BQ86" s="121"/>
      <c r="BR86" s="196">
        <f t="shared" si="82"/>
        <v>715.64170079999997</v>
      </c>
      <c r="BS86" s="95">
        <v>0</v>
      </c>
      <c r="BT86" s="242">
        <v>0.67098999999999998</v>
      </c>
      <c r="BU86" s="196">
        <f t="shared" si="83"/>
        <v>0</v>
      </c>
      <c r="BV86" s="106"/>
      <c r="BW86" s="196"/>
      <c r="BX86" s="196"/>
      <c r="BY86" s="95"/>
      <c r="BZ86" s="182"/>
      <c r="CA86" s="95"/>
      <c r="CB86" s="95"/>
      <c r="CC86" s="182"/>
      <c r="CD86" s="106"/>
      <c r="CE86" s="106"/>
      <c r="CF86" s="196"/>
      <c r="CG86" s="106"/>
      <c r="CH86" s="106"/>
      <c r="CI86" s="196"/>
      <c r="CJ86" s="106"/>
      <c r="CK86" s="106"/>
      <c r="CL86" s="196"/>
      <c r="CM86" s="106"/>
      <c r="CN86" s="182">
        <f t="shared" si="58"/>
        <v>1932.1143322</v>
      </c>
      <c r="CO86" s="112">
        <f t="shared" si="86"/>
        <v>718.79999999999973</v>
      </c>
      <c r="CP86" s="182">
        <f t="shared" si="84"/>
        <v>203.32799999999995</v>
      </c>
      <c r="CQ86" s="95">
        <f t="shared" si="85"/>
        <v>4108.3</v>
      </c>
      <c r="CR86" s="115">
        <f t="shared" si="59"/>
        <v>211.79999999999995</v>
      </c>
      <c r="CS86" s="113"/>
      <c r="CT86" s="113"/>
      <c r="CU86" s="187"/>
      <c r="CV86" s="187"/>
      <c r="CW86" s="240"/>
    </row>
    <row r="87" spans="1:101" s="51" customFormat="1" ht="19.899999999999999" customHeight="1" x14ac:dyDescent="0.3">
      <c r="A87" s="148" t="s">
        <v>200</v>
      </c>
      <c r="B87" s="50">
        <v>10011741021</v>
      </c>
      <c r="C87" s="148" t="s">
        <v>206</v>
      </c>
      <c r="D87" s="104" t="s">
        <v>171</v>
      </c>
      <c r="E87" s="104" t="s">
        <v>207</v>
      </c>
      <c r="F87" s="105">
        <v>3801.5</v>
      </c>
      <c r="G87" s="188">
        <v>0.96</v>
      </c>
      <c r="H87" s="118">
        <f t="shared" si="61"/>
        <v>3649.44</v>
      </c>
      <c r="I87" s="104"/>
      <c r="J87" s="107" t="s">
        <v>208</v>
      </c>
      <c r="K87" s="50" t="s">
        <v>209</v>
      </c>
      <c r="L87" s="104"/>
      <c r="M87" s="108" t="s">
        <v>130</v>
      </c>
      <c r="N87" s="108" t="s">
        <v>219</v>
      </c>
      <c r="O87" s="193">
        <v>689.57</v>
      </c>
      <c r="P87" s="193">
        <v>0</v>
      </c>
      <c r="Q87" s="193">
        <v>0</v>
      </c>
      <c r="R87" s="109"/>
      <c r="S87" s="193">
        <v>0</v>
      </c>
      <c r="T87" s="193">
        <v>0</v>
      </c>
      <c r="U87" s="193">
        <v>9.66</v>
      </c>
      <c r="V87" s="193">
        <v>0</v>
      </c>
      <c r="W87" s="193">
        <v>0</v>
      </c>
      <c r="X87" s="193"/>
      <c r="Y87" s="193"/>
      <c r="Z87" s="193"/>
      <c r="AA87" s="193"/>
      <c r="AB87" s="194">
        <v>0.82213700000000001</v>
      </c>
      <c r="AC87" s="194">
        <v>0.82213700000000001</v>
      </c>
      <c r="AD87" s="106">
        <v>0</v>
      </c>
      <c r="AE87" s="118">
        <v>2995.8</v>
      </c>
      <c r="AF87" s="106">
        <v>0</v>
      </c>
      <c r="AG87" s="106">
        <f t="shared" si="62"/>
        <v>2995.8</v>
      </c>
      <c r="AH87" s="106">
        <f t="shared" si="63"/>
        <v>2462.9580246</v>
      </c>
      <c r="AI87" s="106">
        <f t="shared" si="64"/>
        <v>0</v>
      </c>
      <c r="AJ87" s="106">
        <f t="shared" si="65"/>
        <v>1630.8000000000002</v>
      </c>
      <c r="AK87" s="106">
        <f t="shared" si="66"/>
        <v>0</v>
      </c>
      <c r="AL87" s="132">
        <f t="shared" si="67"/>
        <v>1630.8000000000002</v>
      </c>
      <c r="AM87" s="198">
        <f t="shared" si="68"/>
        <v>1340.7410196000001</v>
      </c>
      <c r="AN87" s="95">
        <v>0</v>
      </c>
      <c r="AO87" s="95">
        <v>1919</v>
      </c>
      <c r="AP87" s="95">
        <v>0</v>
      </c>
      <c r="AQ87" s="95">
        <f t="shared" si="69"/>
        <v>1919</v>
      </c>
      <c r="AR87" s="183">
        <f t="shared" si="70"/>
        <v>1577.6809029999999</v>
      </c>
      <c r="AS87" s="95">
        <v>0</v>
      </c>
      <c r="AT87" s="95">
        <v>1365</v>
      </c>
      <c r="AU87" s="95">
        <v>0</v>
      </c>
      <c r="AV87" s="95">
        <f t="shared" si="51"/>
        <v>1365</v>
      </c>
      <c r="AW87" s="95">
        <v>0</v>
      </c>
      <c r="AX87" s="95">
        <v>1092</v>
      </c>
      <c r="AY87" s="95">
        <v>0</v>
      </c>
      <c r="AZ87" s="95">
        <f t="shared" si="52"/>
        <v>1092</v>
      </c>
      <c r="BA87" s="197">
        <f t="shared" si="53"/>
        <v>897.77360399999998</v>
      </c>
      <c r="BB87" s="94">
        <f t="shared" si="71"/>
        <v>0</v>
      </c>
      <c r="BC87" s="105">
        <f t="shared" si="79"/>
        <v>0</v>
      </c>
      <c r="BD87" s="94">
        <f t="shared" si="72"/>
        <v>827</v>
      </c>
      <c r="BE87" s="94">
        <f t="shared" si="80"/>
        <v>679.90729899999997</v>
      </c>
      <c r="BF87" s="94">
        <f t="shared" si="73"/>
        <v>0</v>
      </c>
      <c r="BG87" s="94">
        <f t="shared" si="81"/>
        <v>0</v>
      </c>
      <c r="BH87" s="94">
        <f t="shared" si="74"/>
        <v>827</v>
      </c>
      <c r="BI87" s="94">
        <f t="shared" si="75"/>
        <v>679.90729899999997</v>
      </c>
      <c r="BJ87" s="186">
        <f t="shared" si="76"/>
        <v>2722.8</v>
      </c>
      <c r="BK87" s="182">
        <f t="shared" si="77"/>
        <v>2238.5146236</v>
      </c>
      <c r="BL87" s="98">
        <f t="shared" si="78"/>
        <v>2722.8</v>
      </c>
      <c r="BM87" s="99">
        <f t="shared" si="54"/>
        <v>0</v>
      </c>
      <c r="BN87" s="99">
        <f t="shared" si="55"/>
        <v>1092</v>
      </c>
      <c r="BO87" s="182"/>
      <c r="BP87" s="204">
        <v>0.82213700000000001</v>
      </c>
      <c r="BQ87" s="121"/>
      <c r="BR87" s="196">
        <f t="shared" si="82"/>
        <v>897.77360399999998</v>
      </c>
      <c r="BS87" s="106">
        <v>0</v>
      </c>
      <c r="BT87" s="243">
        <v>0.67098999999999998</v>
      </c>
      <c r="BU87" s="196">
        <f t="shared" si="83"/>
        <v>0</v>
      </c>
      <c r="BV87" s="95"/>
      <c r="BW87" s="182"/>
      <c r="BX87" s="182"/>
      <c r="BY87" s="118"/>
      <c r="BZ87" s="188"/>
      <c r="CA87" s="118"/>
      <c r="CB87" s="118"/>
      <c r="CC87" s="188"/>
      <c r="CD87" s="95"/>
      <c r="CE87" s="95"/>
      <c r="CF87" s="182"/>
      <c r="CG87" s="95"/>
      <c r="CH87" s="95"/>
      <c r="CI87" s="182"/>
      <c r="CJ87" s="95"/>
      <c r="CK87" s="95"/>
      <c r="CL87" s="182"/>
      <c r="CM87" s="95"/>
      <c r="CN87" s="182">
        <f t="shared" si="58"/>
        <v>2238.5146236</v>
      </c>
      <c r="CO87" s="112">
        <f t="shared" si="86"/>
        <v>991.79999999999973</v>
      </c>
      <c r="CP87" s="182">
        <f t="shared" si="84"/>
        <v>262.08</v>
      </c>
      <c r="CQ87" s="95">
        <f t="shared" si="85"/>
        <v>4641.8</v>
      </c>
      <c r="CR87" s="115">
        <f t="shared" si="59"/>
        <v>273</v>
      </c>
      <c r="CS87" s="113"/>
      <c r="CT87" s="113"/>
      <c r="CU87" s="187"/>
      <c r="CV87" s="187"/>
      <c r="CW87" s="240"/>
    </row>
    <row r="88" spans="1:101" s="51" customFormat="1" ht="19.899999999999999" customHeight="1" x14ac:dyDescent="0.3">
      <c r="A88" s="92" t="s">
        <v>200</v>
      </c>
      <c r="B88" s="49">
        <v>10011741021</v>
      </c>
      <c r="C88" s="92" t="s">
        <v>206</v>
      </c>
      <c r="D88" s="93" t="s">
        <v>171</v>
      </c>
      <c r="E88" s="93" t="s">
        <v>207</v>
      </c>
      <c r="F88" s="94">
        <v>3801.5</v>
      </c>
      <c r="G88" s="182">
        <v>0.96</v>
      </c>
      <c r="H88" s="95">
        <f t="shared" si="61"/>
        <v>3649.44</v>
      </c>
      <c r="I88" s="93"/>
      <c r="J88" s="96" t="s">
        <v>208</v>
      </c>
      <c r="K88" s="49" t="s">
        <v>209</v>
      </c>
      <c r="L88" s="93"/>
      <c r="M88" s="97" t="s">
        <v>144</v>
      </c>
      <c r="N88" s="97" t="s">
        <v>220</v>
      </c>
      <c r="O88" s="183">
        <v>956.63</v>
      </c>
      <c r="P88" s="183">
        <v>0</v>
      </c>
      <c r="Q88" s="183">
        <v>0</v>
      </c>
      <c r="R88" s="131"/>
      <c r="S88" s="183">
        <v>0</v>
      </c>
      <c r="T88" s="183">
        <v>43.16</v>
      </c>
      <c r="U88" s="183">
        <v>12.96</v>
      </c>
      <c r="V88" s="183">
        <v>0</v>
      </c>
      <c r="W88" s="183">
        <v>0</v>
      </c>
      <c r="X88" s="183"/>
      <c r="Y88" s="183"/>
      <c r="Z88" s="183"/>
      <c r="AA88" s="183"/>
      <c r="AB88" s="184">
        <v>0.83940000000000003</v>
      </c>
      <c r="AC88" s="184">
        <v>0.83940000000000003</v>
      </c>
      <c r="AD88" s="95">
        <v>0</v>
      </c>
      <c r="AE88" s="95">
        <v>3550.4</v>
      </c>
      <c r="AF88" s="95">
        <v>0</v>
      </c>
      <c r="AG88" s="95">
        <f t="shared" si="62"/>
        <v>3550.4</v>
      </c>
      <c r="AH88" s="95">
        <f t="shared" si="63"/>
        <v>2980.2057600000003</v>
      </c>
      <c r="AI88" s="95">
        <f t="shared" si="64"/>
        <v>0</v>
      </c>
      <c r="AJ88" s="95">
        <f t="shared" si="65"/>
        <v>2126.4</v>
      </c>
      <c r="AK88" s="95">
        <f t="shared" si="66"/>
        <v>0</v>
      </c>
      <c r="AL88" s="133">
        <f t="shared" si="67"/>
        <v>2126.4</v>
      </c>
      <c r="AM88" s="199">
        <f t="shared" si="68"/>
        <v>1784.9001600000001</v>
      </c>
      <c r="AN88" s="106">
        <v>0</v>
      </c>
      <c r="AO88" s="106">
        <v>2212</v>
      </c>
      <c r="AP88" s="106">
        <v>0</v>
      </c>
      <c r="AQ88" s="106">
        <f t="shared" si="69"/>
        <v>2212</v>
      </c>
      <c r="AR88" s="193">
        <f t="shared" si="70"/>
        <v>1856.7528</v>
      </c>
      <c r="AS88" s="106">
        <v>0</v>
      </c>
      <c r="AT88" s="106">
        <v>1424</v>
      </c>
      <c r="AU88" s="106">
        <v>0</v>
      </c>
      <c r="AV88" s="106">
        <f t="shared" si="51"/>
        <v>1424</v>
      </c>
      <c r="AW88" s="106">
        <v>0</v>
      </c>
      <c r="AX88" s="106">
        <v>1139.2</v>
      </c>
      <c r="AY88" s="106">
        <v>0</v>
      </c>
      <c r="AZ88" s="106">
        <f t="shared" si="52"/>
        <v>1139.2</v>
      </c>
      <c r="BA88" s="197">
        <f t="shared" si="53"/>
        <v>956.24448000000007</v>
      </c>
      <c r="BB88" s="105">
        <f t="shared" si="71"/>
        <v>0</v>
      </c>
      <c r="BC88" s="105">
        <f t="shared" si="79"/>
        <v>0</v>
      </c>
      <c r="BD88" s="105">
        <f t="shared" si="72"/>
        <v>1072.8</v>
      </c>
      <c r="BE88" s="105">
        <f t="shared" si="80"/>
        <v>900.50832000000003</v>
      </c>
      <c r="BF88" s="105">
        <f t="shared" si="73"/>
        <v>0</v>
      </c>
      <c r="BG88" s="105">
        <f t="shared" si="81"/>
        <v>0</v>
      </c>
      <c r="BH88" s="105">
        <f t="shared" si="74"/>
        <v>1072.8</v>
      </c>
      <c r="BI88" s="105">
        <f t="shared" si="75"/>
        <v>900.50832000000003</v>
      </c>
      <c r="BJ88" s="186">
        <f t="shared" si="76"/>
        <v>3265.6000000000004</v>
      </c>
      <c r="BK88" s="182">
        <f t="shared" si="77"/>
        <v>2741.1446400000004</v>
      </c>
      <c r="BL88" s="98">
        <f t="shared" si="78"/>
        <v>3265.6000000000004</v>
      </c>
      <c r="BM88" s="99">
        <f t="shared" si="54"/>
        <v>0</v>
      </c>
      <c r="BN88" s="99">
        <f t="shared" si="55"/>
        <v>1139.2</v>
      </c>
      <c r="BO88" s="196"/>
      <c r="BP88" s="203">
        <v>0.83940000000000003</v>
      </c>
      <c r="BQ88" s="121"/>
      <c r="BR88" s="196">
        <f t="shared" si="82"/>
        <v>956.24448000000007</v>
      </c>
      <c r="BS88" s="95">
        <v>0</v>
      </c>
      <c r="BT88" s="242">
        <v>0.67098999999999998</v>
      </c>
      <c r="BU88" s="196">
        <f t="shared" si="83"/>
        <v>0</v>
      </c>
      <c r="BV88" s="106"/>
      <c r="BW88" s="196"/>
      <c r="BX88" s="196"/>
      <c r="BY88" s="95"/>
      <c r="BZ88" s="182"/>
      <c r="CA88" s="95"/>
      <c r="CB88" s="95"/>
      <c r="CC88" s="182"/>
      <c r="CD88" s="106"/>
      <c r="CE88" s="106"/>
      <c r="CF88" s="196"/>
      <c r="CG88" s="106"/>
      <c r="CH88" s="106"/>
      <c r="CI88" s="196"/>
      <c r="CJ88" s="106"/>
      <c r="CK88" s="106"/>
      <c r="CL88" s="196"/>
      <c r="CM88" s="106"/>
      <c r="CN88" s="182">
        <f t="shared" si="58"/>
        <v>2741.1446400000004</v>
      </c>
      <c r="CO88" s="112">
        <f t="shared" si="86"/>
        <v>1276.5999999999997</v>
      </c>
      <c r="CP88" s="182">
        <f t="shared" si="84"/>
        <v>273.40799999999996</v>
      </c>
      <c r="CQ88" s="95">
        <f t="shared" si="85"/>
        <v>5477.6</v>
      </c>
      <c r="CR88" s="115">
        <f t="shared" si="59"/>
        <v>284.79999999999995</v>
      </c>
      <c r="CS88" s="113"/>
      <c r="CT88" s="113"/>
      <c r="CU88" s="187"/>
      <c r="CV88" s="187"/>
      <c r="CW88" s="240"/>
    </row>
    <row r="89" spans="1:101" s="51" customFormat="1" ht="19.899999999999999" customHeight="1" x14ac:dyDescent="0.3">
      <c r="A89" s="148" t="s">
        <v>200</v>
      </c>
      <c r="B89" s="50">
        <v>10011741021</v>
      </c>
      <c r="C89" s="148" t="s">
        <v>206</v>
      </c>
      <c r="D89" s="104" t="s">
        <v>171</v>
      </c>
      <c r="E89" s="104" t="s">
        <v>207</v>
      </c>
      <c r="F89" s="105">
        <v>3801.5</v>
      </c>
      <c r="G89" s="188">
        <v>0.96</v>
      </c>
      <c r="H89" s="118">
        <f t="shared" si="61"/>
        <v>3649.44</v>
      </c>
      <c r="I89" s="104"/>
      <c r="J89" s="107" t="s">
        <v>208</v>
      </c>
      <c r="K89" s="50" t="s">
        <v>209</v>
      </c>
      <c r="L89" s="104"/>
      <c r="M89" s="108" t="s">
        <v>146</v>
      </c>
      <c r="N89" s="108" t="s">
        <v>221</v>
      </c>
      <c r="O89" s="193">
        <v>561.48</v>
      </c>
      <c r="P89" s="193">
        <v>0</v>
      </c>
      <c r="Q89" s="193">
        <v>0</v>
      </c>
      <c r="R89" s="109"/>
      <c r="S89" s="193">
        <v>0</v>
      </c>
      <c r="T89" s="193">
        <v>0</v>
      </c>
      <c r="U89" s="193">
        <v>14.46</v>
      </c>
      <c r="V89" s="193">
        <v>0</v>
      </c>
      <c r="W89" s="193">
        <v>0</v>
      </c>
      <c r="X89" s="193"/>
      <c r="Y89" s="193"/>
      <c r="Z89" s="193"/>
      <c r="AA89" s="193"/>
      <c r="AB89" s="194">
        <v>0.89150099999999999</v>
      </c>
      <c r="AC89" s="194">
        <v>0.89150099999999999</v>
      </c>
      <c r="AD89" s="106">
        <v>0</v>
      </c>
      <c r="AE89" s="118">
        <v>4223.6999999999989</v>
      </c>
      <c r="AF89" s="106">
        <v>0</v>
      </c>
      <c r="AG89" s="106">
        <f t="shared" si="62"/>
        <v>4223.6999999999989</v>
      </c>
      <c r="AH89" s="106">
        <f t="shared" si="63"/>
        <v>3765.432773699999</v>
      </c>
      <c r="AI89" s="106">
        <f t="shared" si="64"/>
        <v>0</v>
      </c>
      <c r="AJ89" s="106">
        <f t="shared" si="65"/>
        <v>2365.6999999999989</v>
      </c>
      <c r="AK89" s="106">
        <f t="shared" si="66"/>
        <v>0</v>
      </c>
      <c r="AL89" s="132">
        <f t="shared" si="67"/>
        <v>2365.6999999999989</v>
      </c>
      <c r="AM89" s="198">
        <f t="shared" si="68"/>
        <v>2109.0239156999992</v>
      </c>
      <c r="AN89" s="106">
        <v>0</v>
      </c>
      <c r="AO89" s="106">
        <v>2100</v>
      </c>
      <c r="AP89" s="106">
        <v>0</v>
      </c>
      <c r="AQ89" s="95">
        <f t="shared" si="69"/>
        <v>2100</v>
      </c>
      <c r="AR89" s="183">
        <f t="shared" si="70"/>
        <v>1872.1521</v>
      </c>
      <c r="AS89" s="106">
        <v>0</v>
      </c>
      <c r="AT89" s="106">
        <v>1858</v>
      </c>
      <c r="AU89" s="106">
        <v>0</v>
      </c>
      <c r="AV89" s="106">
        <f t="shared" si="51"/>
        <v>1858</v>
      </c>
      <c r="AW89" s="106">
        <v>0</v>
      </c>
      <c r="AX89" s="106">
        <v>1486.4</v>
      </c>
      <c r="AY89" s="106">
        <v>0</v>
      </c>
      <c r="AZ89" s="106">
        <f t="shared" si="52"/>
        <v>1486.4</v>
      </c>
      <c r="BA89" s="197">
        <f t="shared" si="53"/>
        <v>1325.1270864000001</v>
      </c>
      <c r="BB89" s="105">
        <f t="shared" si="71"/>
        <v>0</v>
      </c>
      <c r="BC89" s="105">
        <f t="shared" si="79"/>
        <v>0</v>
      </c>
      <c r="BD89" s="105">
        <f t="shared" si="72"/>
        <v>613.59999999999991</v>
      </c>
      <c r="BE89" s="105">
        <f t="shared" si="80"/>
        <v>547.02501359999997</v>
      </c>
      <c r="BF89" s="105">
        <f t="shared" si="73"/>
        <v>0</v>
      </c>
      <c r="BG89" s="105">
        <f t="shared" si="81"/>
        <v>0</v>
      </c>
      <c r="BH89" s="105">
        <f t="shared" si="74"/>
        <v>613.59999999999991</v>
      </c>
      <c r="BI89" s="105">
        <f t="shared" si="75"/>
        <v>547.02501359999997</v>
      </c>
      <c r="BJ89" s="186">
        <f t="shared" si="76"/>
        <v>3852.099999999999</v>
      </c>
      <c r="BK89" s="182">
        <f t="shared" si="77"/>
        <v>3434.151002099999</v>
      </c>
      <c r="BL89" s="98">
        <f t="shared" si="78"/>
        <v>3852.099999999999</v>
      </c>
      <c r="BM89" s="99">
        <f t="shared" si="54"/>
        <v>0</v>
      </c>
      <c r="BN89" s="99">
        <f t="shared" si="55"/>
        <v>1486.4</v>
      </c>
      <c r="BO89" s="196"/>
      <c r="BP89" s="203">
        <v>0.89150099999999999</v>
      </c>
      <c r="BQ89" s="121"/>
      <c r="BR89" s="196">
        <f t="shared" si="82"/>
        <v>1325.1270864000001</v>
      </c>
      <c r="BS89" s="95">
        <v>0</v>
      </c>
      <c r="BT89" s="243">
        <v>0.694774</v>
      </c>
      <c r="BU89" s="196">
        <f t="shared" si="83"/>
        <v>0</v>
      </c>
      <c r="BV89" s="106"/>
      <c r="BW89" s="196"/>
      <c r="BX89" s="196"/>
      <c r="BY89" s="118"/>
      <c r="BZ89" s="188"/>
      <c r="CA89" s="118"/>
      <c r="CB89" s="118"/>
      <c r="CC89" s="188"/>
      <c r="CD89" s="106"/>
      <c r="CE89" s="106"/>
      <c r="CF89" s="196"/>
      <c r="CG89" s="106"/>
      <c r="CH89" s="106"/>
      <c r="CI89" s="196"/>
      <c r="CJ89" s="106"/>
      <c r="CK89" s="106"/>
      <c r="CL89" s="196"/>
      <c r="CM89" s="106"/>
      <c r="CN89" s="182">
        <f t="shared" si="58"/>
        <v>3434.151002099999</v>
      </c>
      <c r="CO89" s="112">
        <f t="shared" si="86"/>
        <v>1648.1999999999996</v>
      </c>
      <c r="CP89" s="182">
        <f t="shared" si="84"/>
        <v>356.73599999999988</v>
      </c>
      <c r="CQ89" s="95">
        <f t="shared" si="85"/>
        <v>5952.0999999999985</v>
      </c>
      <c r="CR89" s="115">
        <f t="shared" si="59"/>
        <v>371.59999999999991</v>
      </c>
      <c r="CS89" s="113"/>
      <c r="CT89" s="113"/>
      <c r="CU89" s="187"/>
      <c r="CV89" s="187"/>
      <c r="CW89" s="240"/>
    </row>
    <row r="90" spans="1:101" s="51" customFormat="1" ht="19.899999999999999" customHeight="1" x14ac:dyDescent="0.3">
      <c r="A90" s="92" t="s">
        <v>200</v>
      </c>
      <c r="B90" s="49">
        <v>10011741021</v>
      </c>
      <c r="C90" s="92" t="s">
        <v>206</v>
      </c>
      <c r="D90" s="93" t="s">
        <v>171</v>
      </c>
      <c r="E90" s="93" t="s">
        <v>207</v>
      </c>
      <c r="F90" s="94">
        <v>3801.5</v>
      </c>
      <c r="G90" s="182">
        <v>0.96</v>
      </c>
      <c r="H90" s="95">
        <f t="shared" si="61"/>
        <v>3649.44</v>
      </c>
      <c r="I90" s="93"/>
      <c r="J90" s="96" t="s">
        <v>208</v>
      </c>
      <c r="K90" s="49" t="s">
        <v>209</v>
      </c>
      <c r="L90" s="93"/>
      <c r="M90" s="97" t="s">
        <v>148</v>
      </c>
      <c r="N90" s="97" t="s">
        <v>222</v>
      </c>
      <c r="O90" s="183">
        <v>1482.38</v>
      </c>
      <c r="P90" s="183">
        <v>0</v>
      </c>
      <c r="Q90" s="183">
        <v>0</v>
      </c>
      <c r="R90" s="131"/>
      <c r="S90" s="183">
        <v>0</v>
      </c>
      <c r="T90" s="183">
        <v>54.25</v>
      </c>
      <c r="U90" s="183">
        <v>15.36</v>
      </c>
      <c r="V90" s="183">
        <v>0</v>
      </c>
      <c r="W90" s="183">
        <v>0</v>
      </c>
      <c r="X90" s="183"/>
      <c r="Y90" s="183"/>
      <c r="Z90" s="183">
        <v>192.47</v>
      </c>
      <c r="AA90" s="183"/>
      <c r="AB90" s="184">
        <v>0.90526399999999996</v>
      </c>
      <c r="AC90" s="184">
        <v>0.90526399999999996</v>
      </c>
      <c r="AD90" s="95">
        <v>0</v>
      </c>
      <c r="AE90" s="95">
        <v>3881.1</v>
      </c>
      <c r="AF90" s="95">
        <v>0</v>
      </c>
      <c r="AG90" s="95">
        <f t="shared" si="62"/>
        <v>3881.1</v>
      </c>
      <c r="AH90" s="95">
        <f t="shared" si="63"/>
        <v>3513.4201103999999</v>
      </c>
      <c r="AI90" s="95">
        <f t="shared" si="64"/>
        <v>0</v>
      </c>
      <c r="AJ90" s="95">
        <f t="shared" si="65"/>
        <v>2321.1</v>
      </c>
      <c r="AK90" s="95">
        <f t="shared" si="66"/>
        <v>0</v>
      </c>
      <c r="AL90" s="133">
        <f t="shared" si="67"/>
        <v>2321.1</v>
      </c>
      <c r="AM90" s="199">
        <f t="shared" si="68"/>
        <v>2101.2082703999999</v>
      </c>
      <c r="AN90" s="106">
        <v>0</v>
      </c>
      <c r="AO90" s="106">
        <v>2596</v>
      </c>
      <c r="AP90" s="106">
        <v>0</v>
      </c>
      <c r="AQ90" s="106">
        <f t="shared" si="69"/>
        <v>2596</v>
      </c>
      <c r="AR90" s="193">
        <f t="shared" si="70"/>
        <v>2350.0653440000001</v>
      </c>
      <c r="AS90" s="106">
        <v>0</v>
      </c>
      <c r="AT90" s="106">
        <v>1560</v>
      </c>
      <c r="AU90" s="106">
        <v>0</v>
      </c>
      <c r="AV90" s="106">
        <f t="shared" si="51"/>
        <v>1560</v>
      </c>
      <c r="AW90" s="106">
        <v>0</v>
      </c>
      <c r="AX90" s="106">
        <v>1248</v>
      </c>
      <c r="AY90" s="106">
        <v>0</v>
      </c>
      <c r="AZ90" s="106">
        <f t="shared" si="52"/>
        <v>1248</v>
      </c>
      <c r="BA90" s="197">
        <f t="shared" si="53"/>
        <v>1129.769472</v>
      </c>
      <c r="BB90" s="105">
        <f t="shared" si="71"/>
        <v>0</v>
      </c>
      <c r="BC90" s="105">
        <f t="shared" si="79"/>
        <v>0</v>
      </c>
      <c r="BD90" s="105">
        <f t="shared" si="72"/>
        <v>1348</v>
      </c>
      <c r="BE90" s="105">
        <f t="shared" si="80"/>
        <v>1220.2958719999999</v>
      </c>
      <c r="BF90" s="105">
        <f t="shared" si="73"/>
        <v>0</v>
      </c>
      <c r="BG90" s="105">
        <f t="shared" si="81"/>
        <v>0</v>
      </c>
      <c r="BH90" s="105">
        <f t="shared" si="74"/>
        <v>1348</v>
      </c>
      <c r="BI90" s="105">
        <f t="shared" si="75"/>
        <v>1220.2958719999999</v>
      </c>
      <c r="BJ90" s="186">
        <f t="shared" si="76"/>
        <v>3569.1</v>
      </c>
      <c r="BK90" s="182">
        <f t="shared" si="77"/>
        <v>3230.9777423999999</v>
      </c>
      <c r="BL90" s="98">
        <f t="shared" si="78"/>
        <v>3569.1</v>
      </c>
      <c r="BM90" s="99">
        <f t="shared" si="54"/>
        <v>0</v>
      </c>
      <c r="BN90" s="99">
        <f t="shared" si="55"/>
        <v>1248</v>
      </c>
      <c r="BO90" s="196"/>
      <c r="BP90" s="203">
        <v>0.90526499999999999</v>
      </c>
      <c r="BQ90" s="121"/>
      <c r="BR90" s="196">
        <f t="shared" si="82"/>
        <v>1129.77072</v>
      </c>
      <c r="BS90" s="95">
        <v>0</v>
      </c>
      <c r="BT90" s="242">
        <v>0.71062999999999998</v>
      </c>
      <c r="BU90" s="196">
        <f t="shared" si="83"/>
        <v>0</v>
      </c>
      <c r="BV90" s="106"/>
      <c r="BW90" s="196"/>
      <c r="BX90" s="196"/>
      <c r="BY90" s="95"/>
      <c r="BZ90" s="182"/>
      <c r="CA90" s="95"/>
      <c r="CB90" s="95"/>
      <c r="CC90" s="182"/>
      <c r="CD90" s="106"/>
      <c r="CE90" s="106"/>
      <c r="CF90" s="196"/>
      <c r="CG90" s="106"/>
      <c r="CH90" s="106"/>
      <c r="CI90" s="196"/>
      <c r="CJ90" s="106"/>
      <c r="CK90" s="106"/>
      <c r="CL90" s="196"/>
      <c r="CM90" s="106"/>
      <c r="CN90" s="182">
        <f t="shared" si="58"/>
        <v>3230.9777423999999</v>
      </c>
      <c r="CO90" s="112">
        <f t="shared" si="86"/>
        <v>1960.1999999999996</v>
      </c>
      <c r="CP90" s="182">
        <f t="shared" si="84"/>
        <v>299.52</v>
      </c>
      <c r="CQ90" s="95">
        <f t="shared" si="85"/>
        <v>6165.1</v>
      </c>
      <c r="CR90" s="115">
        <f t="shared" si="59"/>
        <v>312</v>
      </c>
      <c r="CS90" s="113"/>
      <c r="CT90" s="113"/>
      <c r="CU90" s="187"/>
      <c r="CV90" s="187"/>
      <c r="CW90" s="240"/>
    </row>
    <row r="91" spans="1:101" s="51" customFormat="1" ht="19.899999999999999" customHeight="1" x14ac:dyDescent="0.3">
      <c r="A91" s="148" t="s">
        <v>200</v>
      </c>
      <c r="B91" s="50">
        <v>10011741021</v>
      </c>
      <c r="C91" s="148" t="s">
        <v>206</v>
      </c>
      <c r="D91" s="104" t="s">
        <v>171</v>
      </c>
      <c r="E91" s="104" t="s">
        <v>207</v>
      </c>
      <c r="F91" s="105">
        <v>3801.5</v>
      </c>
      <c r="G91" s="188">
        <v>0.96</v>
      </c>
      <c r="H91" s="118">
        <f t="shared" si="61"/>
        <v>3649.44</v>
      </c>
      <c r="I91" s="104"/>
      <c r="J91" s="107" t="s">
        <v>208</v>
      </c>
      <c r="K91" s="50" t="s">
        <v>209</v>
      </c>
      <c r="L91" s="104"/>
      <c r="M91" s="108" t="s">
        <v>150</v>
      </c>
      <c r="N91" s="108" t="s">
        <v>223</v>
      </c>
      <c r="O91" s="193">
        <v>628.29</v>
      </c>
      <c r="P91" s="193">
        <v>0</v>
      </c>
      <c r="Q91" s="193">
        <v>0</v>
      </c>
      <c r="R91" s="109"/>
      <c r="S91" s="193">
        <v>0</v>
      </c>
      <c r="T91" s="193">
        <v>33.44</v>
      </c>
      <c r="U91" s="193">
        <v>12.16</v>
      </c>
      <c r="V91" s="193">
        <v>0</v>
      </c>
      <c r="W91" s="193">
        <v>0</v>
      </c>
      <c r="X91" s="193"/>
      <c r="Y91" s="193"/>
      <c r="Z91" s="193"/>
      <c r="AA91" s="193"/>
      <c r="AB91" s="194">
        <v>0.89259999999999995</v>
      </c>
      <c r="AC91" s="194">
        <v>0.89259999999999995</v>
      </c>
      <c r="AD91" s="106">
        <v>0</v>
      </c>
      <c r="AE91" s="118">
        <v>3220</v>
      </c>
      <c r="AF91" s="106">
        <v>0</v>
      </c>
      <c r="AG91" s="106">
        <f t="shared" si="62"/>
        <v>3220</v>
      </c>
      <c r="AH91" s="106">
        <f t="shared" si="63"/>
        <v>2874.172</v>
      </c>
      <c r="AI91" s="106">
        <f t="shared" si="64"/>
        <v>0</v>
      </c>
      <c r="AJ91" s="106">
        <f t="shared" si="65"/>
        <v>1676</v>
      </c>
      <c r="AK91" s="106">
        <f t="shared" si="66"/>
        <v>0</v>
      </c>
      <c r="AL91" s="132">
        <f t="shared" si="67"/>
        <v>1676</v>
      </c>
      <c r="AM91" s="198">
        <f t="shared" si="68"/>
        <v>1495.9975999999999</v>
      </c>
      <c r="AN91" s="106">
        <v>0</v>
      </c>
      <c r="AO91" s="106">
        <v>1888</v>
      </c>
      <c r="AP91" s="106">
        <v>0</v>
      </c>
      <c r="AQ91" s="95">
        <f t="shared" si="69"/>
        <v>1888</v>
      </c>
      <c r="AR91" s="183">
        <f t="shared" si="70"/>
        <v>1685.2287999999999</v>
      </c>
      <c r="AS91" s="106">
        <v>0</v>
      </c>
      <c r="AT91" s="106">
        <v>1544</v>
      </c>
      <c r="AU91" s="106">
        <v>0</v>
      </c>
      <c r="AV91" s="106">
        <f t="shared" si="51"/>
        <v>1544</v>
      </c>
      <c r="AW91" s="106">
        <v>0</v>
      </c>
      <c r="AX91" s="106">
        <v>1235.2</v>
      </c>
      <c r="AY91" s="106">
        <v>0</v>
      </c>
      <c r="AZ91" s="106">
        <f t="shared" si="52"/>
        <v>1235.2</v>
      </c>
      <c r="BA91" s="197">
        <f t="shared" si="53"/>
        <v>1102.53952</v>
      </c>
      <c r="BB91" s="105">
        <f t="shared" si="71"/>
        <v>0</v>
      </c>
      <c r="BC91" s="105">
        <f t="shared" si="79"/>
        <v>0</v>
      </c>
      <c r="BD91" s="105">
        <f t="shared" si="72"/>
        <v>652.79999999999995</v>
      </c>
      <c r="BE91" s="105">
        <f t="shared" si="80"/>
        <v>582.68927999999994</v>
      </c>
      <c r="BF91" s="105">
        <f t="shared" si="73"/>
        <v>0</v>
      </c>
      <c r="BG91" s="105">
        <f t="shared" si="81"/>
        <v>0</v>
      </c>
      <c r="BH91" s="105">
        <f t="shared" si="74"/>
        <v>652.79999999999995</v>
      </c>
      <c r="BI91" s="105">
        <f t="shared" si="75"/>
        <v>582.68927999999994</v>
      </c>
      <c r="BJ91" s="186">
        <f t="shared" si="76"/>
        <v>2911.2</v>
      </c>
      <c r="BK91" s="182">
        <f t="shared" si="77"/>
        <v>2598.5371199999995</v>
      </c>
      <c r="BL91" s="98">
        <f t="shared" si="78"/>
        <v>2911.2</v>
      </c>
      <c r="BM91" s="99">
        <f t="shared" si="54"/>
        <v>0</v>
      </c>
      <c r="BN91" s="99">
        <f t="shared" si="55"/>
        <v>1235.2</v>
      </c>
      <c r="BO91" s="196"/>
      <c r="BP91" s="203">
        <v>0.89259999999999995</v>
      </c>
      <c r="BQ91" s="121"/>
      <c r="BR91" s="196">
        <f t="shared" si="82"/>
        <v>1102.53952</v>
      </c>
      <c r="BS91" s="95">
        <v>0</v>
      </c>
      <c r="BT91" s="242">
        <v>0.71062999999999998</v>
      </c>
      <c r="BU91" s="196">
        <f t="shared" si="83"/>
        <v>0</v>
      </c>
      <c r="BV91" s="106"/>
      <c r="BW91" s="196"/>
      <c r="BX91" s="196"/>
      <c r="BY91" s="118"/>
      <c r="BZ91" s="188"/>
      <c r="CA91" s="118"/>
      <c r="CB91" s="118"/>
      <c r="CC91" s="188"/>
      <c r="CD91" s="106"/>
      <c r="CE91" s="106"/>
      <c r="CF91" s="196"/>
      <c r="CG91" s="106"/>
      <c r="CH91" s="106"/>
      <c r="CI91" s="196"/>
      <c r="CJ91" s="106"/>
      <c r="CK91" s="106"/>
      <c r="CL91" s="196"/>
      <c r="CM91" s="106"/>
      <c r="CN91" s="182">
        <f t="shared" si="58"/>
        <v>2598.5371199999995</v>
      </c>
      <c r="CO91" s="112">
        <f t="shared" si="86"/>
        <v>2268.9999999999995</v>
      </c>
      <c r="CP91" s="182">
        <f t="shared" si="84"/>
        <v>296.44799999999992</v>
      </c>
      <c r="CQ91" s="95">
        <f t="shared" si="85"/>
        <v>4799.2</v>
      </c>
      <c r="CR91" s="115">
        <f t="shared" si="59"/>
        <v>308.79999999999995</v>
      </c>
      <c r="CS91" s="113"/>
      <c r="CT91" s="113"/>
      <c r="CU91" s="187"/>
      <c r="CV91" s="187"/>
      <c r="CW91" s="240"/>
    </row>
    <row r="92" spans="1:101" s="51" customFormat="1" ht="19.899999999999999" customHeight="1" x14ac:dyDescent="0.3">
      <c r="A92" s="92" t="s">
        <v>200</v>
      </c>
      <c r="B92" s="49">
        <v>10011741021</v>
      </c>
      <c r="C92" s="92" t="s">
        <v>206</v>
      </c>
      <c r="D92" s="93" t="s">
        <v>171</v>
      </c>
      <c r="E92" s="93" t="s">
        <v>207</v>
      </c>
      <c r="F92" s="94">
        <v>3801.5</v>
      </c>
      <c r="G92" s="182">
        <v>0.96</v>
      </c>
      <c r="H92" s="95">
        <f t="shared" si="61"/>
        <v>3649.44</v>
      </c>
      <c r="I92" s="93"/>
      <c r="J92" s="96" t="s">
        <v>208</v>
      </c>
      <c r="K92" s="49" t="s">
        <v>209</v>
      </c>
      <c r="L92" s="93"/>
      <c r="M92" s="97" t="s">
        <v>152</v>
      </c>
      <c r="N92" s="97" t="s">
        <v>224</v>
      </c>
      <c r="O92" s="183">
        <v>844.94</v>
      </c>
      <c r="P92" s="183">
        <v>0</v>
      </c>
      <c r="Q92" s="183">
        <v>0</v>
      </c>
      <c r="R92" s="131"/>
      <c r="S92" s="183">
        <v>0</v>
      </c>
      <c r="T92" s="183">
        <v>0</v>
      </c>
      <c r="U92" s="183">
        <v>17.02</v>
      </c>
      <c r="V92" s="183">
        <v>0</v>
      </c>
      <c r="W92" s="183">
        <v>0</v>
      </c>
      <c r="X92" s="183"/>
      <c r="Y92" s="183"/>
      <c r="Z92" s="183">
        <v>-98.6</v>
      </c>
      <c r="AA92" s="183"/>
      <c r="AB92" s="184">
        <v>0.89019899999999996</v>
      </c>
      <c r="AC92" s="184">
        <v>0.89019899999999996</v>
      </c>
      <c r="AD92" s="95">
        <v>0</v>
      </c>
      <c r="AE92" s="95">
        <v>3328.4</v>
      </c>
      <c r="AF92" s="95">
        <v>0</v>
      </c>
      <c r="AG92" s="95">
        <f t="shared" si="62"/>
        <v>3328.4</v>
      </c>
      <c r="AH92" s="95">
        <f t="shared" si="63"/>
        <v>2962.9383515999998</v>
      </c>
      <c r="AI92" s="95">
        <f t="shared" si="64"/>
        <v>0</v>
      </c>
      <c r="AJ92" s="95">
        <f t="shared" si="65"/>
        <v>1944.4</v>
      </c>
      <c r="AK92" s="95">
        <f t="shared" si="66"/>
        <v>0</v>
      </c>
      <c r="AL92" s="133">
        <f t="shared" si="67"/>
        <v>1944.4</v>
      </c>
      <c r="AM92" s="199">
        <f t="shared" si="68"/>
        <v>1730.9029356000001</v>
      </c>
      <c r="AN92" s="106">
        <v>0</v>
      </c>
      <c r="AO92" s="106">
        <v>2148</v>
      </c>
      <c r="AP92" s="106">
        <v>0</v>
      </c>
      <c r="AQ92" s="95">
        <f t="shared" si="69"/>
        <v>2148</v>
      </c>
      <c r="AR92" s="183">
        <f t="shared" si="70"/>
        <v>1912.1474519999999</v>
      </c>
      <c r="AS92" s="106">
        <v>0</v>
      </c>
      <c r="AT92" s="106">
        <v>1384</v>
      </c>
      <c r="AU92" s="106">
        <v>0</v>
      </c>
      <c r="AV92" s="106">
        <f t="shared" si="51"/>
        <v>1384</v>
      </c>
      <c r="AW92" s="106">
        <v>0</v>
      </c>
      <c r="AX92" s="106">
        <v>1107.2</v>
      </c>
      <c r="AY92" s="106">
        <v>0</v>
      </c>
      <c r="AZ92" s="106">
        <f t="shared" si="52"/>
        <v>1107.2</v>
      </c>
      <c r="BA92" s="197">
        <f t="shared" si="53"/>
        <v>985.62833279999995</v>
      </c>
      <c r="BB92" s="105">
        <f t="shared" si="71"/>
        <v>0</v>
      </c>
      <c r="BC92" s="105">
        <f t="shared" si="79"/>
        <v>0</v>
      </c>
      <c r="BD92" s="105">
        <f t="shared" si="72"/>
        <v>1040.8</v>
      </c>
      <c r="BE92" s="105">
        <f t="shared" si="80"/>
        <v>926.51911919999998</v>
      </c>
      <c r="BF92" s="105">
        <f t="shared" si="73"/>
        <v>0</v>
      </c>
      <c r="BG92" s="105">
        <f t="shared" si="81"/>
        <v>0</v>
      </c>
      <c r="BH92" s="105">
        <f t="shared" si="74"/>
        <v>1040.8</v>
      </c>
      <c r="BI92" s="105">
        <f t="shared" si="75"/>
        <v>926.51911919999998</v>
      </c>
      <c r="BJ92" s="186">
        <f t="shared" si="76"/>
        <v>3051.6000000000004</v>
      </c>
      <c r="BK92" s="182">
        <f t="shared" si="77"/>
        <v>2716.5312684</v>
      </c>
      <c r="BL92" s="98">
        <f t="shared" si="78"/>
        <v>3051.6000000000004</v>
      </c>
      <c r="BM92" s="99">
        <f t="shared" si="54"/>
        <v>0</v>
      </c>
      <c r="BN92" s="99">
        <f t="shared" si="55"/>
        <v>1107.2</v>
      </c>
      <c r="BO92" s="196"/>
      <c r="BP92" s="203">
        <v>0.89019899999999996</v>
      </c>
      <c r="BQ92" s="121"/>
      <c r="BR92" s="196">
        <f t="shared" si="82"/>
        <v>985.62833279999995</v>
      </c>
      <c r="BS92" s="95">
        <v>0</v>
      </c>
      <c r="BT92" s="242">
        <v>0.71062999999999998</v>
      </c>
      <c r="BU92" s="196">
        <f t="shared" si="83"/>
        <v>0</v>
      </c>
      <c r="BV92" s="106"/>
      <c r="BW92" s="196"/>
      <c r="BX92" s="196"/>
      <c r="BY92" s="95"/>
      <c r="BZ92" s="182"/>
      <c r="CA92" s="95"/>
      <c r="CB92" s="95"/>
      <c r="CC92" s="182"/>
      <c r="CD92" s="106"/>
      <c r="CE92" s="106"/>
      <c r="CF92" s="196"/>
      <c r="CG92" s="106"/>
      <c r="CH92" s="106"/>
      <c r="CI92" s="196"/>
      <c r="CJ92" s="106"/>
      <c r="CK92" s="106"/>
      <c r="CL92" s="196"/>
      <c r="CM92" s="106"/>
      <c r="CN92" s="182">
        <f t="shared" si="58"/>
        <v>2716.5312684</v>
      </c>
      <c r="CO92" s="112">
        <f t="shared" si="86"/>
        <v>2545.7999999999993</v>
      </c>
      <c r="CP92" s="182">
        <f t="shared" si="84"/>
        <v>265.72799999999995</v>
      </c>
      <c r="CQ92" s="95">
        <f t="shared" si="85"/>
        <v>5199.6000000000004</v>
      </c>
      <c r="CR92" s="115">
        <f t="shared" si="59"/>
        <v>276.79999999999995</v>
      </c>
      <c r="CS92" s="113"/>
      <c r="CT92" s="113"/>
      <c r="CU92" s="187"/>
      <c r="CV92" s="187"/>
      <c r="CW92" s="240"/>
    </row>
    <row r="93" spans="1:101" s="51" customFormat="1" ht="19.899999999999999" customHeight="1" x14ac:dyDescent="0.3">
      <c r="A93" s="148" t="s">
        <v>200</v>
      </c>
      <c r="B93" s="50">
        <v>10011741021</v>
      </c>
      <c r="C93" s="148" t="s">
        <v>206</v>
      </c>
      <c r="D93" s="104" t="s">
        <v>171</v>
      </c>
      <c r="E93" s="104" t="s">
        <v>207</v>
      </c>
      <c r="F93" s="105">
        <v>3801.5</v>
      </c>
      <c r="G93" s="188">
        <v>0.96</v>
      </c>
      <c r="H93" s="118">
        <f t="shared" si="61"/>
        <v>3649.44</v>
      </c>
      <c r="I93" s="104"/>
      <c r="J93" s="107" t="s">
        <v>208</v>
      </c>
      <c r="K93" s="50" t="s">
        <v>209</v>
      </c>
      <c r="L93" s="93"/>
      <c r="M93" s="97" t="s">
        <v>155</v>
      </c>
      <c r="N93" s="97" t="s">
        <v>225</v>
      </c>
      <c r="O93" s="183">
        <v>919.76</v>
      </c>
      <c r="P93" s="183">
        <v>0</v>
      </c>
      <c r="Q93" s="183">
        <v>0</v>
      </c>
      <c r="R93" s="131"/>
      <c r="S93" s="183">
        <v>0</v>
      </c>
      <c r="T93" s="183">
        <v>15.73</v>
      </c>
      <c r="U93" s="183">
        <v>20.8</v>
      </c>
      <c r="V93" s="183">
        <v>0</v>
      </c>
      <c r="W93" s="183">
        <v>0</v>
      </c>
      <c r="X93" s="183"/>
      <c r="Y93" s="183"/>
      <c r="Z93" s="183"/>
      <c r="AA93" s="183"/>
      <c r="AB93" s="184">
        <v>0.90829599999999999</v>
      </c>
      <c r="AC93" s="184">
        <v>0.90829599999999999</v>
      </c>
      <c r="AD93" s="95">
        <v>0</v>
      </c>
      <c r="AE93" s="95">
        <v>3756</v>
      </c>
      <c r="AF93" s="95">
        <v>0</v>
      </c>
      <c r="AG93" s="95">
        <f t="shared" si="62"/>
        <v>3756</v>
      </c>
      <c r="AH93" s="95">
        <f t="shared" si="63"/>
        <v>3411.5597760000001</v>
      </c>
      <c r="AI93" s="95">
        <f t="shared" si="64"/>
        <v>0</v>
      </c>
      <c r="AJ93" s="95">
        <f t="shared" si="65"/>
        <v>2089</v>
      </c>
      <c r="AK93" s="95">
        <f t="shared" si="66"/>
        <v>0</v>
      </c>
      <c r="AL93" s="133">
        <f t="shared" si="67"/>
        <v>2089</v>
      </c>
      <c r="AM93" s="199">
        <f t="shared" si="68"/>
        <v>1897.4303439999999</v>
      </c>
      <c r="AN93" s="106">
        <v>0</v>
      </c>
      <c r="AO93" s="106">
        <v>2306</v>
      </c>
      <c r="AP93" s="106">
        <v>0</v>
      </c>
      <c r="AQ93" s="95">
        <f t="shared" si="69"/>
        <v>2306</v>
      </c>
      <c r="AR93" s="183">
        <f t="shared" si="70"/>
        <v>2094.5305760000001</v>
      </c>
      <c r="AS93" s="106">
        <v>0</v>
      </c>
      <c r="AT93" s="106">
        <v>1667</v>
      </c>
      <c r="AU93" s="106">
        <v>0</v>
      </c>
      <c r="AV93" s="106">
        <f t="shared" ref="AV93:AV124" si="87">SUM(AS93:AU93)</f>
        <v>1667</v>
      </c>
      <c r="AW93" s="106">
        <v>0</v>
      </c>
      <c r="AX93" s="106">
        <v>1333.6</v>
      </c>
      <c r="AY93" s="106">
        <v>0</v>
      </c>
      <c r="AZ93" s="106">
        <f t="shared" ref="AZ93:AZ124" si="88">SUM(AW93:AY93)</f>
        <v>1333.6</v>
      </c>
      <c r="BA93" s="197">
        <f t="shared" ref="BA93:BA124" si="89">(AW93*AB93)+((AX93+AY93)*AC93)</f>
        <v>1211.3035456</v>
      </c>
      <c r="BB93" s="105">
        <f t="shared" si="71"/>
        <v>0</v>
      </c>
      <c r="BC93" s="105">
        <f t="shared" si="79"/>
        <v>0</v>
      </c>
      <c r="BD93" s="105">
        <f t="shared" si="72"/>
        <v>972.40000000000009</v>
      </c>
      <c r="BE93" s="105">
        <f t="shared" si="80"/>
        <v>883.2270304000001</v>
      </c>
      <c r="BF93" s="105">
        <f t="shared" si="73"/>
        <v>0</v>
      </c>
      <c r="BG93" s="105">
        <f t="shared" si="81"/>
        <v>0</v>
      </c>
      <c r="BH93" s="105">
        <f t="shared" si="74"/>
        <v>972.40000000000009</v>
      </c>
      <c r="BI93" s="105">
        <f t="shared" si="75"/>
        <v>883.2270304000001</v>
      </c>
      <c r="BJ93" s="186">
        <f t="shared" si="76"/>
        <v>3476.6</v>
      </c>
      <c r="BK93" s="182">
        <f t="shared" si="77"/>
        <v>3108.7338896000001</v>
      </c>
      <c r="BL93" s="98">
        <f t="shared" si="78"/>
        <v>3422.6</v>
      </c>
      <c r="BM93" s="99">
        <f t="shared" ref="BM93:BM124" si="90">AW93</f>
        <v>0</v>
      </c>
      <c r="BN93" s="99">
        <f t="shared" ref="BN93:BN124" si="91">AX93+AY93</f>
        <v>1333.6</v>
      </c>
      <c r="BO93" s="196"/>
      <c r="BP93" s="203">
        <v>0.90829599999999999</v>
      </c>
      <c r="BQ93" s="121"/>
      <c r="BR93" s="196">
        <f t="shared" si="82"/>
        <v>1211.3035456</v>
      </c>
      <c r="BS93" s="95">
        <v>54</v>
      </c>
      <c r="BT93" s="242">
        <v>0.71062999999999998</v>
      </c>
      <c r="BU93" s="196">
        <f t="shared" si="83"/>
        <v>38.374020000000002</v>
      </c>
      <c r="BV93" s="106"/>
      <c r="BW93" s="196"/>
      <c r="BX93" s="196"/>
      <c r="BY93" s="118"/>
      <c r="BZ93" s="188"/>
      <c r="CA93" s="118"/>
      <c r="CB93" s="118"/>
      <c r="CC93" s="188"/>
      <c r="CD93" s="106"/>
      <c r="CE93" s="106"/>
      <c r="CF93" s="196"/>
      <c r="CG93" s="106"/>
      <c r="CH93" s="106"/>
      <c r="CI93" s="196"/>
      <c r="CJ93" s="106"/>
      <c r="CK93" s="106"/>
      <c r="CL93" s="196"/>
      <c r="CM93" s="106"/>
      <c r="CN93" s="182">
        <f t="shared" ref="CN93:CN124" si="92">BK93+BU93+BX93+CA93+CD93+CG93+CJ93+CM93</f>
        <v>3147.1079096000003</v>
      </c>
      <c r="CO93" s="112"/>
      <c r="CP93" s="182">
        <f t="shared" si="84"/>
        <v>268.2240000000001</v>
      </c>
      <c r="CQ93" s="95">
        <f t="shared" si="85"/>
        <v>5728.6</v>
      </c>
      <c r="CR93" s="115">
        <f t="shared" ref="CR93:CR124" si="93">AV93-AZ93-BS93-BV93-BY93-CB93</f>
        <v>279.40000000000009</v>
      </c>
      <c r="CS93" s="113"/>
      <c r="CT93" s="113"/>
      <c r="CU93" s="187"/>
      <c r="CV93" s="187"/>
      <c r="CW93" s="240"/>
    </row>
    <row r="94" spans="1:101" s="51" customFormat="1" ht="19.899999999999999" customHeight="1" x14ac:dyDescent="0.3">
      <c r="A94" s="92" t="s">
        <v>200</v>
      </c>
      <c r="B94" s="49">
        <v>10025013856</v>
      </c>
      <c r="C94" s="92" t="s">
        <v>226</v>
      </c>
      <c r="D94" s="93" t="s">
        <v>226</v>
      </c>
      <c r="E94" s="93" t="s">
        <v>173</v>
      </c>
      <c r="F94" s="94">
        <v>17716</v>
      </c>
      <c r="G94" s="182">
        <v>0.68799999999999994</v>
      </c>
      <c r="H94" s="95">
        <f t="shared" si="61"/>
        <v>12188.607999999998</v>
      </c>
      <c r="I94" s="104" t="s">
        <v>173</v>
      </c>
      <c r="J94" s="107" t="s">
        <v>227</v>
      </c>
      <c r="K94" s="50" t="s">
        <v>228</v>
      </c>
      <c r="L94" s="104"/>
      <c r="M94" s="108" t="s">
        <v>129</v>
      </c>
      <c r="N94" s="108" t="s">
        <v>177</v>
      </c>
      <c r="O94" s="193">
        <v>1192.06</v>
      </c>
      <c r="P94" s="193">
        <v>0</v>
      </c>
      <c r="Q94" s="193">
        <v>1176.29</v>
      </c>
      <c r="R94" s="109"/>
      <c r="S94" s="193">
        <v>0.45</v>
      </c>
      <c r="T94" s="193">
        <v>0</v>
      </c>
      <c r="U94" s="193">
        <v>15.32</v>
      </c>
      <c r="V94" s="193">
        <v>0</v>
      </c>
      <c r="W94" s="193">
        <v>0</v>
      </c>
      <c r="X94" s="193"/>
      <c r="Y94" s="193"/>
      <c r="Z94" s="193"/>
      <c r="AA94" s="193"/>
      <c r="AB94" s="194">
        <v>2.4494500000000001</v>
      </c>
      <c r="AC94" s="194">
        <v>0.52832999999999997</v>
      </c>
      <c r="AD94" s="106">
        <v>6.19</v>
      </c>
      <c r="AE94" s="118">
        <v>8866.64</v>
      </c>
      <c r="AF94" s="106">
        <v>8.43</v>
      </c>
      <c r="AG94" s="106">
        <f t="shared" si="62"/>
        <v>8881.26</v>
      </c>
      <c r="AH94" s="106">
        <f t="shared" si="63"/>
        <v>4704.1278285999997</v>
      </c>
      <c r="AI94" s="106">
        <f t="shared" si="64"/>
        <v>6.15</v>
      </c>
      <c r="AJ94" s="106">
        <f t="shared" si="65"/>
        <v>2570.869999999999</v>
      </c>
      <c r="AK94" s="106">
        <f t="shared" si="66"/>
        <v>7.26</v>
      </c>
      <c r="AL94" s="132">
        <f t="shared" si="67"/>
        <v>2584.2799999999993</v>
      </c>
      <c r="AM94" s="198">
        <f t="shared" si="68"/>
        <v>1377.1675403999996</v>
      </c>
      <c r="AN94" s="106">
        <v>254.4</v>
      </c>
      <c r="AO94" s="106">
        <v>1862.22</v>
      </c>
      <c r="AP94" s="106">
        <v>600.24</v>
      </c>
      <c r="AQ94" s="106">
        <f t="shared" si="69"/>
        <v>2716.8599999999997</v>
      </c>
      <c r="AR94" s="193">
        <f t="shared" si="70"/>
        <v>1924.1315718000001</v>
      </c>
      <c r="AS94" s="106">
        <v>0.04</v>
      </c>
      <c r="AT94" s="106">
        <v>6295.77</v>
      </c>
      <c r="AU94" s="106">
        <v>1.17</v>
      </c>
      <c r="AV94" s="106">
        <f t="shared" si="87"/>
        <v>6296.9800000000005</v>
      </c>
      <c r="AW94" s="106">
        <v>254.4</v>
      </c>
      <c r="AX94" s="106">
        <v>1862.22</v>
      </c>
      <c r="AY94" s="106">
        <v>600.24</v>
      </c>
      <c r="AZ94" s="106">
        <f t="shared" si="88"/>
        <v>2716.8599999999997</v>
      </c>
      <c r="BA94" s="197">
        <f t="shared" si="89"/>
        <v>1924.1315718000001</v>
      </c>
      <c r="BB94" s="105">
        <f t="shared" si="71"/>
        <v>0</v>
      </c>
      <c r="BC94" s="105">
        <f t="shared" si="79"/>
        <v>0</v>
      </c>
      <c r="BD94" s="105">
        <f t="shared" si="72"/>
        <v>0</v>
      </c>
      <c r="BE94" s="105">
        <f t="shared" si="80"/>
        <v>0</v>
      </c>
      <c r="BF94" s="105">
        <f t="shared" si="73"/>
        <v>0</v>
      </c>
      <c r="BG94" s="105">
        <f t="shared" si="81"/>
        <v>0</v>
      </c>
      <c r="BH94" s="105">
        <f t="shared" si="74"/>
        <v>0</v>
      </c>
      <c r="BI94" s="105">
        <f t="shared" si="75"/>
        <v>0</v>
      </c>
      <c r="BJ94" s="186">
        <f t="shared" si="76"/>
        <v>5301.1399999999994</v>
      </c>
      <c r="BK94" s="182">
        <f t="shared" si="77"/>
        <v>3301.2991121999994</v>
      </c>
      <c r="BL94" s="98">
        <f t="shared" si="78"/>
        <v>5301.1399999999994</v>
      </c>
      <c r="BM94" s="99">
        <f t="shared" si="90"/>
        <v>254.4</v>
      </c>
      <c r="BN94" s="99">
        <f t="shared" si="91"/>
        <v>2462.46</v>
      </c>
      <c r="BO94" s="244">
        <v>2.4494500000000001</v>
      </c>
      <c r="BP94" s="244">
        <v>0.52832999999999997</v>
      </c>
      <c r="BQ94" s="182">
        <f t="shared" ref="BQ94:BQ109" si="94">BM94*BO94</f>
        <v>623.14008000000001</v>
      </c>
      <c r="BR94" s="182">
        <f t="shared" si="82"/>
        <v>1300.9914917999999</v>
      </c>
      <c r="BS94" s="106">
        <v>0</v>
      </c>
      <c r="BT94" s="245"/>
      <c r="BU94" s="182">
        <f t="shared" si="83"/>
        <v>0</v>
      </c>
      <c r="BV94" s="106">
        <v>0</v>
      </c>
      <c r="BW94" s="202">
        <v>0.67098999999999998</v>
      </c>
      <c r="BX94" s="182">
        <f t="shared" ref="BX94:BX139" si="95">BV94*BW94</f>
        <v>0</v>
      </c>
      <c r="BY94" s="106">
        <v>0</v>
      </c>
      <c r="BZ94" s="202">
        <v>0.67098999999999998</v>
      </c>
      <c r="CA94" s="95">
        <f t="shared" ref="CA94:CA122" si="96">BY94*BZ94</f>
        <v>0</v>
      </c>
      <c r="CB94" s="106"/>
      <c r="CC94" s="196"/>
      <c r="CD94" s="106"/>
      <c r="CE94" s="106"/>
      <c r="CF94" s="196"/>
      <c r="CG94" s="106"/>
      <c r="CH94" s="106"/>
      <c r="CI94" s="196"/>
      <c r="CJ94" s="106"/>
      <c r="CK94" s="106"/>
      <c r="CL94" s="196"/>
      <c r="CM94" s="106"/>
      <c r="CN94" s="182">
        <f t="shared" si="92"/>
        <v>3301.2991121999994</v>
      </c>
      <c r="CO94" s="105">
        <f>AV94-AZ94</f>
        <v>3580.1200000000008</v>
      </c>
      <c r="CP94" s="182">
        <f t="shared" si="84"/>
        <v>2463.1225600000002</v>
      </c>
      <c r="CQ94" s="95">
        <f t="shared" si="85"/>
        <v>8017.9999999999991</v>
      </c>
      <c r="CR94" s="115">
        <f t="shared" si="93"/>
        <v>3580.1200000000008</v>
      </c>
      <c r="CS94" s="113"/>
      <c r="CT94" s="205"/>
      <c r="CU94" s="187"/>
      <c r="CV94" s="187"/>
      <c r="CW94" s="240"/>
    </row>
    <row r="95" spans="1:101" s="51" customFormat="1" ht="19.899999999999999" customHeight="1" x14ac:dyDescent="0.3">
      <c r="A95" s="148" t="s">
        <v>200</v>
      </c>
      <c r="B95" s="50">
        <v>10025013856</v>
      </c>
      <c r="C95" s="148" t="s">
        <v>226</v>
      </c>
      <c r="D95" s="104" t="s">
        <v>226</v>
      </c>
      <c r="E95" s="104" t="s">
        <v>173</v>
      </c>
      <c r="F95" s="105">
        <v>17716</v>
      </c>
      <c r="G95" s="188">
        <v>0.68799999999999994</v>
      </c>
      <c r="H95" s="118">
        <f t="shared" si="61"/>
        <v>12188.607999999998</v>
      </c>
      <c r="I95" s="93" t="s">
        <v>173</v>
      </c>
      <c r="J95" s="96" t="s">
        <v>227</v>
      </c>
      <c r="K95" s="49" t="s">
        <v>228</v>
      </c>
      <c r="L95" s="93"/>
      <c r="M95" s="97" t="s">
        <v>159</v>
      </c>
      <c r="N95" s="97" t="s">
        <v>162</v>
      </c>
      <c r="O95" s="183">
        <v>1155.19</v>
      </c>
      <c r="P95" s="183">
        <v>0</v>
      </c>
      <c r="Q95" s="183">
        <v>1139</v>
      </c>
      <c r="R95" s="131"/>
      <c r="S95" s="183">
        <v>0.87</v>
      </c>
      <c r="T95" s="183">
        <v>0</v>
      </c>
      <c r="U95" s="183">
        <v>15.32</v>
      </c>
      <c r="V95" s="183">
        <v>0</v>
      </c>
      <c r="W95" s="183">
        <v>0</v>
      </c>
      <c r="X95" s="183"/>
      <c r="Y95" s="183"/>
      <c r="Z95" s="183"/>
      <c r="AA95" s="183"/>
      <c r="AB95" s="184">
        <v>2.3717999999999999</v>
      </c>
      <c r="AC95" s="184">
        <v>0.51156000000000001</v>
      </c>
      <c r="AD95" s="95">
        <v>21.37</v>
      </c>
      <c r="AE95" s="95">
        <v>16031.08</v>
      </c>
      <c r="AF95" s="95">
        <v>12.18</v>
      </c>
      <c r="AG95" s="95">
        <f t="shared" si="62"/>
        <v>16064.630000000001</v>
      </c>
      <c r="AH95" s="95">
        <f t="shared" si="63"/>
        <v>8257.7754516000005</v>
      </c>
      <c r="AI95" s="95">
        <f t="shared" si="64"/>
        <v>21.25</v>
      </c>
      <c r="AJ95" s="95">
        <f t="shared" si="65"/>
        <v>3379.8700000000008</v>
      </c>
      <c r="AK95" s="95">
        <f t="shared" si="66"/>
        <v>12.18</v>
      </c>
      <c r="AL95" s="133">
        <f t="shared" si="67"/>
        <v>3413.3000000000006</v>
      </c>
      <c r="AM95" s="199">
        <f t="shared" si="68"/>
        <v>1785.6378480000003</v>
      </c>
      <c r="AN95" s="95">
        <v>258.44</v>
      </c>
      <c r="AO95" s="95">
        <v>591.63</v>
      </c>
      <c r="AP95" s="95">
        <v>654.36</v>
      </c>
      <c r="AQ95" s="95">
        <f t="shared" si="69"/>
        <v>1504.4299999999998</v>
      </c>
      <c r="AR95" s="183">
        <f t="shared" si="70"/>
        <v>1250.3666364000001</v>
      </c>
      <c r="AS95" s="95">
        <v>0.12</v>
      </c>
      <c r="AT95" s="95">
        <v>12651.21</v>
      </c>
      <c r="AU95" s="95">
        <v>0</v>
      </c>
      <c r="AV95" s="95">
        <f t="shared" si="87"/>
        <v>12651.33</v>
      </c>
      <c r="AW95" s="95">
        <v>258.44</v>
      </c>
      <c r="AX95" s="95">
        <v>591.63</v>
      </c>
      <c r="AY95" s="95">
        <v>654.36</v>
      </c>
      <c r="AZ95" s="95">
        <f t="shared" si="88"/>
        <v>1504.4299999999998</v>
      </c>
      <c r="BA95" s="197">
        <f t="shared" si="89"/>
        <v>1250.3666364000001</v>
      </c>
      <c r="BB95" s="94">
        <f t="shared" si="71"/>
        <v>0</v>
      </c>
      <c r="BC95" s="105">
        <f t="shared" si="79"/>
        <v>0</v>
      </c>
      <c r="BD95" s="94">
        <f t="shared" si="72"/>
        <v>0</v>
      </c>
      <c r="BE95" s="94">
        <f t="shared" si="80"/>
        <v>0</v>
      </c>
      <c r="BF95" s="94">
        <f t="shared" si="73"/>
        <v>0</v>
      </c>
      <c r="BG95" s="94">
        <f t="shared" si="81"/>
        <v>0</v>
      </c>
      <c r="BH95" s="94">
        <f t="shared" si="74"/>
        <v>0</v>
      </c>
      <c r="BI95" s="94">
        <f t="shared" si="75"/>
        <v>0</v>
      </c>
      <c r="BJ95" s="186">
        <f t="shared" si="76"/>
        <v>4917.7300000000005</v>
      </c>
      <c r="BK95" s="182">
        <f t="shared" si="77"/>
        <v>3036.0044844000008</v>
      </c>
      <c r="BL95" s="98">
        <f t="shared" si="78"/>
        <v>4917.7300000000005</v>
      </c>
      <c r="BM95" s="99">
        <f t="shared" si="90"/>
        <v>258.44</v>
      </c>
      <c r="BN95" s="99">
        <f t="shared" si="91"/>
        <v>1245.99</v>
      </c>
      <c r="BO95" s="246">
        <v>2.3717999999999999</v>
      </c>
      <c r="BP95" s="246">
        <v>0.51156000000000001</v>
      </c>
      <c r="BQ95" s="182">
        <f t="shared" si="94"/>
        <v>612.96799199999998</v>
      </c>
      <c r="BR95" s="182">
        <f t="shared" si="82"/>
        <v>637.39864439999997</v>
      </c>
      <c r="BS95" s="95">
        <v>0</v>
      </c>
      <c r="BT95" s="247">
        <v>0.67098999999999998</v>
      </c>
      <c r="BU95" s="182">
        <f t="shared" si="83"/>
        <v>0</v>
      </c>
      <c r="BV95" s="106">
        <v>0</v>
      </c>
      <c r="BW95" s="190">
        <v>0.67098999999999998</v>
      </c>
      <c r="BX95" s="182">
        <f t="shared" si="95"/>
        <v>0</v>
      </c>
      <c r="BY95" s="95">
        <v>0</v>
      </c>
      <c r="BZ95" s="190">
        <v>0.67098999999999998</v>
      </c>
      <c r="CA95" s="95">
        <f t="shared" si="96"/>
        <v>0</v>
      </c>
      <c r="CB95" s="95"/>
      <c r="CC95" s="182"/>
      <c r="CD95" s="95"/>
      <c r="CE95" s="95"/>
      <c r="CF95" s="182"/>
      <c r="CG95" s="95"/>
      <c r="CH95" s="95"/>
      <c r="CI95" s="182"/>
      <c r="CJ95" s="95"/>
      <c r="CK95" s="95"/>
      <c r="CL95" s="182"/>
      <c r="CM95" s="95"/>
      <c r="CN95" s="182">
        <f t="shared" si="92"/>
        <v>3036.0044844000008</v>
      </c>
      <c r="CO95" s="105">
        <f t="shared" ref="CO95:CO109" si="97">(AV95-(AZ95+BV95+BY95+CB95+CE95+CH95+CK95+BS95)+CO94)</f>
        <v>14727.02</v>
      </c>
      <c r="CP95" s="182">
        <f t="shared" si="84"/>
        <v>7669.0671999999995</v>
      </c>
      <c r="CQ95" s="95">
        <f t="shared" si="85"/>
        <v>6422.16</v>
      </c>
      <c r="CR95" s="115">
        <f t="shared" si="93"/>
        <v>11146.9</v>
      </c>
      <c r="CS95" s="113"/>
      <c r="CT95" s="205"/>
      <c r="CU95" s="187"/>
      <c r="CV95" s="187"/>
      <c r="CW95" s="240"/>
    </row>
    <row r="96" spans="1:101" s="51" customFormat="1" ht="19.899999999999999" customHeight="1" x14ac:dyDescent="0.3">
      <c r="A96" s="92" t="s">
        <v>200</v>
      </c>
      <c r="B96" s="49">
        <v>10025013856</v>
      </c>
      <c r="C96" s="92" t="s">
        <v>226</v>
      </c>
      <c r="D96" s="93" t="s">
        <v>226</v>
      </c>
      <c r="E96" s="93" t="s">
        <v>173</v>
      </c>
      <c r="F96" s="94">
        <v>17716</v>
      </c>
      <c r="G96" s="182">
        <v>0.68799999999999994</v>
      </c>
      <c r="H96" s="95">
        <f t="shared" si="61"/>
        <v>12188.607999999998</v>
      </c>
      <c r="I96" s="104" t="s">
        <v>173</v>
      </c>
      <c r="J96" s="107" t="s">
        <v>227</v>
      </c>
      <c r="K96" s="50" t="s">
        <v>228</v>
      </c>
      <c r="L96" s="104"/>
      <c r="M96" s="108" t="s">
        <v>163</v>
      </c>
      <c r="N96" s="108" t="s">
        <v>164</v>
      </c>
      <c r="O96" s="193">
        <v>398.35</v>
      </c>
      <c r="P96" s="193">
        <v>0</v>
      </c>
      <c r="Q96" s="193">
        <v>1138.07</v>
      </c>
      <c r="R96" s="109"/>
      <c r="S96" s="193">
        <v>0.47</v>
      </c>
      <c r="T96" s="193">
        <v>0</v>
      </c>
      <c r="U96" s="193">
        <v>15.32</v>
      </c>
      <c r="V96" s="193"/>
      <c r="W96" s="193">
        <v>0</v>
      </c>
      <c r="X96" s="193"/>
      <c r="Y96" s="193"/>
      <c r="Z96" s="193">
        <v>-755.51</v>
      </c>
      <c r="AA96" s="193"/>
      <c r="AB96" s="194">
        <v>2.36985</v>
      </c>
      <c r="AC96" s="194">
        <v>0.51114999999999999</v>
      </c>
      <c r="AD96" s="106">
        <v>48.6</v>
      </c>
      <c r="AE96" s="118">
        <v>16926.05</v>
      </c>
      <c r="AF96" s="106">
        <v>2.06</v>
      </c>
      <c r="AG96" s="106">
        <f t="shared" si="62"/>
        <v>16976.71</v>
      </c>
      <c r="AH96" s="106">
        <f t="shared" si="63"/>
        <v>8767.9781364999999</v>
      </c>
      <c r="AI96" s="106">
        <f t="shared" si="64"/>
        <v>40.730000000000004</v>
      </c>
      <c r="AJ96" s="106">
        <f t="shared" si="65"/>
        <v>3435.9499999999989</v>
      </c>
      <c r="AK96" s="106">
        <f t="shared" si="66"/>
        <v>2.06</v>
      </c>
      <c r="AL96" s="132">
        <f t="shared" si="67"/>
        <v>3478.7399999999989</v>
      </c>
      <c r="AM96" s="198">
        <f t="shared" si="68"/>
        <v>1853.8628019999994</v>
      </c>
      <c r="AN96" s="106">
        <v>290.16000000000003</v>
      </c>
      <c r="AO96" s="106">
        <v>553.5</v>
      </c>
      <c r="AP96" s="106">
        <v>602.70000000000005</v>
      </c>
      <c r="AQ96" s="106">
        <f t="shared" si="69"/>
        <v>1446.3600000000001</v>
      </c>
      <c r="AR96" s="193">
        <f t="shared" si="70"/>
        <v>1278.6273060000001</v>
      </c>
      <c r="AS96" s="106">
        <v>7.87</v>
      </c>
      <c r="AT96" s="106">
        <v>13490.1</v>
      </c>
      <c r="AU96" s="106">
        <v>0</v>
      </c>
      <c r="AV96" s="106">
        <f t="shared" si="87"/>
        <v>13497.970000000001</v>
      </c>
      <c r="AW96" s="106">
        <v>290.16000000000003</v>
      </c>
      <c r="AX96" s="106">
        <v>553.5</v>
      </c>
      <c r="AY96" s="106">
        <v>602.70000000000005</v>
      </c>
      <c r="AZ96" s="106">
        <f t="shared" si="88"/>
        <v>1446.3600000000001</v>
      </c>
      <c r="BA96" s="197">
        <f t="shared" si="89"/>
        <v>1278.6273060000001</v>
      </c>
      <c r="BB96" s="105">
        <f t="shared" si="71"/>
        <v>0</v>
      </c>
      <c r="BC96" s="105">
        <f t="shared" si="79"/>
        <v>0</v>
      </c>
      <c r="BD96" s="105">
        <f t="shared" si="72"/>
        <v>0</v>
      </c>
      <c r="BE96" s="105">
        <f t="shared" si="80"/>
        <v>0</v>
      </c>
      <c r="BF96" s="105">
        <f t="shared" si="73"/>
        <v>0</v>
      </c>
      <c r="BG96" s="105">
        <f t="shared" si="81"/>
        <v>0</v>
      </c>
      <c r="BH96" s="105">
        <f t="shared" si="74"/>
        <v>0</v>
      </c>
      <c r="BI96" s="105">
        <f t="shared" si="75"/>
        <v>0</v>
      </c>
      <c r="BJ96" s="186">
        <f t="shared" si="76"/>
        <v>4925.0999999999985</v>
      </c>
      <c r="BK96" s="182">
        <f t="shared" si="77"/>
        <v>3132.4901079999995</v>
      </c>
      <c r="BL96" s="98">
        <f t="shared" si="78"/>
        <v>4925.0999999999985</v>
      </c>
      <c r="BM96" s="99">
        <f t="shared" si="90"/>
        <v>290.16000000000003</v>
      </c>
      <c r="BN96" s="99">
        <f t="shared" si="91"/>
        <v>1156.2</v>
      </c>
      <c r="BO96" s="244">
        <v>2.36985</v>
      </c>
      <c r="BP96" s="244">
        <v>0.51114999999999999</v>
      </c>
      <c r="BQ96" s="182">
        <f t="shared" si="94"/>
        <v>687.6356760000001</v>
      </c>
      <c r="BR96" s="182">
        <f t="shared" si="82"/>
        <v>590.99162999999999</v>
      </c>
      <c r="BS96" s="106">
        <v>0</v>
      </c>
      <c r="BT96" s="245">
        <v>0.67098999999999998</v>
      </c>
      <c r="BU96" s="182">
        <f t="shared" si="83"/>
        <v>0</v>
      </c>
      <c r="BV96" s="95">
        <v>0</v>
      </c>
      <c r="BW96" s="202">
        <v>0.67098999999999998</v>
      </c>
      <c r="BX96" s="182">
        <f t="shared" si="95"/>
        <v>0</v>
      </c>
      <c r="BY96" s="106">
        <v>0</v>
      </c>
      <c r="BZ96" s="202">
        <v>0.67098999999999998</v>
      </c>
      <c r="CA96" s="95">
        <f t="shared" si="96"/>
        <v>0</v>
      </c>
      <c r="CB96" s="106"/>
      <c r="CC96" s="196"/>
      <c r="CD96" s="106"/>
      <c r="CE96" s="106"/>
      <c r="CF96" s="196"/>
      <c r="CG96" s="106"/>
      <c r="CH96" s="106"/>
      <c r="CI96" s="196"/>
      <c r="CJ96" s="106"/>
      <c r="CK96" s="106"/>
      <c r="CL96" s="196"/>
      <c r="CM96" s="106"/>
      <c r="CN96" s="182">
        <f t="shared" si="92"/>
        <v>3132.4901079999995</v>
      </c>
      <c r="CO96" s="105">
        <f t="shared" si="97"/>
        <v>26778.63</v>
      </c>
      <c r="CP96" s="182">
        <f t="shared" si="84"/>
        <v>8291.5076800000006</v>
      </c>
      <c r="CQ96" s="95">
        <f t="shared" si="85"/>
        <v>6371.4599999999991</v>
      </c>
      <c r="CR96" s="115">
        <f t="shared" si="93"/>
        <v>12051.61</v>
      </c>
      <c r="CS96" s="113"/>
      <c r="CT96" s="205"/>
      <c r="CU96" s="187"/>
      <c r="CV96" s="187"/>
      <c r="CW96" s="240"/>
    </row>
    <row r="97" spans="1:101" s="51" customFormat="1" ht="19.899999999999999" customHeight="1" x14ac:dyDescent="0.3">
      <c r="A97" s="148" t="s">
        <v>200</v>
      </c>
      <c r="B97" s="50">
        <v>10025013856</v>
      </c>
      <c r="C97" s="148" t="s">
        <v>226</v>
      </c>
      <c r="D97" s="104" t="s">
        <v>226</v>
      </c>
      <c r="E97" s="104" t="s">
        <v>173</v>
      </c>
      <c r="F97" s="105">
        <v>17716</v>
      </c>
      <c r="G97" s="188">
        <v>0.68799999999999994</v>
      </c>
      <c r="H97" s="118">
        <f t="shared" si="61"/>
        <v>12188.607999999998</v>
      </c>
      <c r="I97" s="93" t="s">
        <v>173</v>
      </c>
      <c r="J97" s="96" t="s">
        <v>227</v>
      </c>
      <c r="K97" s="49" t="s">
        <v>228</v>
      </c>
      <c r="L97" s="93"/>
      <c r="M97" s="97" t="s">
        <v>165</v>
      </c>
      <c r="N97" s="97" t="s">
        <v>166</v>
      </c>
      <c r="O97" s="183">
        <v>1208.3</v>
      </c>
      <c r="P97" s="183">
        <v>0</v>
      </c>
      <c r="Q97" s="183">
        <v>1184.1300000000001</v>
      </c>
      <c r="R97" s="131"/>
      <c r="S97" s="183">
        <v>0.45</v>
      </c>
      <c r="T97" s="183">
        <f>0.76+7.66</f>
        <v>8.42</v>
      </c>
      <c r="U97" s="183">
        <v>15.32</v>
      </c>
      <c r="V97" s="183">
        <v>0</v>
      </c>
      <c r="W97" s="183">
        <v>0</v>
      </c>
      <c r="X97" s="183"/>
      <c r="Y97" s="183"/>
      <c r="Z97" s="183"/>
      <c r="AA97" s="183"/>
      <c r="AB97" s="184">
        <v>2.46576</v>
      </c>
      <c r="AC97" s="184">
        <v>0.53184999999999993</v>
      </c>
      <c r="AD97" s="95">
        <v>23.89</v>
      </c>
      <c r="AE97" s="95">
        <v>17346.669999999998</v>
      </c>
      <c r="AF97" s="95">
        <v>0.01</v>
      </c>
      <c r="AG97" s="95">
        <f t="shared" si="62"/>
        <v>17370.569999999996</v>
      </c>
      <c r="AH97" s="95">
        <f t="shared" si="63"/>
        <v>9284.7387643999973</v>
      </c>
      <c r="AI97" s="95">
        <f t="shared" si="64"/>
        <v>23.86</v>
      </c>
      <c r="AJ97" s="95">
        <f t="shared" si="65"/>
        <v>3799.239999999998</v>
      </c>
      <c r="AK97" s="95">
        <f t="shared" si="66"/>
        <v>0.01</v>
      </c>
      <c r="AL97" s="133">
        <f t="shared" si="67"/>
        <v>3823.1099999999983</v>
      </c>
      <c r="AM97" s="199">
        <f t="shared" si="68"/>
        <v>2079.4641460999987</v>
      </c>
      <c r="AN97" s="95">
        <v>286.02</v>
      </c>
      <c r="AO97" s="95">
        <v>621.15</v>
      </c>
      <c r="AP97" s="95">
        <v>442.8</v>
      </c>
      <c r="AQ97" s="95">
        <f t="shared" si="69"/>
        <v>1349.97</v>
      </c>
      <c r="AR97" s="183">
        <f t="shared" si="70"/>
        <v>1271.1184826999997</v>
      </c>
      <c r="AS97" s="95">
        <v>0.03</v>
      </c>
      <c r="AT97" s="95">
        <v>13547.43</v>
      </c>
      <c r="AU97" s="95">
        <v>0</v>
      </c>
      <c r="AV97" s="95">
        <f t="shared" si="87"/>
        <v>13547.460000000001</v>
      </c>
      <c r="AW97" s="95">
        <v>286.02</v>
      </c>
      <c r="AX97" s="95">
        <v>621.15</v>
      </c>
      <c r="AY97" s="95">
        <v>442.8</v>
      </c>
      <c r="AZ97" s="95">
        <f t="shared" si="88"/>
        <v>1349.97</v>
      </c>
      <c r="BA97" s="197">
        <f t="shared" si="89"/>
        <v>1271.1184826999997</v>
      </c>
      <c r="BB97" s="94">
        <f t="shared" si="71"/>
        <v>0</v>
      </c>
      <c r="BC97" s="105">
        <f t="shared" si="79"/>
        <v>0</v>
      </c>
      <c r="BD97" s="94">
        <f t="shared" si="72"/>
        <v>0</v>
      </c>
      <c r="BE97" s="94">
        <f t="shared" si="80"/>
        <v>0</v>
      </c>
      <c r="BF97" s="94">
        <f t="shared" si="73"/>
        <v>0</v>
      </c>
      <c r="BG97" s="94">
        <f t="shared" si="81"/>
        <v>0</v>
      </c>
      <c r="BH97" s="94">
        <f t="shared" si="74"/>
        <v>0</v>
      </c>
      <c r="BI97" s="94">
        <f t="shared" si="75"/>
        <v>0</v>
      </c>
      <c r="BJ97" s="186">
        <f t="shared" si="76"/>
        <v>15971.449999999997</v>
      </c>
      <c r="BK97" s="182">
        <f t="shared" si="77"/>
        <v>3350.5826287999989</v>
      </c>
      <c r="BL97" s="98">
        <f t="shared" si="78"/>
        <v>5173.0799999999981</v>
      </c>
      <c r="BM97" s="99">
        <f t="shared" si="90"/>
        <v>286.02</v>
      </c>
      <c r="BN97" s="99">
        <f t="shared" si="91"/>
        <v>1063.95</v>
      </c>
      <c r="BO97" s="246">
        <v>2.46576</v>
      </c>
      <c r="BP97" s="246">
        <v>0.53184999999999993</v>
      </c>
      <c r="BQ97" s="182">
        <f t="shared" si="94"/>
        <v>705.2566751999999</v>
      </c>
      <c r="BR97" s="182">
        <f t="shared" si="82"/>
        <v>565.86180749999994</v>
      </c>
      <c r="BS97" s="95">
        <v>2699.59</v>
      </c>
      <c r="BT97" s="247">
        <v>0.67098999999999998</v>
      </c>
      <c r="BU97" s="182">
        <f t="shared" si="83"/>
        <v>1811.3978941</v>
      </c>
      <c r="BV97" s="106">
        <v>3374.49</v>
      </c>
      <c r="BW97" s="190">
        <v>0.67098999999999998</v>
      </c>
      <c r="BX97" s="182">
        <f t="shared" si="95"/>
        <v>2264.2490450999999</v>
      </c>
      <c r="BY97" s="95">
        <v>4724.29</v>
      </c>
      <c r="BZ97" s="190">
        <v>0.67098999999999998</v>
      </c>
      <c r="CA97" s="95">
        <f t="shared" si="96"/>
        <v>3169.9513471</v>
      </c>
      <c r="CB97" s="95"/>
      <c r="CC97" s="182"/>
      <c r="CD97" s="95"/>
      <c r="CE97" s="95"/>
      <c r="CF97" s="182"/>
      <c r="CG97" s="95"/>
      <c r="CH97" s="95"/>
      <c r="CI97" s="182"/>
      <c r="CJ97" s="95"/>
      <c r="CK97" s="95"/>
      <c r="CL97" s="182"/>
      <c r="CM97" s="95"/>
      <c r="CN97" s="182">
        <f t="shared" si="92"/>
        <v>10596.180915099998</v>
      </c>
      <c r="CO97" s="105">
        <f t="shared" si="97"/>
        <v>28177.75</v>
      </c>
      <c r="CP97" s="182">
        <f t="shared" si="84"/>
        <v>962.59456000000114</v>
      </c>
      <c r="CQ97" s="95">
        <f t="shared" si="85"/>
        <v>6523.0499999999984</v>
      </c>
      <c r="CR97" s="115">
        <f t="shared" si="93"/>
        <v>1399.1200000000017</v>
      </c>
      <c r="CS97" s="113"/>
      <c r="CT97" s="205"/>
      <c r="CU97" s="187"/>
      <c r="CV97" s="187"/>
      <c r="CW97" s="240"/>
    </row>
    <row r="98" spans="1:101" s="51" customFormat="1" ht="19.899999999999999" customHeight="1" x14ac:dyDescent="0.3">
      <c r="A98" s="92" t="s">
        <v>200</v>
      </c>
      <c r="B98" s="49">
        <v>10025013856</v>
      </c>
      <c r="C98" s="92" t="s">
        <v>226</v>
      </c>
      <c r="D98" s="93" t="s">
        <v>226</v>
      </c>
      <c r="E98" s="93" t="s">
        <v>173</v>
      </c>
      <c r="F98" s="94">
        <v>17716</v>
      </c>
      <c r="G98" s="182">
        <v>0.68799999999999994</v>
      </c>
      <c r="H98" s="95">
        <f t="shared" si="61"/>
        <v>12188.607999999998</v>
      </c>
      <c r="I98" s="104" t="s">
        <v>173</v>
      </c>
      <c r="J98" s="107" t="s">
        <v>227</v>
      </c>
      <c r="K98" s="50" t="s">
        <v>228</v>
      </c>
      <c r="L98" s="104"/>
      <c r="M98" s="108" t="s">
        <v>133</v>
      </c>
      <c r="N98" s="108" t="s">
        <v>134</v>
      </c>
      <c r="O98" s="193">
        <v>1216.82</v>
      </c>
      <c r="P98" s="193">
        <v>0</v>
      </c>
      <c r="Q98" s="193">
        <v>1176.97</v>
      </c>
      <c r="R98" s="109"/>
      <c r="S98" s="193">
        <v>0.45</v>
      </c>
      <c r="T98" s="193">
        <f>0.39+23.69</f>
        <v>24.080000000000002</v>
      </c>
      <c r="U98" s="193">
        <v>15.32</v>
      </c>
      <c r="V98" s="193">
        <v>0</v>
      </c>
      <c r="W98" s="193">
        <v>0</v>
      </c>
      <c r="X98" s="193"/>
      <c r="Y98" s="193"/>
      <c r="Z98" s="193"/>
      <c r="AA98" s="193"/>
      <c r="AB98" s="194">
        <v>2.45086</v>
      </c>
      <c r="AC98" s="194">
        <v>0.52863000000000004</v>
      </c>
      <c r="AD98" s="106">
        <v>7.29</v>
      </c>
      <c r="AE98" s="118">
        <v>15213.06</v>
      </c>
      <c r="AF98" s="106">
        <v>0</v>
      </c>
      <c r="AG98" s="106">
        <f t="shared" ref="AG98:AG129" si="98">SUM(AD98:AF98)</f>
        <v>15220.35</v>
      </c>
      <c r="AH98" s="106">
        <f t="shared" ref="AH98:AH129" si="99">(AD98*AB98)+((AE98+AF98)*AC98)</f>
        <v>8059.9466771999996</v>
      </c>
      <c r="AI98" s="106">
        <f t="shared" si="64"/>
        <v>7.21</v>
      </c>
      <c r="AJ98" s="106">
        <f t="shared" si="65"/>
        <v>3382.0199999999986</v>
      </c>
      <c r="AK98" s="106">
        <f t="shared" si="66"/>
        <v>0</v>
      </c>
      <c r="AL98" s="132">
        <f t="shared" si="67"/>
        <v>3389.2299999999987</v>
      </c>
      <c r="AM98" s="198">
        <f t="shared" si="68"/>
        <v>1805.5079331999993</v>
      </c>
      <c r="AN98" s="106">
        <v>302.01</v>
      </c>
      <c r="AO98" s="106">
        <v>805.65</v>
      </c>
      <c r="AP98" s="106">
        <v>441.57</v>
      </c>
      <c r="AQ98" s="106">
        <f t="shared" si="69"/>
        <v>1549.2299999999998</v>
      </c>
      <c r="AR98" s="193">
        <f t="shared" si="70"/>
        <v>1399.5021372000001</v>
      </c>
      <c r="AS98" s="106">
        <v>0.08</v>
      </c>
      <c r="AT98" s="106">
        <v>11831.04</v>
      </c>
      <c r="AU98" s="106">
        <v>0</v>
      </c>
      <c r="AV98" s="106">
        <f t="shared" si="87"/>
        <v>11831.12</v>
      </c>
      <c r="AW98" s="106">
        <v>302.01</v>
      </c>
      <c r="AX98" s="106">
        <v>805.65</v>
      </c>
      <c r="AY98" s="106">
        <v>441.57</v>
      </c>
      <c r="AZ98" s="106">
        <f t="shared" si="88"/>
        <v>1549.2299999999998</v>
      </c>
      <c r="BA98" s="197">
        <f t="shared" si="89"/>
        <v>1399.5021372000001</v>
      </c>
      <c r="BB98" s="105">
        <f t="shared" si="71"/>
        <v>0</v>
      </c>
      <c r="BC98" s="105">
        <f t="shared" si="79"/>
        <v>0</v>
      </c>
      <c r="BD98" s="105">
        <f t="shared" si="72"/>
        <v>0</v>
      </c>
      <c r="BE98" s="105">
        <f t="shared" si="80"/>
        <v>0</v>
      </c>
      <c r="BF98" s="105">
        <f t="shared" si="73"/>
        <v>0</v>
      </c>
      <c r="BG98" s="105">
        <f t="shared" si="81"/>
        <v>0</v>
      </c>
      <c r="BH98" s="105">
        <f t="shared" si="74"/>
        <v>0</v>
      </c>
      <c r="BI98" s="105">
        <f t="shared" si="75"/>
        <v>0</v>
      </c>
      <c r="BJ98" s="186">
        <f t="shared" si="76"/>
        <v>15776.419999999998</v>
      </c>
      <c r="BK98" s="182">
        <f t="shared" si="77"/>
        <v>3205.0100703999988</v>
      </c>
      <c r="BL98" s="98">
        <f t="shared" si="78"/>
        <v>4938.4599999999991</v>
      </c>
      <c r="BM98" s="99">
        <f t="shared" si="90"/>
        <v>302.01</v>
      </c>
      <c r="BN98" s="99">
        <f t="shared" si="91"/>
        <v>1247.22</v>
      </c>
      <c r="BO98" s="244">
        <v>2.45086</v>
      </c>
      <c r="BP98" s="244">
        <v>0.52863000000000004</v>
      </c>
      <c r="BQ98" s="182">
        <f t="shared" si="94"/>
        <v>740.18422859999998</v>
      </c>
      <c r="BR98" s="182">
        <f t="shared" si="82"/>
        <v>659.31790860000012</v>
      </c>
      <c r="BS98" s="106">
        <v>2709.49</v>
      </c>
      <c r="BT98" s="245">
        <v>0.67098999999999998</v>
      </c>
      <c r="BU98" s="182">
        <f t="shared" si="83"/>
        <v>1818.0406950999998</v>
      </c>
      <c r="BV98" s="95">
        <v>3386.86</v>
      </c>
      <c r="BW98" s="202">
        <v>0.67098999999999998</v>
      </c>
      <c r="BX98" s="182">
        <f t="shared" si="95"/>
        <v>2272.5491913999999</v>
      </c>
      <c r="BY98" s="106">
        <v>4741.6099999999997</v>
      </c>
      <c r="BZ98" s="202">
        <v>0.67098999999999998</v>
      </c>
      <c r="CA98" s="95">
        <f t="shared" si="96"/>
        <v>3181.5728938999996</v>
      </c>
      <c r="CB98" s="106"/>
      <c r="CC98" s="196"/>
      <c r="CD98" s="106"/>
      <c r="CE98" s="106"/>
      <c r="CF98" s="196"/>
      <c r="CG98" s="106"/>
      <c r="CH98" s="106"/>
      <c r="CI98" s="196"/>
      <c r="CJ98" s="106"/>
      <c r="CK98" s="106"/>
      <c r="CL98" s="196"/>
      <c r="CM98" s="106"/>
      <c r="CN98" s="182">
        <f t="shared" si="92"/>
        <v>10477.172850799998</v>
      </c>
      <c r="CO98" s="105">
        <f t="shared" si="97"/>
        <v>27621.68</v>
      </c>
      <c r="CP98" s="182">
        <f t="shared" si="84"/>
        <v>-382.57615999999916</v>
      </c>
      <c r="CQ98" s="95">
        <f t="shared" si="85"/>
        <v>6487.6899999999978</v>
      </c>
      <c r="CR98" s="115">
        <f t="shared" si="93"/>
        <v>-556.0699999999988</v>
      </c>
      <c r="CS98" s="113"/>
      <c r="CT98" s="205"/>
      <c r="CU98" s="187"/>
      <c r="CV98" s="187"/>
      <c r="CW98" s="240"/>
    </row>
    <row r="99" spans="1:101" s="51" customFormat="1" ht="19.899999999999999" customHeight="1" x14ac:dyDescent="0.3">
      <c r="A99" s="148" t="s">
        <v>200</v>
      </c>
      <c r="B99" s="50">
        <v>10025013856</v>
      </c>
      <c r="C99" s="148" t="s">
        <v>226</v>
      </c>
      <c r="D99" s="104" t="s">
        <v>226</v>
      </c>
      <c r="E99" s="104" t="s">
        <v>173</v>
      </c>
      <c r="F99" s="105">
        <v>17716</v>
      </c>
      <c r="G99" s="188">
        <v>0.68799999999999994</v>
      </c>
      <c r="H99" s="118">
        <f t="shared" si="61"/>
        <v>12188.607999999998</v>
      </c>
      <c r="I99" s="93" t="s">
        <v>173</v>
      </c>
      <c r="J99" s="96" t="s">
        <v>227</v>
      </c>
      <c r="K99" s="49" t="s">
        <v>228</v>
      </c>
      <c r="L99" s="93"/>
      <c r="M99" s="97" t="s">
        <v>135</v>
      </c>
      <c r="N99" s="97" t="s">
        <v>136</v>
      </c>
      <c r="O99" s="183">
        <v>613.9</v>
      </c>
      <c r="P99" s="183">
        <v>0</v>
      </c>
      <c r="Q99" s="183">
        <v>1181.5999999999999</v>
      </c>
      <c r="R99" s="131"/>
      <c r="S99" s="183">
        <v>0.9</v>
      </c>
      <c r="T99" s="183">
        <v>0</v>
      </c>
      <c r="U99" s="183">
        <v>15.32</v>
      </c>
      <c r="V99" s="183">
        <v>0</v>
      </c>
      <c r="W99" s="183">
        <v>0</v>
      </c>
      <c r="X99" s="183"/>
      <c r="Y99" s="183"/>
      <c r="Z99" s="183">
        <v>-583.89</v>
      </c>
      <c r="AA99" s="183"/>
      <c r="AB99" s="184">
        <v>2.4605000000000001</v>
      </c>
      <c r="AC99" s="184">
        <v>0.53071000000000002</v>
      </c>
      <c r="AD99" s="95">
        <v>0.1</v>
      </c>
      <c r="AE99" s="95">
        <v>14116.62</v>
      </c>
      <c r="AF99" s="95">
        <v>0</v>
      </c>
      <c r="AG99" s="95">
        <f t="shared" si="98"/>
        <v>14116.720000000001</v>
      </c>
      <c r="AH99" s="95">
        <f t="shared" si="99"/>
        <v>7492.0774502000004</v>
      </c>
      <c r="AI99" s="95">
        <f t="shared" si="64"/>
        <v>0.1</v>
      </c>
      <c r="AJ99" s="95">
        <f t="shared" si="65"/>
        <v>2788.6800000000003</v>
      </c>
      <c r="AK99" s="95">
        <f t="shared" si="66"/>
        <v>0</v>
      </c>
      <c r="AL99" s="133">
        <f t="shared" si="67"/>
        <v>2788.78</v>
      </c>
      <c r="AM99" s="199">
        <f t="shared" si="68"/>
        <v>1480.2264128000002</v>
      </c>
      <c r="AN99" s="95">
        <v>227.31</v>
      </c>
      <c r="AO99" s="95">
        <v>885.6</v>
      </c>
      <c r="AP99" s="95">
        <v>669.12</v>
      </c>
      <c r="AQ99" s="95">
        <f t="shared" si="69"/>
        <v>1782.0300000000002</v>
      </c>
      <c r="AR99" s="183">
        <f t="shared" si="70"/>
        <v>1384.4017062000003</v>
      </c>
      <c r="AS99" s="95">
        <v>0</v>
      </c>
      <c r="AT99" s="95">
        <v>11327.94</v>
      </c>
      <c r="AU99" s="95">
        <v>0</v>
      </c>
      <c r="AV99" s="95">
        <f t="shared" si="87"/>
        <v>11327.94</v>
      </c>
      <c r="AW99" s="95">
        <v>227.31</v>
      </c>
      <c r="AX99" s="95">
        <v>885.6</v>
      </c>
      <c r="AY99" s="95">
        <v>669.12</v>
      </c>
      <c r="AZ99" s="95">
        <f t="shared" si="88"/>
        <v>1782.0300000000002</v>
      </c>
      <c r="BA99" s="197">
        <f t="shared" si="89"/>
        <v>1384.4017062000003</v>
      </c>
      <c r="BB99" s="94">
        <f t="shared" si="71"/>
        <v>0</v>
      </c>
      <c r="BC99" s="105">
        <f t="shared" si="79"/>
        <v>0</v>
      </c>
      <c r="BD99" s="94">
        <f t="shared" si="72"/>
        <v>0</v>
      </c>
      <c r="BE99" s="94">
        <f t="shared" si="80"/>
        <v>0</v>
      </c>
      <c r="BF99" s="94">
        <f t="shared" si="73"/>
        <v>0</v>
      </c>
      <c r="BG99" s="94">
        <f t="shared" si="81"/>
        <v>0</v>
      </c>
      <c r="BH99" s="94">
        <f t="shared" si="74"/>
        <v>0</v>
      </c>
      <c r="BI99" s="94">
        <f t="shared" si="75"/>
        <v>0</v>
      </c>
      <c r="BJ99" s="186">
        <f t="shared" si="76"/>
        <v>14035.7</v>
      </c>
      <c r="BK99" s="182">
        <f t="shared" si="77"/>
        <v>2864.6281190000004</v>
      </c>
      <c r="BL99" s="98">
        <f t="shared" si="78"/>
        <v>4570.8100000000004</v>
      </c>
      <c r="BM99" s="99">
        <f t="shared" si="90"/>
        <v>227.31</v>
      </c>
      <c r="BN99" s="99">
        <f t="shared" si="91"/>
        <v>1554.72</v>
      </c>
      <c r="BO99" s="246">
        <v>2.4605000000000001</v>
      </c>
      <c r="BP99" s="246">
        <v>0.53071000000000002</v>
      </c>
      <c r="BQ99" s="182">
        <f t="shared" si="94"/>
        <v>559.29625500000009</v>
      </c>
      <c r="BR99" s="182">
        <f t="shared" si="82"/>
        <v>825.10545120000006</v>
      </c>
      <c r="BS99" s="95">
        <v>2366.2199999999998</v>
      </c>
      <c r="BT99" s="247">
        <v>0.67098999999999998</v>
      </c>
      <c r="BU99" s="182">
        <f t="shared" si="83"/>
        <v>1587.7099577999998</v>
      </c>
      <c r="BV99" s="106">
        <v>2957.78</v>
      </c>
      <c r="BW99" s="190">
        <v>0.67098999999999998</v>
      </c>
      <c r="BX99" s="182">
        <f t="shared" si="95"/>
        <v>1984.6408022000001</v>
      </c>
      <c r="BY99" s="95">
        <v>4140.8900000000003</v>
      </c>
      <c r="BZ99" s="190">
        <v>0.67098999999999998</v>
      </c>
      <c r="CA99" s="95">
        <f t="shared" si="96"/>
        <v>2778.4957810999999</v>
      </c>
      <c r="CB99" s="95"/>
      <c r="CC99" s="182"/>
      <c r="CD99" s="95"/>
      <c r="CE99" s="95"/>
      <c r="CF99" s="182"/>
      <c r="CG99" s="95"/>
      <c r="CH99" s="95"/>
      <c r="CI99" s="182"/>
      <c r="CJ99" s="95"/>
      <c r="CK99" s="95"/>
      <c r="CL99" s="182"/>
      <c r="CM99" s="95"/>
      <c r="CN99" s="182">
        <f t="shared" si="92"/>
        <v>9215.4746601000006</v>
      </c>
      <c r="CO99" s="105">
        <f t="shared" si="97"/>
        <v>27702.7</v>
      </c>
      <c r="CP99" s="182">
        <f t="shared" si="84"/>
        <v>55.741759999999672</v>
      </c>
      <c r="CQ99" s="95">
        <f t="shared" si="85"/>
        <v>6352.84</v>
      </c>
      <c r="CR99" s="115">
        <f t="shared" si="93"/>
        <v>81.019999999999527</v>
      </c>
      <c r="CS99" s="113"/>
      <c r="CT99" s="205"/>
      <c r="CU99" s="187"/>
      <c r="CV99" s="187"/>
      <c r="CW99" s="240"/>
    </row>
    <row r="100" spans="1:101" s="51" customFormat="1" ht="19.899999999999999" customHeight="1" x14ac:dyDescent="0.3">
      <c r="A100" s="92" t="s">
        <v>200</v>
      </c>
      <c r="B100" s="49">
        <v>10025013856</v>
      </c>
      <c r="C100" s="92" t="s">
        <v>226</v>
      </c>
      <c r="D100" s="93" t="s">
        <v>226</v>
      </c>
      <c r="E100" s="93" t="s">
        <v>173</v>
      </c>
      <c r="F100" s="94">
        <v>17716</v>
      </c>
      <c r="G100" s="182">
        <v>0.68799999999999994</v>
      </c>
      <c r="H100" s="95">
        <f t="shared" si="61"/>
        <v>12188.607999999998</v>
      </c>
      <c r="I100" s="104" t="s">
        <v>173</v>
      </c>
      <c r="J100" s="107" t="s">
        <v>227</v>
      </c>
      <c r="K100" s="50" t="s">
        <v>228</v>
      </c>
      <c r="L100" s="104"/>
      <c r="M100" s="108" t="s">
        <v>137</v>
      </c>
      <c r="N100" s="108" t="s">
        <v>138</v>
      </c>
      <c r="O100" s="193">
        <v>1144.7</v>
      </c>
      <c r="P100" s="193">
        <v>0</v>
      </c>
      <c r="Q100" s="193">
        <v>1127.6500000000001</v>
      </c>
      <c r="R100" s="109"/>
      <c r="S100" s="193">
        <v>1.73</v>
      </c>
      <c r="T100" s="193">
        <v>0</v>
      </c>
      <c r="U100" s="193">
        <v>15.32</v>
      </c>
      <c r="V100" s="193">
        <v>0</v>
      </c>
      <c r="W100" s="193">
        <v>0</v>
      </c>
      <c r="X100" s="193"/>
      <c r="Y100" s="193"/>
      <c r="Z100" s="193"/>
      <c r="AA100" s="193"/>
      <c r="AB100" s="194">
        <v>2.3481619999999999</v>
      </c>
      <c r="AC100" s="194">
        <v>0.506494</v>
      </c>
      <c r="AD100" s="106">
        <v>0</v>
      </c>
      <c r="AE100" s="118">
        <v>15479.5263671875</v>
      </c>
      <c r="AF100" s="106">
        <v>0</v>
      </c>
      <c r="AG100" s="106">
        <f t="shared" si="98"/>
        <v>15479.5263671875</v>
      </c>
      <c r="AH100" s="106">
        <f t="shared" si="99"/>
        <v>7840.2872278222658</v>
      </c>
      <c r="AI100" s="106">
        <f t="shared" si="64"/>
        <v>0</v>
      </c>
      <c r="AJ100" s="106">
        <f t="shared" si="65"/>
        <v>2861.0763671874993</v>
      </c>
      <c r="AK100" s="106">
        <f t="shared" si="66"/>
        <v>0</v>
      </c>
      <c r="AL100" s="132">
        <f t="shared" si="67"/>
        <v>2861.0763671874993</v>
      </c>
      <c r="AM100" s="198">
        <f t="shared" si="68"/>
        <v>1449.1180135222653</v>
      </c>
      <c r="AN100" s="106">
        <v>444.44</v>
      </c>
      <c r="AO100" s="106">
        <v>1089.78</v>
      </c>
      <c r="AP100" s="106">
        <v>1049.19</v>
      </c>
      <c r="AQ100" s="106">
        <f t="shared" si="69"/>
        <v>2583.41</v>
      </c>
      <c r="AR100" s="193">
        <f t="shared" si="70"/>
        <v>2126.9925904600004</v>
      </c>
      <c r="AS100" s="106">
        <v>0</v>
      </c>
      <c r="AT100" s="106">
        <v>12618.45</v>
      </c>
      <c r="AU100" s="106">
        <v>0</v>
      </c>
      <c r="AV100" s="106">
        <f t="shared" si="87"/>
        <v>12618.45</v>
      </c>
      <c r="AW100" s="106">
        <v>444.44</v>
      </c>
      <c r="AX100" s="106">
        <v>1089.78</v>
      </c>
      <c r="AY100" s="106">
        <v>1049.19</v>
      </c>
      <c r="AZ100" s="106">
        <f t="shared" si="88"/>
        <v>2583.41</v>
      </c>
      <c r="BA100" s="197">
        <f t="shared" si="89"/>
        <v>2126.9925904600004</v>
      </c>
      <c r="BB100" s="105">
        <f t="shared" si="71"/>
        <v>0</v>
      </c>
      <c r="BC100" s="105">
        <f t="shared" si="79"/>
        <v>0</v>
      </c>
      <c r="BD100" s="105">
        <f t="shared" si="72"/>
        <v>0</v>
      </c>
      <c r="BE100" s="105">
        <f t="shared" si="80"/>
        <v>0</v>
      </c>
      <c r="BF100" s="105">
        <f t="shared" si="73"/>
        <v>0</v>
      </c>
      <c r="BG100" s="105">
        <f t="shared" si="81"/>
        <v>0</v>
      </c>
      <c r="BH100" s="105">
        <f t="shared" si="74"/>
        <v>0</v>
      </c>
      <c r="BI100" s="105">
        <f t="shared" si="75"/>
        <v>0</v>
      </c>
      <c r="BJ100" s="186">
        <f t="shared" si="76"/>
        <v>14506.836367187499</v>
      </c>
      <c r="BK100" s="182">
        <f t="shared" si="77"/>
        <v>3576.1106039822653</v>
      </c>
      <c r="BL100" s="98">
        <f t="shared" si="78"/>
        <v>5444.4863671874991</v>
      </c>
      <c r="BM100" s="99">
        <f t="shared" si="90"/>
        <v>444.44</v>
      </c>
      <c r="BN100" s="99">
        <f t="shared" si="91"/>
        <v>2138.9700000000003</v>
      </c>
      <c r="BO100" s="244">
        <v>2.3481619999999999</v>
      </c>
      <c r="BP100" s="244">
        <v>0.506494</v>
      </c>
      <c r="BQ100" s="182">
        <f t="shared" si="94"/>
        <v>1043.61711928</v>
      </c>
      <c r="BR100" s="182">
        <f t="shared" si="82"/>
        <v>1083.3754711800002</v>
      </c>
      <c r="BS100" s="106">
        <v>2265.59</v>
      </c>
      <c r="BT100" s="245">
        <v>0.67098999999999998</v>
      </c>
      <c r="BU100" s="182">
        <f t="shared" si="83"/>
        <v>1520.1882341</v>
      </c>
      <c r="BV100" s="95">
        <v>2831.98</v>
      </c>
      <c r="BW100" s="202">
        <v>0.67098999999999998</v>
      </c>
      <c r="BX100" s="182">
        <f t="shared" si="95"/>
        <v>1900.2302602</v>
      </c>
      <c r="BY100" s="106">
        <v>3964.78</v>
      </c>
      <c r="BZ100" s="202">
        <v>0.67098999999999998</v>
      </c>
      <c r="CA100" s="95">
        <f t="shared" si="96"/>
        <v>2660.3277321999999</v>
      </c>
      <c r="CB100" s="106"/>
      <c r="CC100" s="196"/>
      <c r="CD100" s="106"/>
      <c r="CE100" s="106"/>
      <c r="CF100" s="196"/>
      <c r="CG100" s="106"/>
      <c r="CH100" s="106"/>
      <c r="CI100" s="196"/>
      <c r="CJ100" s="106"/>
      <c r="CK100" s="106"/>
      <c r="CL100" s="196"/>
      <c r="CM100" s="106"/>
      <c r="CN100" s="182">
        <f t="shared" si="92"/>
        <v>9656.8568304822657</v>
      </c>
      <c r="CO100" s="105">
        <f t="shared" si="97"/>
        <v>28675.39</v>
      </c>
      <c r="CP100" s="182">
        <f t="shared" si="84"/>
        <v>669.21072000000061</v>
      </c>
      <c r="CQ100" s="95">
        <f t="shared" si="85"/>
        <v>8027.896367187499</v>
      </c>
      <c r="CR100" s="115">
        <f t="shared" si="93"/>
        <v>972.69000000000096</v>
      </c>
      <c r="CS100" s="113"/>
      <c r="CT100" s="205"/>
      <c r="CU100" s="187"/>
      <c r="CV100" s="187"/>
      <c r="CW100" s="240"/>
    </row>
    <row r="101" spans="1:101" s="51" customFormat="1" ht="19.899999999999999" customHeight="1" x14ac:dyDescent="0.3">
      <c r="A101" s="148" t="s">
        <v>200</v>
      </c>
      <c r="B101" s="50">
        <v>10025013856</v>
      </c>
      <c r="C101" s="148" t="s">
        <v>226</v>
      </c>
      <c r="D101" s="104" t="s">
        <v>226</v>
      </c>
      <c r="E101" s="104" t="s">
        <v>173</v>
      </c>
      <c r="F101" s="105">
        <v>17716</v>
      </c>
      <c r="G101" s="188">
        <v>0.68799999999999994</v>
      </c>
      <c r="H101" s="118">
        <f t="shared" si="61"/>
        <v>12188.607999999998</v>
      </c>
      <c r="I101" s="93" t="s">
        <v>173</v>
      </c>
      <c r="J101" s="96" t="s">
        <v>227</v>
      </c>
      <c r="K101" s="49" t="s">
        <v>228</v>
      </c>
      <c r="L101" s="93"/>
      <c r="M101" s="97" t="s">
        <v>139</v>
      </c>
      <c r="N101" s="97" t="s">
        <v>140</v>
      </c>
      <c r="O101" s="183">
        <v>1183.27</v>
      </c>
      <c r="P101" s="183">
        <v>0</v>
      </c>
      <c r="Q101" s="183">
        <v>1142.02</v>
      </c>
      <c r="R101" s="131"/>
      <c r="S101" s="183">
        <v>8.77</v>
      </c>
      <c r="T101" s="183">
        <v>17.16</v>
      </c>
      <c r="U101" s="183">
        <v>15.32</v>
      </c>
      <c r="V101" s="183">
        <v>0</v>
      </c>
      <c r="W101" s="183">
        <v>0</v>
      </c>
      <c r="X101" s="183"/>
      <c r="Y101" s="183"/>
      <c r="Z101" s="183"/>
      <c r="AA101" s="183"/>
      <c r="AB101" s="184">
        <v>2.3780990000000002</v>
      </c>
      <c r="AC101" s="184">
        <v>0.51295099999999993</v>
      </c>
      <c r="AD101" s="95">
        <v>0</v>
      </c>
      <c r="AE101" s="95">
        <v>11777.4443359375</v>
      </c>
      <c r="AF101" s="95">
        <v>0</v>
      </c>
      <c r="AG101" s="95">
        <f t="shared" si="98"/>
        <v>11777.4443359375</v>
      </c>
      <c r="AH101" s="95">
        <f t="shared" si="99"/>
        <v>6041.2518495634758</v>
      </c>
      <c r="AI101" s="95">
        <f t="shared" si="64"/>
        <v>0</v>
      </c>
      <c r="AJ101" s="95">
        <f t="shared" si="65"/>
        <v>2447.8643359375001</v>
      </c>
      <c r="AK101" s="95">
        <f t="shared" si="66"/>
        <v>0</v>
      </c>
      <c r="AL101" s="133">
        <f t="shared" si="67"/>
        <v>2447.8643359375001</v>
      </c>
      <c r="AM101" s="199">
        <f t="shared" si="68"/>
        <v>1255.6344589834764</v>
      </c>
      <c r="AN101" s="95">
        <v>468.91</v>
      </c>
      <c r="AO101" s="95">
        <v>1153.74</v>
      </c>
      <c r="AP101" s="95">
        <v>936.03</v>
      </c>
      <c r="AQ101" s="95">
        <f t="shared" si="69"/>
        <v>2558.6800000000003</v>
      </c>
      <c r="AR101" s="183">
        <f t="shared" si="70"/>
        <v>2187.06401336</v>
      </c>
      <c r="AS101" s="95">
        <v>0</v>
      </c>
      <c r="AT101" s="95">
        <v>9329.58</v>
      </c>
      <c r="AU101" s="95">
        <v>0</v>
      </c>
      <c r="AV101" s="95">
        <f t="shared" si="87"/>
        <v>9329.58</v>
      </c>
      <c r="AW101" s="95">
        <v>468.91</v>
      </c>
      <c r="AX101" s="95">
        <v>1153.74</v>
      </c>
      <c r="AY101" s="95">
        <v>936.03</v>
      </c>
      <c r="AZ101" s="95">
        <f t="shared" si="88"/>
        <v>2558.6800000000003</v>
      </c>
      <c r="BA101" s="197">
        <f t="shared" si="89"/>
        <v>2187.06401336</v>
      </c>
      <c r="BB101" s="94">
        <f t="shared" si="71"/>
        <v>0</v>
      </c>
      <c r="BC101" s="105">
        <f t="shared" si="79"/>
        <v>0</v>
      </c>
      <c r="BD101" s="94">
        <f t="shared" si="72"/>
        <v>0</v>
      </c>
      <c r="BE101" s="94">
        <f t="shared" si="80"/>
        <v>0</v>
      </c>
      <c r="BF101" s="94">
        <f t="shared" si="73"/>
        <v>0</v>
      </c>
      <c r="BG101" s="94">
        <f t="shared" si="81"/>
        <v>0</v>
      </c>
      <c r="BH101" s="94">
        <f t="shared" si="74"/>
        <v>0</v>
      </c>
      <c r="BI101" s="94">
        <f t="shared" si="75"/>
        <v>0</v>
      </c>
      <c r="BJ101" s="186">
        <f t="shared" si="76"/>
        <v>14859.844335937501</v>
      </c>
      <c r="BK101" s="182">
        <f t="shared" si="77"/>
        <v>3442.6984723434762</v>
      </c>
      <c r="BL101" s="98">
        <f t="shared" si="78"/>
        <v>5006.5443359375004</v>
      </c>
      <c r="BM101" s="99">
        <f t="shared" si="90"/>
        <v>468.91</v>
      </c>
      <c r="BN101" s="99">
        <f t="shared" si="91"/>
        <v>2089.77</v>
      </c>
      <c r="BO101" s="246">
        <v>2.3780990000000002</v>
      </c>
      <c r="BP101" s="246">
        <v>0.51295099999999993</v>
      </c>
      <c r="BQ101" s="182">
        <f t="shared" si="94"/>
        <v>1115.1144020900001</v>
      </c>
      <c r="BR101" s="182">
        <f t="shared" si="82"/>
        <v>1071.9496112699999</v>
      </c>
      <c r="BS101" s="95">
        <v>2523.69</v>
      </c>
      <c r="BT101" s="247">
        <v>0.67098999999999998</v>
      </c>
      <c r="BU101" s="182">
        <f t="shared" si="83"/>
        <v>1693.3707531</v>
      </c>
      <c r="BV101" s="106">
        <v>3154.61</v>
      </c>
      <c r="BW101" s="190">
        <v>0.67098999999999998</v>
      </c>
      <c r="BX101" s="182">
        <f t="shared" si="95"/>
        <v>2116.7117638999998</v>
      </c>
      <c r="BY101" s="95">
        <v>4175</v>
      </c>
      <c r="BZ101" s="190">
        <v>0.67098999999999998</v>
      </c>
      <c r="CA101" s="95">
        <f t="shared" si="96"/>
        <v>2801.3832499999999</v>
      </c>
      <c r="CB101" s="95"/>
      <c r="CC101" s="182"/>
      <c r="CD101" s="95"/>
      <c r="CE101" s="95"/>
      <c r="CF101" s="182"/>
      <c r="CG101" s="95"/>
      <c r="CH101" s="95"/>
      <c r="CI101" s="182"/>
      <c r="CJ101" s="95"/>
      <c r="CK101" s="95"/>
      <c r="CL101" s="182"/>
      <c r="CM101" s="95"/>
      <c r="CN101" s="182">
        <f t="shared" si="92"/>
        <v>10054.164239343476</v>
      </c>
      <c r="CO101" s="105">
        <f t="shared" si="97"/>
        <v>25592.989999999998</v>
      </c>
      <c r="CP101" s="182">
        <f t="shared" si="84"/>
        <v>-2120.6912000000007</v>
      </c>
      <c r="CQ101" s="95">
        <f t="shared" si="85"/>
        <v>7565.2243359375007</v>
      </c>
      <c r="CR101" s="115">
        <f t="shared" si="93"/>
        <v>-3082.400000000001</v>
      </c>
      <c r="CS101" s="113"/>
      <c r="CT101" s="205"/>
      <c r="CU101" s="187"/>
      <c r="CV101" s="187"/>
      <c r="CW101" s="240"/>
    </row>
    <row r="102" spans="1:101" s="51" customFormat="1" ht="19.899999999999999" customHeight="1" x14ac:dyDescent="0.3">
      <c r="A102" s="92" t="s">
        <v>200</v>
      </c>
      <c r="B102" s="49">
        <v>10025013856</v>
      </c>
      <c r="C102" s="92" t="s">
        <v>226</v>
      </c>
      <c r="D102" s="93" t="s">
        <v>226</v>
      </c>
      <c r="E102" s="93" t="s">
        <v>173</v>
      </c>
      <c r="F102" s="94">
        <v>17716</v>
      </c>
      <c r="G102" s="182">
        <v>0.68799999999999994</v>
      </c>
      <c r="H102" s="95">
        <f t="shared" si="61"/>
        <v>12188.607999999998</v>
      </c>
      <c r="I102" s="104" t="s">
        <v>173</v>
      </c>
      <c r="J102" s="107" t="s">
        <v>227</v>
      </c>
      <c r="K102" s="50" t="s">
        <v>228</v>
      </c>
      <c r="L102" s="104"/>
      <c r="M102" s="108" t="s">
        <v>141</v>
      </c>
      <c r="N102" s="108" t="s">
        <v>142</v>
      </c>
      <c r="O102" s="193">
        <v>1195.6600000000001</v>
      </c>
      <c r="P102" s="193">
        <v>0</v>
      </c>
      <c r="Q102" s="193">
        <v>1155.17</v>
      </c>
      <c r="R102" s="109"/>
      <c r="S102" s="193">
        <v>1.77</v>
      </c>
      <c r="T102" s="193">
        <v>23.4</v>
      </c>
      <c r="U102" s="193">
        <v>15.32</v>
      </c>
      <c r="V102" s="193">
        <v>0</v>
      </c>
      <c r="W102" s="193">
        <v>0</v>
      </c>
      <c r="X102" s="193"/>
      <c r="Y102" s="193"/>
      <c r="Z102" s="193"/>
      <c r="AA102" s="193"/>
      <c r="AB102" s="194">
        <v>2.4054829999999998</v>
      </c>
      <c r="AC102" s="194">
        <v>0.51885800000000004</v>
      </c>
      <c r="AD102" s="106">
        <v>0</v>
      </c>
      <c r="AE102" s="118">
        <v>12015.638671875</v>
      </c>
      <c r="AF102" s="106">
        <v>0</v>
      </c>
      <c r="AG102" s="106">
        <f t="shared" si="98"/>
        <v>12015.638671875</v>
      </c>
      <c r="AH102" s="106">
        <f t="shared" si="99"/>
        <v>6234.4102500117197</v>
      </c>
      <c r="AI102" s="106">
        <f t="shared" si="64"/>
        <v>0</v>
      </c>
      <c r="AJ102" s="106">
        <f t="shared" si="65"/>
        <v>2349.0986718749991</v>
      </c>
      <c r="AK102" s="106">
        <f t="shared" si="66"/>
        <v>0</v>
      </c>
      <c r="AL102" s="132">
        <f t="shared" si="67"/>
        <v>2349.0986718749991</v>
      </c>
      <c r="AM102" s="198">
        <f t="shared" si="68"/>
        <v>1218.8486386917184</v>
      </c>
      <c r="AN102" s="106">
        <v>407.27</v>
      </c>
      <c r="AO102" s="106">
        <v>927.42</v>
      </c>
      <c r="AP102" s="106">
        <v>710.94</v>
      </c>
      <c r="AQ102" s="106">
        <f t="shared" si="69"/>
        <v>2045.63</v>
      </c>
      <c r="AR102" s="193">
        <f t="shared" si="70"/>
        <v>1829.75725429</v>
      </c>
      <c r="AS102" s="106">
        <v>0</v>
      </c>
      <c r="AT102" s="106">
        <v>9666.5400000000009</v>
      </c>
      <c r="AU102" s="106">
        <v>0</v>
      </c>
      <c r="AV102" s="106">
        <f t="shared" si="87"/>
        <v>9666.5400000000009</v>
      </c>
      <c r="AW102" s="106">
        <v>407.27</v>
      </c>
      <c r="AX102" s="106">
        <v>927.42</v>
      </c>
      <c r="AY102" s="106">
        <v>710.94</v>
      </c>
      <c r="AZ102" s="106">
        <f t="shared" si="88"/>
        <v>2045.63</v>
      </c>
      <c r="BA102" s="197">
        <f t="shared" si="89"/>
        <v>1829.75725429</v>
      </c>
      <c r="BB102" s="105">
        <f t="shared" si="71"/>
        <v>0</v>
      </c>
      <c r="BC102" s="105">
        <f t="shared" si="79"/>
        <v>0</v>
      </c>
      <c r="BD102" s="105">
        <f t="shared" si="72"/>
        <v>0</v>
      </c>
      <c r="BE102" s="105">
        <f t="shared" si="80"/>
        <v>0</v>
      </c>
      <c r="BF102" s="105">
        <f t="shared" si="73"/>
        <v>0</v>
      </c>
      <c r="BG102" s="105">
        <f t="shared" si="81"/>
        <v>0</v>
      </c>
      <c r="BH102" s="105">
        <f t="shared" si="74"/>
        <v>0</v>
      </c>
      <c r="BI102" s="105">
        <f t="shared" si="75"/>
        <v>0</v>
      </c>
      <c r="BJ102" s="186">
        <f t="shared" si="76"/>
        <v>12099.858671874999</v>
      </c>
      <c r="BK102" s="182">
        <f t="shared" si="77"/>
        <v>3048.6058929817186</v>
      </c>
      <c r="BL102" s="98">
        <f t="shared" si="78"/>
        <v>4394.7286718749992</v>
      </c>
      <c r="BM102" s="99">
        <f t="shared" si="90"/>
        <v>407.27</v>
      </c>
      <c r="BN102" s="99">
        <f t="shared" si="91"/>
        <v>1638.3600000000001</v>
      </c>
      <c r="BO102" s="244">
        <v>2.4054829999999998</v>
      </c>
      <c r="BP102" s="244">
        <v>0.51885800000000004</v>
      </c>
      <c r="BQ102" s="182">
        <f t="shared" si="94"/>
        <v>979.68106140999987</v>
      </c>
      <c r="BR102" s="182">
        <f t="shared" si="82"/>
        <v>850.07619288000012</v>
      </c>
      <c r="BS102" s="106">
        <v>1865.92</v>
      </c>
      <c r="BT102" s="245">
        <v>0.67098999999999998</v>
      </c>
      <c r="BU102" s="182">
        <f t="shared" si="83"/>
        <v>1252.0136608</v>
      </c>
      <c r="BV102" s="95">
        <v>2332.4</v>
      </c>
      <c r="BW102" s="202">
        <v>0.67098999999999998</v>
      </c>
      <c r="BX102" s="182">
        <f t="shared" si="95"/>
        <v>1565.0170760000001</v>
      </c>
      <c r="BY102" s="106">
        <v>3506.81</v>
      </c>
      <c r="BZ102" s="202">
        <v>0.67098999999999998</v>
      </c>
      <c r="CA102" s="95">
        <f t="shared" si="96"/>
        <v>2353.0344418999998</v>
      </c>
      <c r="CB102" s="106"/>
      <c r="CC102" s="196"/>
      <c r="CD102" s="106"/>
      <c r="CE102" s="106"/>
      <c r="CF102" s="196"/>
      <c r="CG102" s="106"/>
      <c r="CH102" s="106"/>
      <c r="CI102" s="196"/>
      <c r="CJ102" s="106"/>
      <c r="CK102" s="106"/>
      <c r="CL102" s="196"/>
      <c r="CM102" s="106"/>
      <c r="CN102" s="182">
        <f t="shared" si="92"/>
        <v>8218.6710716817179</v>
      </c>
      <c r="CO102" s="105">
        <f t="shared" si="97"/>
        <v>25508.769999999997</v>
      </c>
      <c r="CP102" s="182">
        <f t="shared" si="84"/>
        <v>-57.943359999999544</v>
      </c>
      <c r="CQ102" s="95">
        <f t="shared" si="85"/>
        <v>6440.3586718749993</v>
      </c>
      <c r="CR102" s="115">
        <f t="shared" si="93"/>
        <v>-84.219999999999345</v>
      </c>
      <c r="CS102" s="113"/>
      <c r="CT102" s="205"/>
      <c r="CU102" s="187"/>
      <c r="CV102" s="187"/>
      <c r="CW102" s="240"/>
    </row>
    <row r="103" spans="1:101" s="51" customFormat="1" ht="19.899999999999999" customHeight="1" x14ac:dyDescent="0.3">
      <c r="A103" s="148" t="s">
        <v>200</v>
      </c>
      <c r="B103" s="50">
        <v>10025013856</v>
      </c>
      <c r="C103" s="148" t="s">
        <v>226</v>
      </c>
      <c r="D103" s="104" t="s">
        <v>226</v>
      </c>
      <c r="E103" s="104" t="s">
        <v>173</v>
      </c>
      <c r="F103" s="105">
        <v>17716</v>
      </c>
      <c r="G103" s="188">
        <v>0.68799999999999994</v>
      </c>
      <c r="H103" s="118">
        <f t="shared" si="61"/>
        <v>12188.607999999998</v>
      </c>
      <c r="I103" s="93" t="s">
        <v>173</v>
      </c>
      <c r="J103" s="96" t="s">
        <v>227</v>
      </c>
      <c r="K103" s="49" t="s">
        <v>228</v>
      </c>
      <c r="L103" s="93"/>
      <c r="M103" s="97" t="s">
        <v>130</v>
      </c>
      <c r="N103" s="97" t="s">
        <v>143</v>
      </c>
      <c r="O103" s="183">
        <v>1142.21</v>
      </c>
      <c r="P103" s="183">
        <v>0</v>
      </c>
      <c r="Q103" s="183">
        <v>1124.3</v>
      </c>
      <c r="R103" s="131"/>
      <c r="S103" s="183">
        <v>2.59</v>
      </c>
      <c r="T103" s="183">
        <v>0</v>
      </c>
      <c r="U103" s="183">
        <v>15.32</v>
      </c>
      <c r="V103" s="183">
        <v>0</v>
      </c>
      <c r="W103" s="183">
        <v>0</v>
      </c>
      <c r="X103" s="183"/>
      <c r="Y103" s="183"/>
      <c r="Z103" s="183"/>
      <c r="AA103" s="183"/>
      <c r="AB103" s="184">
        <v>2.3411900000000001</v>
      </c>
      <c r="AC103" s="184">
        <v>0.50498900000000002</v>
      </c>
      <c r="AD103" s="95">
        <v>0</v>
      </c>
      <c r="AE103" s="95">
        <v>9885.9775390625</v>
      </c>
      <c r="AF103" s="95">
        <v>0</v>
      </c>
      <c r="AG103" s="95">
        <f t="shared" si="98"/>
        <v>9885.9775390625</v>
      </c>
      <c r="AH103" s="95">
        <f t="shared" si="99"/>
        <v>4992.3099114736333</v>
      </c>
      <c r="AI103" s="95">
        <f t="shared" si="64"/>
        <v>0</v>
      </c>
      <c r="AJ103" s="95">
        <f t="shared" si="65"/>
        <v>2747.8075390624999</v>
      </c>
      <c r="AK103" s="95">
        <f t="shared" si="66"/>
        <v>0</v>
      </c>
      <c r="AL103" s="133">
        <f t="shared" si="67"/>
        <v>2747.8075390624999</v>
      </c>
      <c r="AM103" s="199">
        <f t="shared" si="68"/>
        <v>1387.6125813436329</v>
      </c>
      <c r="AN103" s="95">
        <v>377.04</v>
      </c>
      <c r="AO103" s="95">
        <v>938.49</v>
      </c>
      <c r="AP103" s="95">
        <v>580.55999999999995</v>
      </c>
      <c r="AQ103" s="95">
        <f t="shared" si="69"/>
        <v>1896.09</v>
      </c>
      <c r="AR103" s="183">
        <f t="shared" si="70"/>
        <v>1649.8258180500002</v>
      </c>
      <c r="AS103" s="95">
        <v>0</v>
      </c>
      <c r="AT103" s="95">
        <v>7138.17</v>
      </c>
      <c r="AU103" s="95">
        <v>0</v>
      </c>
      <c r="AV103" s="95">
        <f t="shared" si="87"/>
        <v>7138.17</v>
      </c>
      <c r="AW103" s="95">
        <v>377.04</v>
      </c>
      <c r="AX103" s="95">
        <v>938.49</v>
      </c>
      <c r="AY103" s="95">
        <v>580.55999999999995</v>
      </c>
      <c r="AZ103" s="95">
        <f t="shared" si="88"/>
        <v>1896.09</v>
      </c>
      <c r="BA103" s="197">
        <f t="shared" si="89"/>
        <v>1649.8258180500002</v>
      </c>
      <c r="BB103" s="94">
        <f t="shared" si="71"/>
        <v>0</v>
      </c>
      <c r="BC103" s="105">
        <f t="shared" si="79"/>
        <v>0</v>
      </c>
      <c r="BD103" s="94">
        <f t="shared" si="72"/>
        <v>0</v>
      </c>
      <c r="BE103" s="94">
        <f t="shared" si="80"/>
        <v>0</v>
      </c>
      <c r="BF103" s="94">
        <f t="shared" si="73"/>
        <v>0</v>
      </c>
      <c r="BG103" s="94">
        <f t="shared" si="81"/>
        <v>0</v>
      </c>
      <c r="BH103" s="94">
        <f t="shared" si="74"/>
        <v>0</v>
      </c>
      <c r="BI103" s="94">
        <f t="shared" si="75"/>
        <v>0</v>
      </c>
      <c r="BJ103" s="186">
        <f t="shared" si="76"/>
        <v>12377.1375390625</v>
      </c>
      <c r="BK103" s="182">
        <f t="shared" si="77"/>
        <v>3037.4383993936326</v>
      </c>
      <c r="BL103" s="98">
        <f t="shared" si="78"/>
        <v>4643.8975390625001</v>
      </c>
      <c r="BM103" s="99">
        <f t="shared" si="90"/>
        <v>377.04</v>
      </c>
      <c r="BN103" s="99">
        <f t="shared" si="91"/>
        <v>1519.05</v>
      </c>
      <c r="BO103" s="246">
        <v>2.3411900000000001</v>
      </c>
      <c r="BP103" s="246">
        <v>0.50498900000000002</v>
      </c>
      <c r="BQ103" s="182">
        <f t="shared" si="94"/>
        <v>882.7222776000001</v>
      </c>
      <c r="BR103" s="182">
        <f t="shared" si="82"/>
        <v>767.10354044999997</v>
      </c>
      <c r="BS103" s="95">
        <v>1933.31</v>
      </c>
      <c r="BT103" s="247">
        <v>0.67098999999999998</v>
      </c>
      <c r="BU103" s="182">
        <f t="shared" si="83"/>
        <v>1297.2316768999999</v>
      </c>
      <c r="BV103" s="106">
        <v>2416.64</v>
      </c>
      <c r="BW103" s="190">
        <v>0.67098999999999998</v>
      </c>
      <c r="BX103" s="182">
        <f t="shared" si="95"/>
        <v>1621.5412735999998</v>
      </c>
      <c r="BY103" s="95">
        <v>3383.29</v>
      </c>
      <c r="BZ103" s="190">
        <v>0.67098999999999998</v>
      </c>
      <c r="CA103" s="95">
        <f t="shared" si="96"/>
        <v>2270.1537570999999</v>
      </c>
      <c r="CB103" s="95"/>
      <c r="CC103" s="182"/>
      <c r="CD103" s="95"/>
      <c r="CE103" s="95"/>
      <c r="CF103" s="182"/>
      <c r="CG103" s="95"/>
      <c r="CH103" s="95"/>
      <c r="CI103" s="182"/>
      <c r="CJ103" s="95"/>
      <c r="CK103" s="95"/>
      <c r="CL103" s="182"/>
      <c r="CM103" s="95"/>
      <c r="CN103" s="182">
        <f t="shared" si="92"/>
        <v>8226.3651069936313</v>
      </c>
      <c r="CO103" s="105">
        <f t="shared" si="97"/>
        <v>23017.609999999997</v>
      </c>
      <c r="CP103" s="182">
        <f t="shared" si="84"/>
        <v>-1713.9180799999997</v>
      </c>
      <c r="CQ103" s="95">
        <f t="shared" si="85"/>
        <v>6539.9875390625002</v>
      </c>
      <c r="CR103" s="115">
        <f t="shared" si="93"/>
        <v>-2491.16</v>
      </c>
      <c r="CS103" s="113"/>
      <c r="CT103" s="205"/>
      <c r="CU103" s="187"/>
      <c r="CV103" s="187"/>
      <c r="CW103" s="240"/>
    </row>
    <row r="104" spans="1:101" s="122" customFormat="1" ht="18.75" customHeight="1" x14ac:dyDescent="0.3">
      <c r="A104" s="92" t="s">
        <v>200</v>
      </c>
      <c r="B104" s="49">
        <v>10025013856</v>
      </c>
      <c r="C104" s="92" t="s">
        <v>226</v>
      </c>
      <c r="D104" s="93" t="s">
        <v>226</v>
      </c>
      <c r="E104" s="93" t="s">
        <v>173</v>
      </c>
      <c r="F104" s="94">
        <v>17716</v>
      </c>
      <c r="G104" s="182">
        <v>0.68799999999999994</v>
      </c>
      <c r="H104" s="95">
        <f t="shared" si="61"/>
        <v>12188.607999999998</v>
      </c>
      <c r="I104" s="104" t="s">
        <v>173</v>
      </c>
      <c r="J104" s="107" t="s">
        <v>227</v>
      </c>
      <c r="K104" s="130" t="s">
        <v>228</v>
      </c>
      <c r="L104" s="129"/>
      <c r="M104" s="116" t="s">
        <v>144</v>
      </c>
      <c r="N104" s="116" t="s">
        <v>145</v>
      </c>
      <c r="O104" s="206">
        <v>1228.74</v>
      </c>
      <c r="P104" s="206">
        <v>0</v>
      </c>
      <c r="Q104" s="193">
        <v>1147.9100000000001</v>
      </c>
      <c r="R104" s="109"/>
      <c r="S104" s="193">
        <v>1.32</v>
      </c>
      <c r="T104" s="193">
        <v>64.19</v>
      </c>
      <c r="U104" s="193">
        <v>15.32</v>
      </c>
      <c r="V104" s="193">
        <v>0</v>
      </c>
      <c r="W104" s="193">
        <v>0</v>
      </c>
      <c r="X104" s="193"/>
      <c r="Y104" s="193"/>
      <c r="Z104" s="193"/>
      <c r="AA104" s="193"/>
      <c r="AB104" s="194">
        <v>2.3903490000000001</v>
      </c>
      <c r="AC104" s="194">
        <v>0.515594</v>
      </c>
      <c r="AD104" s="106">
        <v>0</v>
      </c>
      <c r="AE104" s="118">
        <v>14462.595703125</v>
      </c>
      <c r="AF104" s="106">
        <v>0</v>
      </c>
      <c r="AG104" s="106">
        <f t="shared" si="98"/>
        <v>14462.595703125</v>
      </c>
      <c r="AH104" s="106">
        <f t="shared" si="99"/>
        <v>7456.827568957031</v>
      </c>
      <c r="AI104" s="106">
        <f t="shared" si="64"/>
        <v>0</v>
      </c>
      <c r="AJ104" s="106">
        <f t="shared" si="65"/>
        <v>3704.4457031250004</v>
      </c>
      <c r="AK104" s="106">
        <f t="shared" si="66"/>
        <v>0</v>
      </c>
      <c r="AL104" s="132">
        <f t="shared" si="67"/>
        <v>3704.4457031250004</v>
      </c>
      <c r="AM104" s="198">
        <f t="shared" si="68"/>
        <v>1909.9899778570314</v>
      </c>
      <c r="AN104" s="98">
        <v>366.84</v>
      </c>
      <c r="AO104" s="98">
        <v>1153.74</v>
      </c>
      <c r="AP104" s="98">
        <v>658.05</v>
      </c>
      <c r="AQ104" s="106">
        <f t="shared" si="69"/>
        <v>2178.63</v>
      </c>
      <c r="AR104" s="193">
        <f t="shared" si="70"/>
        <v>1811.0236804199999</v>
      </c>
      <c r="AS104" s="98">
        <v>0</v>
      </c>
      <c r="AT104" s="98">
        <v>10758.15</v>
      </c>
      <c r="AU104" s="98">
        <v>0</v>
      </c>
      <c r="AV104" s="98">
        <f t="shared" si="87"/>
        <v>10758.15</v>
      </c>
      <c r="AW104" s="98">
        <v>366.84</v>
      </c>
      <c r="AX104" s="98">
        <v>1153.74</v>
      </c>
      <c r="AY104" s="98">
        <v>658.05</v>
      </c>
      <c r="AZ104" s="98">
        <f t="shared" si="88"/>
        <v>2178.63</v>
      </c>
      <c r="BA104" s="207">
        <f t="shared" si="89"/>
        <v>1811.0236804199999</v>
      </c>
      <c r="BB104" s="115">
        <f t="shared" si="71"/>
        <v>0</v>
      </c>
      <c r="BC104" s="115">
        <f t="shared" si="79"/>
        <v>0</v>
      </c>
      <c r="BD104" s="115">
        <f t="shared" si="72"/>
        <v>0</v>
      </c>
      <c r="BE104" s="115">
        <f t="shared" si="80"/>
        <v>0</v>
      </c>
      <c r="BF104" s="115">
        <f t="shared" si="73"/>
        <v>0</v>
      </c>
      <c r="BG104" s="115">
        <f t="shared" si="81"/>
        <v>0</v>
      </c>
      <c r="BH104" s="115">
        <f t="shared" si="74"/>
        <v>0</v>
      </c>
      <c r="BI104" s="115">
        <f t="shared" si="75"/>
        <v>0</v>
      </c>
      <c r="BJ104" s="186">
        <f t="shared" si="76"/>
        <v>11593.605703125002</v>
      </c>
      <c r="BK104" s="208">
        <f t="shared" si="77"/>
        <v>3721.0136582770315</v>
      </c>
      <c r="BL104" s="98">
        <f t="shared" si="78"/>
        <v>5883.0757031250005</v>
      </c>
      <c r="BM104" s="99">
        <f t="shared" si="90"/>
        <v>366.84</v>
      </c>
      <c r="BN104" s="99">
        <f t="shared" si="91"/>
        <v>1811.79</v>
      </c>
      <c r="BO104" s="248">
        <v>2.3903490000000001</v>
      </c>
      <c r="BP104" s="248">
        <v>0.515594</v>
      </c>
      <c r="BQ104" s="208">
        <f t="shared" si="94"/>
        <v>876.87562715999991</v>
      </c>
      <c r="BR104" s="208">
        <f t="shared" si="82"/>
        <v>934.14805325999998</v>
      </c>
      <c r="BS104" s="98">
        <v>1427.63</v>
      </c>
      <c r="BT104" s="249">
        <v>0.67098999999999998</v>
      </c>
      <c r="BU104" s="208">
        <f t="shared" si="83"/>
        <v>957.92545370000005</v>
      </c>
      <c r="BV104" s="95">
        <v>1784.54</v>
      </c>
      <c r="BW104" s="209">
        <v>0.67098999999999998</v>
      </c>
      <c r="BX104" s="208">
        <f t="shared" si="95"/>
        <v>1197.4084946</v>
      </c>
      <c r="BY104" s="98">
        <v>2498.36</v>
      </c>
      <c r="BZ104" s="209">
        <v>0.67098999999999998</v>
      </c>
      <c r="CA104" s="98">
        <f t="shared" si="96"/>
        <v>1676.3745764</v>
      </c>
      <c r="CB104" s="98"/>
      <c r="CC104" s="208"/>
      <c r="CD104" s="98"/>
      <c r="CE104" s="98"/>
      <c r="CF104" s="208"/>
      <c r="CG104" s="98"/>
      <c r="CH104" s="98"/>
      <c r="CI104" s="208"/>
      <c r="CJ104" s="98"/>
      <c r="CK104" s="98"/>
      <c r="CL104" s="208"/>
      <c r="CM104" s="98"/>
      <c r="CN104" s="182">
        <f t="shared" si="92"/>
        <v>7552.7221829770315</v>
      </c>
      <c r="CO104" s="105">
        <f t="shared" si="97"/>
        <v>25886.599999999995</v>
      </c>
      <c r="CP104" s="182">
        <f t="shared" si="84"/>
        <v>1973.8651199999999</v>
      </c>
      <c r="CQ104" s="98">
        <f t="shared" si="85"/>
        <v>8061.7057031250006</v>
      </c>
      <c r="CR104" s="115">
        <f t="shared" si="93"/>
        <v>2868.9900000000002</v>
      </c>
      <c r="CS104" s="210"/>
      <c r="CT104" s="205"/>
      <c r="CU104" s="187"/>
      <c r="CV104" s="187"/>
      <c r="CW104" s="240"/>
    </row>
    <row r="105" spans="1:101" s="51" customFormat="1" ht="18.75" customHeight="1" x14ac:dyDescent="0.3">
      <c r="A105" s="148" t="s">
        <v>200</v>
      </c>
      <c r="B105" s="50">
        <v>10025013856</v>
      </c>
      <c r="C105" s="148" t="s">
        <v>226</v>
      </c>
      <c r="D105" s="104" t="s">
        <v>226</v>
      </c>
      <c r="E105" s="104" t="s">
        <v>173</v>
      </c>
      <c r="F105" s="105">
        <v>17716</v>
      </c>
      <c r="G105" s="188">
        <v>0.68799999999999994</v>
      </c>
      <c r="H105" s="118">
        <f t="shared" si="61"/>
        <v>12188.607999999998</v>
      </c>
      <c r="I105" s="93" t="s">
        <v>173</v>
      </c>
      <c r="J105" s="96" t="s">
        <v>227</v>
      </c>
      <c r="K105" s="49" t="s">
        <v>228</v>
      </c>
      <c r="L105" s="93"/>
      <c r="M105" s="97" t="s">
        <v>146</v>
      </c>
      <c r="N105" s="97" t="s">
        <v>147</v>
      </c>
      <c r="O105" s="183">
        <v>0</v>
      </c>
      <c r="P105" s="183">
        <v>0</v>
      </c>
      <c r="Q105" s="183">
        <v>1202.57</v>
      </c>
      <c r="R105" s="131"/>
      <c r="S105" s="183">
        <v>2.2200000000000002</v>
      </c>
      <c r="T105" s="183">
        <v>0</v>
      </c>
      <c r="U105" s="183">
        <v>15.32</v>
      </c>
      <c r="V105" s="183">
        <v>0</v>
      </c>
      <c r="W105" s="183">
        <v>0</v>
      </c>
      <c r="X105" s="183"/>
      <c r="Y105" s="183"/>
      <c r="Z105" s="183">
        <v>-1220.1099999999999</v>
      </c>
      <c r="AA105" s="183"/>
      <c r="AB105" s="184">
        <v>2.4557060000000002</v>
      </c>
      <c r="AC105" s="184">
        <v>0.501162</v>
      </c>
      <c r="AD105" s="95">
        <v>0</v>
      </c>
      <c r="AE105" s="95">
        <v>15098.02</v>
      </c>
      <c r="AF105" s="95">
        <v>5.31</v>
      </c>
      <c r="AG105" s="95">
        <f t="shared" si="98"/>
        <v>15103.33</v>
      </c>
      <c r="AH105" s="95">
        <f t="shared" si="99"/>
        <v>7569.2150694599995</v>
      </c>
      <c r="AI105" s="95">
        <f t="shared" si="64"/>
        <v>0</v>
      </c>
      <c r="AJ105" s="95">
        <f t="shared" si="65"/>
        <v>4615.99</v>
      </c>
      <c r="AK105" s="95">
        <f t="shared" si="66"/>
        <v>5.31</v>
      </c>
      <c r="AL105" s="133">
        <f t="shared" si="67"/>
        <v>4621.3</v>
      </c>
      <c r="AM105" s="199">
        <f t="shared" si="68"/>
        <v>2316.0199505999999</v>
      </c>
      <c r="AN105" s="95">
        <v>432.92</v>
      </c>
      <c r="AO105" s="95">
        <v>1354.23</v>
      </c>
      <c r="AP105" s="95">
        <v>792.12</v>
      </c>
      <c r="AQ105" s="95">
        <f t="shared" si="69"/>
        <v>2579.27</v>
      </c>
      <c r="AR105" s="183">
        <f t="shared" si="70"/>
        <v>2138.7933002200002</v>
      </c>
      <c r="AS105" s="95">
        <v>0</v>
      </c>
      <c r="AT105" s="95">
        <v>10482.030000000001</v>
      </c>
      <c r="AU105" s="95">
        <v>0</v>
      </c>
      <c r="AV105" s="95">
        <f t="shared" si="87"/>
        <v>10482.030000000001</v>
      </c>
      <c r="AW105" s="95">
        <v>432.92</v>
      </c>
      <c r="AX105" s="95">
        <v>1354.23</v>
      </c>
      <c r="AY105" s="95">
        <v>792.12</v>
      </c>
      <c r="AZ105" s="95">
        <f t="shared" si="88"/>
        <v>2579.27</v>
      </c>
      <c r="BA105" s="197">
        <f t="shared" si="89"/>
        <v>2138.7933002200002</v>
      </c>
      <c r="BB105" s="94">
        <f t="shared" si="71"/>
        <v>0</v>
      </c>
      <c r="BC105" s="105">
        <f t="shared" si="79"/>
        <v>0</v>
      </c>
      <c r="BD105" s="94">
        <f t="shared" si="72"/>
        <v>0</v>
      </c>
      <c r="BE105" s="94">
        <f t="shared" si="80"/>
        <v>0</v>
      </c>
      <c r="BF105" s="94">
        <f t="shared" si="73"/>
        <v>0</v>
      </c>
      <c r="BG105" s="94">
        <f t="shared" si="81"/>
        <v>0</v>
      </c>
      <c r="BH105" s="94">
        <f t="shared" si="74"/>
        <v>0</v>
      </c>
      <c r="BI105" s="94">
        <f t="shared" si="75"/>
        <v>0</v>
      </c>
      <c r="BJ105" s="186">
        <f t="shared" si="76"/>
        <v>15807.090000000002</v>
      </c>
      <c r="BK105" s="182">
        <f t="shared" si="77"/>
        <v>4454.8132508200006</v>
      </c>
      <c r="BL105" s="98">
        <f t="shared" si="78"/>
        <v>7200.57</v>
      </c>
      <c r="BM105" s="99">
        <f t="shared" si="90"/>
        <v>432.92</v>
      </c>
      <c r="BN105" s="99">
        <f t="shared" si="91"/>
        <v>2146.35</v>
      </c>
      <c r="BO105" s="246">
        <v>2.4557060000000002</v>
      </c>
      <c r="BP105" s="246">
        <v>0.501162</v>
      </c>
      <c r="BQ105" s="182">
        <f t="shared" si="94"/>
        <v>1063.1242415200002</v>
      </c>
      <c r="BR105" s="182">
        <f t="shared" si="82"/>
        <v>1075.6690587000001</v>
      </c>
      <c r="BS105" s="95">
        <v>2151.63</v>
      </c>
      <c r="BT105" s="245">
        <v>0.68761300000000003</v>
      </c>
      <c r="BU105" s="182">
        <f t="shared" si="83"/>
        <v>1479.4887591900001</v>
      </c>
      <c r="BV105" s="98">
        <v>2689.54</v>
      </c>
      <c r="BW105" s="202">
        <v>0.67627499999999996</v>
      </c>
      <c r="BX105" s="211">
        <f t="shared" si="95"/>
        <v>1818.8686634999999</v>
      </c>
      <c r="BY105" s="95">
        <v>3765.35</v>
      </c>
      <c r="BZ105" s="202">
        <v>0.68889100000000003</v>
      </c>
      <c r="CA105" s="95">
        <f t="shared" si="96"/>
        <v>2593.9157268499998</v>
      </c>
      <c r="CB105" s="95"/>
      <c r="CC105" s="182"/>
      <c r="CD105" s="95"/>
      <c r="CE105" s="95"/>
      <c r="CF105" s="182"/>
      <c r="CG105" s="95"/>
      <c r="CH105" s="95"/>
      <c r="CI105" s="182"/>
      <c r="CJ105" s="95"/>
      <c r="CK105" s="95"/>
      <c r="CL105" s="182"/>
      <c r="CM105" s="95"/>
      <c r="CN105" s="182">
        <f t="shared" si="92"/>
        <v>10347.08640036</v>
      </c>
      <c r="CO105" s="105">
        <f t="shared" si="97"/>
        <v>25182.839999999997</v>
      </c>
      <c r="CP105" s="182">
        <f t="shared" si="84"/>
        <v>-484.1868799999998</v>
      </c>
      <c r="CQ105" s="95">
        <f t="shared" si="85"/>
        <v>9779.84</v>
      </c>
      <c r="CR105" s="115">
        <f t="shared" si="93"/>
        <v>-703.75999999999976</v>
      </c>
      <c r="CS105" s="212"/>
      <c r="CT105" s="205"/>
      <c r="CU105" s="187"/>
      <c r="CV105" s="187"/>
      <c r="CW105" s="240"/>
    </row>
    <row r="106" spans="1:101" s="51" customFormat="1" ht="18.75" customHeight="1" x14ac:dyDescent="0.3">
      <c r="A106" s="92" t="s">
        <v>200</v>
      </c>
      <c r="B106" s="49">
        <v>10025013856</v>
      </c>
      <c r="C106" s="92" t="s">
        <v>226</v>
      </c>
      <c r="D106" s="93" t="s">
        <v>226</v>
      </c>
      <c r="E106" s="93" t="s">
        <v>173</v>
      </c>
      <c r="F106" s="94">
        <v>17716</v>
      </c>
      <c r="G106" s="182">
        <v>0.68799999999999994</v>
      </c>
      <c r="H106" s="95">
        <f t="shared" si="61"/>
        <v>12188.607999999998</v>
      </c>
      <c r="I106" s="104" t="s">
        <v>173</v>
      </c>
      <c r="J106" s="107" t="s">
        <v>227</v>
      </c>
      <c r="K106" s="50" t="s">
        <v>228</v>
      </c>
      <c r="L106" s="104"/>
      <c r="M106" s="108" t="s">
        <v>148</v>
      </c>
      <c r="N106" s="108" t="s">
        <v>149</v>
      </c>
      <c r="O106" s="193">
        <v>1294.44</v>
      </c>
      <c r="P106" s="193">
        <v>0</v>
      </c>
      <c r="Q106" s="193">
        <v>1285.0999999999999</v>
      </c>
      <c r="R106" s="109"/>
      <c r="S106" s="193">
        <v>2.65</v>
      </c>
      <c r="T106" s="193">
        <v>0</v>
      </c>
      <c r="U106" s="193">
        <v>15.32</v>
      </c>
      <c r="V106" s="193">
        <v>0</v>
      </c>
      <c r="W106" s="193">
        <v>0</v>
      </c>
      <c r="X106" s="193"/>
      <c r="Y106" s="193"/>
      <c r="Z106" s="193">
        <v>-8.6300000000000008</v>
      </c>
      <c r="AA106" s="193"/>
      <c r="AB106" s="194">
        <v>2.538583</v>
      </c>
      <c r="AC106" s="194">
        <v>0.46666299999999999</v>
      </c>
      <c r="AD106" s="106">
        <v>2.68</v>
      </c>
      <c r="AE106" s="118">
        <v>16154.33</v>
      </c>
      <c r="AF106" s="106">
        <v>15.76</v>
      </c>
      <c r="AG106" s="106">
        <f t="shared" si="98"/>
        <v>16172.77</v>
      </c>
      <c r="AH106" s="106">
        <f t="shared" si="99"/>
        <v>7552.7861121100004</v>
      </c>
      <c r="AI106" s="106">
        <f t="shared" si="64"/>
        <v>2.66</v>
      </c>
      <c r="AJ106" s="106">
        <f t="shared" si="65"/>
        <v>4976.1499999999996</v>
      </c>
      <c r="AK106" s="106">
        <f t="shared" si="66"/>
        <v>14.59</v>
      </c>
      <c r="AL106" s="132">
        <f t="shared" si="67"/>
        <v>4993.3999999999996</v>
      </c>
      <c r="AM106" s="198">
        <f t="shared" si="68"/>
        <v>2335.7463313999997</v>
      </c>
      <c r="AN106" s="95">
        <v>388.79</v>
      </c>
      <c r="AO106" s="95">
        <v>1173.42</v>
      </c>
      <c r="AP106" s="95">
        <v>937.26</v>
      </c>
      <c r="AQ106" s="106">
        <f t="shared" si="69"/>
        <v>2499.4700000000003</v>
      </c>
      <c r="AR106" s="193">
        <f t="shared" si="70"/>
        <v>1971.9519454100002</v>
      </c>
      <c r="AS106" s="95">
        <v>0.02</v>
      </c>
      <c r="AT106" s="95">
        <v>11178.18</v>
      </c>
      <c r="AU106" s="95">
        <v>1.17</v>
      </c>
      <c r="AV106" s="95">
        <f t="shared" si="87"/>
        <v>11179.37</v>
      </c>
      <c r="AW106" s="95">
        <v>388.79</v>
      </c>
      <c r="AX106" s="95">
        <v>1173.42</v>
      </c>
      <c r="AY106" s="95">
        <v>937.26</v>
      </c>
      <c r="AZ106" s="95">
        <f t="shared" si="88"/>
        <v>2499.4700000000003</v>
      </c>
      <c r="BA106" s="197">
        <f t="shared" si="89"/>
        <v>1971.9519454100002</v>
      </c>
      <c r="BB106" s="94">
        <f t="shared" si="71"/>
        <v>0</v>
      </c>
      <c r="BC106" s="105">
        <f t="shared" si="79"/>
        <v>0</v>
      </c>
      <c r="BD106" s="94">
        <f t="shared" si="72"/>
        <v>0</v>
      </c>
      <c r="BE106" s="94">
        <f t="shared" si="80"/>
        <v>0</v>
      </c>
      <c r="BF106" s="94">
        <f t="shared" si="73"/>
        <v>0</v>
      </c>
      <c r="BG106" s="94">
        <f t="shared" si="81"/>
        <v>0</v>
      </c>
      <c r="BH106" s="94">
        <f t="shared" si="74"/>
        <v>0</v>
      </c>
      <c r="BI106" s="94">
        <f t="shared" si="75"/>
        <v>0</v>
      </c>
      <c r="BJ106" s="186">
        <f t="shared" si="76"/>
        <v>15878.5</v>
      </c>
      <c r="BK106" s="182">
        <f t="shared" si="77"/>
        <v>4307.6982768099997</v>
      </c>
      <c r="BL106" s="98">
        <f t="shared" si="78"/>
        <v>7492.87</v>
      </c>
      <c r="BM106" s="99">
        <f t="shared" si="90"/>
        <v>388.79</v>
      </c>
      <c r="BN106" s="99">
        <f t="shared" si="91"/>
        <v>2110.6800000000003</v>
      </c>
      <c r="BO106" s="246">
        <v>2.538583</v>
      </c>
      <c r="BP106" s="246">
        <v>0.46666299999999999</v>
      </c>
      <c r="BQ106" s="182">
        <f t="shared" si="94"/>
        <v>986.97568457000011</v>
      </c>
      <c r="BR106" s="182">
        <f t="shared" si="82"/>
        <v>984.97626084000012</v>
      </c>
      <c r="BS106" s="106">
        <v>2096.41</v>
      </c>
      <c r="BT106" s="247">
        <v>0.71062999999999998</v>
      </c>
      <c r="BU106" s="182">
        <f t="shared" si="83"/>
        <v>1489.7718382999999</v>
      </c>
      <c r="BV106" s="95">
        <v>2620.5100000000002</v>
      </c>
      <c r="BW106" s="190">
        <v>0.71062999999999998</v>
      </c>
      <c r="BX106" s="182">
        <f t="shared" si="95"/>
        <v>1862.2130213</v>
      </c>
      <c r="BY106" s="106">
        <v>3668.71</v>
      </c>
      <c r="BZ106" s="190">
        <v>0.71062999999999998</v>
      </c>
      <c r="CA106" s="95">
        <f t="shared" si="96"/>
        <v>2607.0953872999999</v>
      </c>
      <c r="CB106" s="95"/>
      <c r="CC106" s="182"/>
      <c r="CD106" s="95"/>
      <c r="CE106" s="95"/>
      <c r="CF106" s="182"/>
      <c r="CG106" s="95"/>
      <c r="CH106" s="95"/>
      <c r="CI106" s="182"/>
      <c r="CJ106" s="95"/>
      <c r="CK106" s="95"/>
      <c r="CL106" s="182"/>
      <c r="CM106" s="95"/>
      <c r="CN106" s="182">
        <f t="shared" si="92"/>
        <v>10266.77852371</v>
      </c>
      <c r="CO106" s="105">
        <f t="shared" si="97"/>
        <v>25477.109999999997</v>
      </c>
      <c r="CP106" s="182">
        <f t="shared" si="84"/>
        <v>202.45776000000092</v>
      </c>
      <c r="CQ106" s="95">
        <f t="shared" si="85"/>
        <v>9992.34</v>
      </c>
      <c r="CR106" s="115">
        <f t="shared" si="93"/>
        <v>294.27000000000135</v>
      </c>
      <c r="CS106" s="212"/>
      <c r="CT106" s="205"/>
      <c r="CU106" s="187"/>
      <c r="CV106" s="187"/>
      <c r="CW106" s="240"/>
    </row>
    <row r="107" spans="1:101" s="51" customFormat="1" ht="18.75" customHeight="1" x14ac:dyDescent="0.3">
      <c r="A107" s="148" t="s">
        <v>200</v>
      </c>
      <c r="B107" s="50">
        <v>10025013856</v>
      </c>
      <c r="C107" s="148" t="s">
        <v>226</v>
      </c>
      <c r="D107" s="104" t="s">
        <v>226</v>
      </c>
      <c r="E107" s="104" t="s">
        <v>173</v>
      </c>
      <c r="F107" s="105">
        <v>17716</v>
      </c>
      <c r="G107" s="188">
        <v>0.68799999999999994</v>
      </c>
      <c r="H107" s="118">
        <f t="shared" si="61"/>
        <v>12188.607999999998</v>
      </c>
      <c r="I107" s="93" t="s">
        <v>173</v>
      </c>
      <c r="J107" s="96" t="s">
        <v>227</v>
      </c>
      <c r="K107" s="49" t="s">
        <v>228</v>
      </c>
      <c r="L107" s="93"/>
      <c r="M107" s="97" t="s">
        <v>150</v>
      </c>
      <c r="N107" s="97" t="s">
        <v>151</v>
      </c>
      <c r="O107" s="183">
        <v>2296.91</v>
      </c>
      <c r="P107" s="183">
        <v>0</v>
      </c>
      <c r="Q107" s="183">
        <v>950.34</v>
      </c>
      <c r="R107" s="131"/>
      <c r="S107" s="183">
        <v>1.83</v>
      </c>
      <c r="T107" s="183">
        <v>0</v>
      </c>
      <c r="U107" s="183">
        <v>15.32</v>
      </c>
      <c r="V107" s="183">
        <v>0</v>
      </c>
      <c r="W107" s="183">
        <v>0</v>
      </c>
      <c r="X107" s="183"/>
      <c r="Y107" s="183"/>
      <c r="Z107" s="183">
        <v>1329.42</v>
      </c>
      <c r="AA107" s="183"/>
      <c r="AB107" s="184">
        <v>2.503069</v>
      </c>
      <c r="AC107" s="184">
        <v>0.46013500000000002</v>
      </c>
      <c r="AD107" s="95">
        <v>16.39</v>
      </c>
      <c r="AE107" s="95">
        <v>16121.48</v>
      </c>
      <c r="AF107" s="95">
        <v>11.99</v>
      </c>
      <c r="AG107" s="95">
        <f t="shared" si="98"/>
        <v>16149.859999999999</v>
      </c>
      <c r="AH107" s="95">
        <f t="shared" si="99"/>
        <v>7464.5995193599992</v>
      </c>
      <c r="AI107" s="95">
        <f t="shared" si="64"/>
        <v>14.440000000000001</v>
      </c>
      <c r="AJ107" s="95">
        <f t="shared" si="65"/>
        <v>3974.5399999999991</v>
      </c>
      <c r="AK107" s="95">
        <f t="shared" si="66"/>
        <v>11.99</v>
      </c>
      <c r="AL107" s="133">
        <f t="shared" si="67"/>
        <v>4000.9699999999989</v>
      </c>
      <c r="AM107" s="199">
        <f t="shared" si="68"/>
        <v>1870.4862979099994</v>
      </c>
      <c r="AN107" s="95">
        <v>237.75</v>
      </c>
      <c r="AO107" s="95">
        <v>662.97</v>
      </c>
      <c r="AP107" s="95">
        <v>616.23</v>
      </c>
      <c r="AQ107" s="95">
        <f t="shared" si="69"/>
        <v>1516.95</v>
      </c>
      <c r="AR107" s="183">
        <f t="shared" si="70"/>
        <v>1183.7093467499999</v>
      </c>
      <c r="AS107" s="95">
        <v>1.95</v>
      </c>
      <c r="AT107" s="95">
        <v>12146.94</v>
      </c>
      <c r="AU107" s="95">
        <v>0</v>
      </c>
      <c r="AV107" s="95">
        <f t="shared" si="87"/>
        <v>12148.890000000001</v>
      </c>
      <c r="AW107" s="95">
        <v>237.75</v>
      </c>
      <c r="AX107" s="95">
        <v>662.97</v>
      </c>
      <c r="AY107" s="95">
        <v>616.23</v>
      </c>
      <c r="AZ107" s="95">
        <f t="shared" si="88"/>
        <v>1516.95</v>
      </c>
      <c r="BA107" s="197">
        <f t="shared" si="89"/>
        <v>1183.7093467499999</v>
      </c>
      <c r="BB107" s="94">
        <f t="shared" si="71"/>
        <v>0</v>
      </c>
      <c r="BC107" s="105">
        <f t="shared" si="79"/>
        <v>0</v>
      </c>
      <c r="BD107" s="94">
        <f t="shared" si="72"/>
        <v>0</v>
      </c>
      <c r="BE107" s="94">
        <f t="shared" si="80"/>
        <v>0</v>
      </c>
      <c r="BF107" s="94">
        <f t="shared" si="73"/>
        <v>0</v>
      </c>
      <c r="BG107" s="94">
        <f t="shared" si="81"/>
        <v>0</v>
      </c>
      <c r="BH107" s="94">
        <f t="shared" si="74"/>
        <v>0</v>
      </c>
      <c r="BI107" s="94">
        <f t="shared" si="75"/>
        <v>0</v>
      </c>
      <c r="BJ107" s="186">
        <f t="shared" si="76"/>
        <v>14461.41</v>
      </c>
      <c r="BK107" s="182">
        <f t="shared" si="77"/>
        <v>3054.1956446599997</v>
      </c>
      <c r="BL107" s="98">
        <f t="shared" si="78"/>
        <v>5517.9199999999992</v>
      </c>
      <c r="BM107" s="99">
        <f t="shared" si="90"/>
        <v>237.75</v>
      </c>
      <c r="BN107" s="99">
        <f t="shared" si="91"/>
        <v>1279.2</v>
      </c>
      <c r="BO107" s="246">
        <v>2.503069</v>
      </c>
      <c r="BP107" s="246">
        <v>0.46013500000000002</v>
      </c>
      <c r="BQ107" s="182">
        <f t="shared" si="94"/>
        <v>595.10465475000001</v>
      </c>
      <c r="BR107" s="182">
        <f t="shared" si="82"/>
        <v>588.604692</v>
      </c>
      <c r="BS107" s="95">
        <v>2235.87</v>
      </c>
      <c r="BT107" s="250">
        <v>0.71062999999999998</v>
      </c>
      <c r="BU107" s="182">
        <f t="shared" si="83"/>
        <v>1588.8762981</v>
      </c>
      <c r="BV107" s="106">
        <v>2794.84</v>
      </c>
      <c r="BW107" s="184">
        <v>0.71062999999999998</v>
      </c>
      <c r="BX107" s="182">
        <f t="shared" si="95"/>
        <v>1986.0971492000001</v>
      </c>
      <c r="BY107" s="95">
        <v>3912.78</v>
      </c>
      <c r="BZ107" s="184">
        <v>0.71062999999999998</v>
      </c>
      <c r="CA107" s="95">
        <f t="shared" si="96"/>
        <v>2780.5388514000001</v>
      </c>
      <c r="CB107" s="95"/>
      <c r="CC107" s="182"/>
      <c r="CD107" s="95"/>
      <c r="CE107" s="95"/>
      <c r="CF107" s="182"/>
      <c r="CG107" s="95"/>
      <c r="CH107" s="95"/>
      <c r="CI107" s="182"/>
      <c r="CJ107" s="95"/>
      <c r="CK107" s="95"/>
      <c r="CL107" s="182"/>
      <c r="CM107" s="95"/>
      <c r="CN107" s="182">
        <f t="shared" si="92"/>
        <v>9409.7079433599993</v>
      </c>
      <c r="CO107" s="105">
        <f t="shared" si="97"/>
        <v>27165.559999999998</v>
      </c>
      <c r="CP107" s="182">
        <f t="shared" si="84"/>
        <v>1161.6535999999994</v>
      </c>
      <c r="CQ107" s="95">
        <f t="shared" si="85"/>
        <v>7034.869999999999</v>
      </c>
      <c r="CR107" s="115">
        <f t="shared" si="93"/>
        <v>1688.4499999999994</v>
      </c>
      <c r="CS107" s="212"/>
      <c r="CT107" s="205"/>
      <c r="CU107" s="187"/>
      <c r="CV107" s="187"/>
      <c r="CW107" s="240"/>
    </row>
    <row r="108" spans="1:101" s="51" customFormat="1" ht="18.75" customHeight="1" x14ac:dyDescent="0.3">
      <c r="A108" s="92" t="s">
        <v>200</v>
      </c>
      <c r="B108" s="49">
        <v>10025013856</v>
      </c>
      <c r="C108" s="92" t="s">
        <v>226</v>
      </c>
      <c r="D108" s="93" t="s">
        <v>226</v>
      </c>
      <c r="E108" s="93" t="s">
        <v>173</v>
      </c>
      <c r="F108" s="94">
        <v>17716</v>
      </c>
      <c r="G108" s="182">
        <v>0.68799999999999994</v>
      </c>
      <c r="H108" s="95">
        <f t="shared" si="61"/>
        <v>12188.607999999998</v>
      </c>
      <c r="I108" s="104" t="s">
        <v>173</v>
      </c>
      <c r="J108" s="107" t="s">
        <v>227</v>
      </c>
      <c r="K108" s="50" t="s">
        <v>228</v>
      </c>
      <c r="L108" s="104"/>
      <c r="M108" s="108" t="s">
        <v>152</v>
      </c>
      <c r="N108" s="108" t="s">
        <v>153</v>
      </c>
      <c r="O108" s="193">
        <v>1948.16</v>
      </c>
      <c r="P108" s="193">
        <v>0</v>
      </c>
      <c r="Q108" s="193">
        <v>947.79</v>
      </c>
      <c r="R108" s="109"/>
      <c r="S108" s="193">
        <v>1.74</v>
      </c>
      <c r="T108" s="193">
        <v>46.39</v>
      </c>
      <c r="U108" s="193">
        <v>15.32</v>
      </c>
      <c r="V108" s="193">
        <v>0</v>
      </c>
      <c r="W108" s="193">
        <v>0</v>
      </c>
      <c r="X108" s="193"/>
      <c r="Y108" s="193"/>
      <c r="Z108" s="193">
        <v>-388.93</v>
      </c>
      <c r="AA108" s="193"/>
      <c r="AB108" s="194">
        <v>2.496337</v>
      </c>
      <c r="AC108" s="194">
        <v>0.45889799999999997</v>
      </c>
      <c r="AD108" s="106">
        <v>31.44</v>
      </c>
      <c r="AE108" s="118">
        <v>15102.34</v>
      </c>
      <c r="AF108" s="106">
        <v>1.31</v>
      </c>
      <c r="AG108" s="106">
        <f t="shared" si="98"/>
        <v>15135.09</v>
      </c>
      <c r="AH108" s="106">
        <f t="shared" si="99"/>
        <v>7009.5196129799997</v>
      </c>
      <c r="AI108" s="106">
        <f t="shared" si="64"/>
        <v>24.650000000000002</v>
      </c>
      <c r="AJ108" s="106">
        <f t="shared" si="65"/>
        <v>3889.0599999999995</v>
      </c>
      <c r="AK108" s="106">
        <f t="shared" si="66"/>
        <v>1.31</v>
      </c>
      <c r="AL108" s="132">
        <f t="shared" si="67"/>
        <v>3915.0199999999995</v>
      </c>
      <c r="AM108" s="198">
        <f t="shared" si="68"/>
        <v>1846.8177193099996</v>
      </c>
      <c r="AN108" s="95">
        <v>146.6</v>
      </c>
      <c r="AO108" s="95">
        <v>538.74</v>
      </c>
      <c r="AP108" s="95">
        <v>416.97</v>
      </c>
      <c r="AQ108" s="95">
        <f t="shared" si="69"/>
        <v>1102.31</v>
      </c>
      <c r="AR108" s="183">
        <f t="shared" si="70"/>
        <v>804.53641177999998</v>
      </c>
      <c r="AS108" s="95">
        <v>6.79</v>
      </c>
      <c r="AT108" s="95">
        <v>11213.28</v>
      </c>
      <c r="AU108" s="95">
        <v>0</v>
      </c>
      <c r="AV108" s="95">
        <f t="shared" si="87"/>
        <v>11220.070000000002</v>
      </c>
      <c r="AW108" s="95">
        <v>146.6</v>
      </c>
      <c r="AX108" s="95">
        <v>538.74</v>
      </c>
      <c r="AY108" s="95">
        <v>416.97</v>
      </c>
      <c r="AZ108" s="95">
        <f t="shared" si="88"/>
        <v>1102.31</v>
      </c>
      <c r="BA108" s="197">
        <f t="shared" si="89"/>
        <v>804.53641177999998</v>
      </c>
      <c r="BB108" s="94">
        <f t="shared" si="71"/>
        <v>0</v>
      </c>
      <c r="BC108" s="105">
        <f t="shared" si="79"/>
        <v>0</v>
      </c>
      <c r="BD108" s="94">
        <f t="shared" si="72"/>
        <v>0</v>
      </c>
      <c r="BE108" s="94">
        <f t="shared" si="80"/>
        <v>0</v>
      </c>
      <c r="BF108" s="94">
        <f t="shared" si="73"/>
        <v>0</v>
      </c>
      <c r="BG108" s="94">
        <f t="shared" si="81"/>
        <v>0</v>
      </c>
      <c r="BH108" s="94">
        <f t="shared" si="74"/>
        <v>0</v>
      </c>
      <c r="BI108" s="94">
        <f t="shared" si="75"/>
        <v>0</v>
      </c>
      <c r="BJ108" s="186">
        <f t="shared" si="76"/>
        <v>14736.439999999999</v>
      </c>
      <c r="BK108" s="182">
        <f t="shared" si="77"/>
        <v>2651.35413109</v>
      </c>
      <c r="BL108" s="98">
        <f t="shared" si="78"/>
        <v>5017.33</v>
      </c>
      <c r="BM108" s="99">
        <f t="shared" si="90"/>
        <v>146.6</v>
      </c>
      <c r="BN108" s="99">
        <f t="shared" si="91"/>
        <v>955.71</v>
      </c>
      <c r="BO108" s="184">
        <v>2.496337</v>
      </c>
      <c r="BP108" s="184">
        <v>0.45889799999999997</v>
      </c>
      <c r="BQ108" s="182">
        <f t="shared" si="94"/>
        <v>365.9630042</v>
      </c>
      <c r="BR108" s="182">
        <f t="shared" si="82"/>
        <v>438.57340757999998</v>
      </c>
      <c r="BS108" s="95">
        <v>2429.7800000000002</v>
      </c>
      <c r="BT108" s="250">
        <v>0.71062999999999998</v>
      </c>
      <c r="BU108" s="182">
        <f t="shared" si="83"/>
        <v>1726.6745614000001</v>
      </c>
      <c r="BV108" s="95">
        <v>3037.22</v>
      </c>
      <c r="BW108" s="184">
        <v>0.71062999999999998</v>
      </c>
      <c r="BX108" s="182">
        <f t="shared" si="95"/>
        <v>2158.3396485999997</v>
      </c>
      <c r="BY108" s="95">
        <v>4252.1099999999997</v>
      </c>
      <c r="BZ108" s="184">
        <v>0.71062999999999998</v>
      </c>
      <c r="CA108" s="95">
        <f t="shared" si="96"/>
        <v>3021.6769292999998</v>
      </c>
      <c r="CB108" s="95"/>
      <c r="CC108" s="182"/>
      <c r="CD108" s="95"/>
      <c r="CE108" s="95"/>
      <c r="CF108" s="182"/>
      <c r="CG108" s="95"/>
      <c r="CH108" s="95"/>
      <c r="CI108" s="182"/>
      <c r="CJ108" s="95"/>
      <c r="CK108" s="95"/>
      <c r="CL108" s="182"/>
      <c r="CM108" s="95"/>
      <c r="CN108" s="182">
        <f t="shared" si="92"/>
        <v>9558.0452703899991</v>
      </c>
      <c r="CO108" s="105">
        <f t="shared" si="97"/>
        <v>27564.21</v>
      </c>
      <c r="CP108" s="182">
        <f t="shared" si="84"/>
        <v>274.27120000000161</v>
      </c>
      <c r="CQ108" s="95">
        <f t="shared" si="85"/>
        <v>6119.6399999999994</v>
      </c>
      <c r="CR108" s="115">
        <f t="shared" si="93"/>
        <v>398.65000000000236</v>
      </c>
      <c r="CS108" s="212"/>
      <c r="CT108" s="205"/>
      <c r="CU108" s="187"/>
      <c r="CV108" s="187"/>
      <c r="CW108" s="240"/>
    </row>
    <row r="109" spans="1:101" s="51" customFormat="1" ht="18.75" customHeight="1" x14ac:dyDescent="0.3">
      <c r="A109" s="148" t="s">
        <v>200</v>
      </c>
      <c r="B109" s="50">
        <v>10025013856</v>
      </c>
      <c r="C109" s="148" t="s">
        <v>226</v>
      </c>
      <c r="D109" s="104" t="s">
        <v>226</v>
      </c>
      <c r="E109" s="104" t="s">
        <v>173</v>
      </c>
      <c r="F109" s="105">
        <v>17716</v>
      </c>
      <c r="G109" s="188">
        <v>0.68799999999999994</v>
      </c>
      <c r="H109" s="118">
        <f t="shared" si="61"/>
        <v>12188.607999999998</v>
      </c>
      <c r="I109" s="104" t="s">
        <v>173</v>
      </c>
      <c r="J109" s="107" t="s">
        <v>227</v>
      </c>
      <c r="K109" s="50" t="s">
        <v>228</v>
      </c>
      <c r="L109" s="104"/>
      <c r="M109" s="97" t="s">
        <v>155</v>
      </c>
      <c r="N109" s="108" t="s">
        <v>156</v>
      </c>
      <c r="O109" s="193">
        <v>2336.06</v>
      </c>
      <c r="P109" s="193">
        <v>0</v>
      </c>
      <c r="Q109" s="193">
        <v>967.05</v>
      </c>
      <c r="R109" s="109"/>
      <c r="S109" s="193">
        <v>0.89</v>
      </c>
      <c r="T109" s="193">
        <v>0</v>
      </c>
      <c r="U109" s="193">
        <v>15.32</v>
      </c>
      <c r="V109" s="193">
        <v>0</v>
      </c>
      <c r="W109" s="193">
        <v>0</v>
      </c>
      <c r="X109" s="193"/>
      <c r="Y109" s="193"/>
      <c r="Z109" s="193"/>
      <c r="AA109" s="193"/>
      <c r="AB109" s="194">
        <v>2.5470839999999999</v>
      </c>
      <c r="AC109" s="194">
        <v>0.468225</v>
      </c>
      <c r="AD109" s="106">
        <v>15.86</v>
      </c>
      <c r="AE109" s="118">
        <v>14212.88</v>
      </c>
      <c r="AF109" s="106">
        <v>0.01</v>
      </c>
      <c r="AG109" s="106">
        <f t="shared" si="98"/>
        <v>14228.75</v>
      </c>
      <c r="AH109" s="106">
        <f t="shared" si="99"/>
        <v>6695.2271724899992</v>
      </c>
      <c r="AI109" s="106">
        <f t="shared" si="64"/>
        <v>15.02</v>
      </c>
      <c r="AJ109" s="106">
        <f t="shared" si="65"/>
        <v>4123.9699999999993</v>
      </c>
      <c r="AK109" s="106">
        <f t="shared" si="66"/>
        <v>0.01</v>
      </c>
      <c r="AL109" s="132">
        <f t="shared" si="67"/>
        <v>4139</v>
      </c>
      <c r="AM109" s="198">
        <f t="shared" si="68"/>
        <v>1969.2077371799999</v>
      </c>
      <c r="AN109" s="95">
        <v>329.01</v>
      </c>
      <c r="AO109" s="95">
        <v>975.39</v>
      </c>
      <c r="AP109" s="95">
        <v>782.28</v>
      </c>
      <c r="AQ109" s="95">
        <f t="shared" si="69"/>
        <v>2086.6800000000003</v>
      </c>
      <c r="AR109" s="183">
        <f t="shared" si="70"/>
        <v>1661.00114259</v>
      </c>
      <c r="AS109" s="95">
        <v>0.84</v>
      </c>
      <c r="AT109" s="95">
        <v>10088.91</v>
      </c>
      <c r="AU109" s="95">
        <v>0</v>
      </c>
      <c r="AV109" s="95">
        <f t="shared" si="87"/>
        <v>10089.75</v>
      </c>
      <c r="AW109" s="95">
        <v>329.01</v>
      </c>
      <c r="AX109" s="95">
        <v>975.39</v>
      </c>
      <c r="AY109" s="95">
        <v>782.28</v>
      </c>
      <c r="AZ109" s="95">
        <f t="shared" si="88"/>
        <v>2086.6800000000003</v>
      </c>
      <c r="BA109" s="197">
        <f t="shared" si="89"/>
        <v>1661.00114259</v>
      </c>
      <c r="BB109" s="94">
        <f t="shared" si="71"/>
        <v>0</v>
      </c>
      <c r="BC109" s="105">
        <f t="shared" si="79"/>
        <v>0</v>
      </c>
      <c r="BD109" s="94">
        <f t="shared" si="72"/>
        <v>0</v>
      </c>
      <c r="BE109" s="94">
        <f t="shared" si="80"/>
        <v>0</v>
      </c>
      <c r="BF109" s="94">
        <f t="shared" si="73"/>
        <v>0</v>
      </c>
      <c r="BG109" s="94">
        <f t="shared" si="81"/>
        <v>0</v>
      </c>
      <c r="BH109" s="94">
        <f t="shared" si="74"/>
        <v>0</v>
      </c>
      <c r="BI109" s="94">
        <f t="shared" si="75"/>
        <v>0</v>
      </c>
      <c r="BJ109" s="186">
        <f t="shared" si="76"/>
        <v>18733.150000000001</v>
      </c>
      <c r="BK109" s="182">
        <f t="shared" si="77"/>
        <v>3630.2088797699998</v>
      </c>
      <c r="BL109" s="98">
        <f t="shared" si="78"/>
        <v>6225.68</v>
      </c>
      <c r="BM109" s="99">
        <f t="shared" si="90"/>
        <v>329.01</v>
      </c>
      <c r="BN109" s="99">
        <f t="shared" si="91"/>
        <v>1757.67</v>
      </c>
      <c r="BO109" s="194">
        <v>2.5470839999999999</v>
      </c>
      <c r="BP109" s="194">
        <v>0.468225</v>
      </c>
      <c r="BQ109" s="182">
        <f t="shared" si="94"/>
        <v>838.01610683999991</v>
      </c>
      <c r="BR109" s="182">
        <f t="shared" si="82"/>
        <v>822.98503575000007</v>
      </c>
      <c r="BS109" s="95">
        <v>2244.0100000000002</v>
      </c>
      <c r="BT109" s="250">
        <v>0.71062999999999998</v>
      </c>
      <c r="BU109" s="182">
        <f t="shared" si="83"/>
        <v>1594.6608263000001</v>
      </c>
      <c r="BV109" s="95">
        <v>2805.02</v>
      </c>
      <c r="BW109" s="184">
        <v>0.71062999999999998</v>
      </c>
      <c r="BX109" s="182">
        <f t="shared" si="95"/>
        <v>1993.3313625999999</v>
      </c>
      <c r="BY109" s="95">
        <v>7458.44</v>
      </c>
      <c r="BZ109" s="184">
        <v>0.71062999999999998</v>
      </c>
      <c r="CA109" s="95">
        <f t="shared" si="96"/>
        <v>5300.1912171999993</v>
      </c>
      <c r="CB109" s="95"/>
      <c r="CC109" s="182"/>
      <c r="CD109" s="95"/>
      <c r="CE109" s="95"/>
      <c r="CF109" s="182"/>
      <c r="CG109" s="95"/>
      <c r="CH109" s="95"/>
      <c r="CI109" s="182"/>
      <c r="CJ109" s="95"/>
      <c r="CK109" s="95"/>
      <c r="CL109" s="182"/>
      <c r="CM109" s="95"/>
      <c r="CN109" s="182">
        <f t="shared" si="92"/>
        <v>12518.392285869999</v>
      </c>
      <c r="CO109" s="105">
        <f t="shared" si="97"/>
        <v>23059.809999999998</v>
      </c>
      <c r="CP109" s="182">
        <f t="shared" si="84"/>
        <v>-3099.0271999999995</v>
      </c>
      <c r="CQ109" s="95">
        <f t="shared" si="85"/>
        <v>8312.36</v>
      </c>
      <c r="CR109" s="115">
        <f t="shared" si="93"/>
        <v>-4504.3999999999996</v>
      </c>
      <c r="CS109" s="212"/>
      <c r="CT109" s="205"/>
      <c r="CU109" s="187"/>
      <c r="CV109" s="187"/>
      <c r="CW109" s="240"/>
    </row>
    <row r="110" spans="1:101" s="51" customFormat="1" ht="19.899999999999999" customHeight="1" x14ac:dyDescent="0.3">
      <c r="A110" s="92" t="s">
        <v>200</v>
      </c>
      <c r="B110" s="49">
        <v>10036302595</v>
      </c>
      <c r="C110" s="92" t="s">
        <v>229</v>
      </c>
      <c r="D110" s="93" t="s">
        <v>229</v>
      </c>
      <c r="E110" s="93" t="s">
        <v>159</v>
      </c>
      <c r="F110" s="94">
        <v>3801.5</v>
      </c>
      <c r="G110" s="182">
        <v>0.96</v>
      </c>
      <c r="H110" s="95">
        <f t="shared" si="61"/>
        <v>3649.44</v>
      </c>
      <c r="I110" s="93"/>
      <c r="J110" s="96" t="s">
        <v>230</v>
      </c>
      <c r="K110" s="49" t="s">
        <v>209</v>
      </c>
      <c r="L110" s="93"/>
      <c r="M110" s="97" t="s">
        <v>159</v>
      </c>
      <c r="N110" s="97" t="s">
        <v>231</v>
      </c>
      <c r="O110" s="183">
        <v>971.02</v>
      </c>
      <c r="P110" s="183">
        <v>0</v>
      </c>
      <c r="Q110" s="183">
        <v>0</v>
      </c>
      <c r="R110" s="131"/>
      <c r="S110" s="183">
        <v>0</v>
      </c>
      <c r="T110" s="183">
        <v>0</v>
      </c>
      <c r="U110" s="183">
        <v>0</v>
      </c>
      <c r="V110" s="183">
        <v>0</v>
      </c>
      <c r="W110" s="183">
        <v>0</v>
      </c>
      <c r="X110" s="183"/>
      <c r="Y110" s="183"/>
      <c r="Z110" s="183"/>
      <c r="AA110" s="183"/>
      <c r="AB110" s="184">
        <v>0.86012999999999995</v>
      </c>
      <c r="AC110" s="184">
        <v>0.86012999999999995</v>
      </c>
      <c r="AD110" s="95">
        <v>0</v>
      </c>
      <c r="AE110" s="95">
        <v>966.8</v>
      </c>
      <c r="AF110" s="95">
        <v>0</v>
      </c>
      <c r="AG110" s="95">
        <f t="shared" si="98"/>
        <v>966.8</v>
      </c>
      <c r="AH110" s="95">
        <f t="shared" si="99"/>
        <v>831.57368399999996</v>
      </c>
      <c r="AI110" s="95">
        <f t="shared" si="64"/>
        <v>0</v>
      </c>
      <c r="AJ110" s="95">
        <f t="shared" si="65"/>
        <v>700.8</v>
      </c>
      <c r="AK110" s="95">
        <f t="shared" si="66"/>
        <v>0</v>
      </c>
      <c r="AL110" s="133">
        <f t="shared" si="67"/>
        <v>700.8</v>
      </c>
      <c r="AM110" s="199">
        <f t="shared" si="68"/>
        <v>602.77910399999996</v>
      </c>
      <c r="AN110" s="95">
        <v>0</v>
      </c>
      <c r="AO110" s="95">
        <v>1394.92</v>
      </c>
      <c r="AP110" s="95">
        <v>0</v>
      </c>
      <c r="AQ110" s="106">
        <f t="shared" si="69"/>
        <v>1394.92</v>
      </c>
      <c r="AR110" s="193">
        <f t="shared" si="70"/>
        <v>1199.8125396</v>
      </c>
      <c r="AS110" s="95">
        <v>0</v>
      </c>
      <c r="AT110" s="95">
        <v>266</v>
      </c>
      <c r="AU110" s="95">
        <v>0</v>
      </c>
      <c r="AV110" s="95">
        <f t="shared" si="87"/>
        <v>266</v>
      </c>
      <c r="AW110" s="95">
        <v>0</v>
      </c>
      <c r="AX110" s="95">
        <v>266</v>
      </c>
      <c r="AY110" s="95">
        <v>0</v>
      </c>
      <c r="AZ110" s="95">
        <f t="shared" si="88"/>
        <v>266</v>
      </c>
      <c r="BA110" s="197">
        <f t="shared" si="89"/>
        <v>228.79458</v>
      </c>
      <c r="BB110" s="94">
        <f t="shared" si="71"/>
        <v>0</v>
      </c>
      <c r="BC110" s="105">
        <f t="shared" si="79"/>
        <v>0</v>
      </c>
      <c r="BD110" s="94">
        <f t="shared" si="72"/>
        <v>1128.92</v>
      </c>
      <c r="BE110" s="94">
        <f t="shared" si="80"/>
        <v>971.01795960000004</v>
      </c>
      <c r="BF110" s="94">
        <f t="shared" si="73"/>
        <v>0</v>
      </c>
      <c r="BG110" s="94">
        <f t="shared" si="81"/>
        <v>0</v>
      </c>
      <c r="BH110" s="94">
        <f t="shared" si="74"/>
        <v>1128.92</v>
      </c>
      <c r="BI110" s="94">
        <f t="shared" si="75"/>
        <v>971.01795960000004</v>
      </c>
      <c r="BJ110" s="186">
        <f t="shared" si="76"/>
        <v>966.8</v>
      </c>
      <c r="BK110" s="182">
        <f t="shared" si="77"/>
        <v>831.57368399999996</v>
      </c>
      <c r="BL110" s="98">
        <f t="shared" si="78"/>
        <v>966.8</v>
      </c>
      <c r="BM110" s="99">
        <f t="shared" si="90"/>
        <v>0</v>
      </c>
      <c r="BN110" s="99">
        <f t="shared" si="91"/>
        <v>266</v>
      </c>
      <c r="BO110" s="182"/>
      <c r="BP110" s="251">
        <v>0.86012999999999995</v>
      </c>
      <c r="BQ110" s="182"/>
      <c r="BR110" s="182">
        <f t="shared" si="82"/>
        <v>228.79458</v>
      </c>
      <c r="BS110" s="95"/>
      <c r="BT110" s="245">
        <v>0.86012999999999995</v>
      </c>
      <c r="BU110" s="182">
        <f t="shared" ref="BU110:BU141" si="100">BS110*BT110</f>
        <v>0</v>
      </c>
      <c r="BV110" s="95"/>
      <c r="BW110" s="245">
        <v>0.80854999999999999</v>
      </c>
      <c r="BX110" s="182">
        <f t="shared" si="95"/>
        <v>0</v>
      </c>
      <c r="BY110" s="95"/>
      <c r="BZ110" s="182"/>
      <c r="CA110" s="95">
        <f t="shared" si="96"/>
        <v>0</v>
      </c>
      <c r="CB110" s="95"/>
      <c r="CC110" s="182"/>
      <c r="CD110" s="95"/>
      <c r="CE110" s="95"/>
      <c r="CF110" s="182"/>
      <c r="CG110" s="95"/>
      <c r="CH110" s="95"/>
      <c r="CI110" s="182"/>
      <c r="CJ110" s="95"/>
      <c r="CK110" s="95"/>
      <c r="CL110" s="182"/>
      <c r="CM110" s="95"/>
      <c r="CN110" s="182">
        <f t="shared" si="92"/>
        <v>831.57368399999996</v>
      </c>
      <c r="CO110" s="94">
        <v>0</v>
      </c>
      <c r="CP110" s="182">
        <f t="shared" ref="CP110:CP141" si="101">CR110*G110</f>
        <v>0</v>
      </c>
      <c r="CQ110" s="95">
        <f t="shared" ref="CQ110:CQ123" si="102">AL110+AZ110+AQ110</f>
        <v>2361.7200000000003</v>
      </c>
      <c r="CR110" s="115">
        <f t="shared" si="93"/>
        <v>0</v>
      </c>
      <c r="CS110" s="113"/>
      <c r="CT110" s="113"/>
      <c r="CU110" s="187"/>
      <c r="CV110" s="187"/>
      <c r="CW110" s="240"/>
    </row>
    <row r="111" spans="1:101" s="51" customFormat="1" ht="19.899999999999999" customHeight="1" x14ac:dyDescent="0.3">
      <c r="A111" s="148" t="s">
        <v>200</v>
      </c>
      <c r="B111" s="50">
        <v>10036302595</v>
      </c>
      <c r="C111" s="148" t="s">
        <v>229</v>
      </c>
      <c r="D111" s="104" t="s">
        <v>229</v>
      </c>
      <c r="E111" s="104" t="s">
        <v>159</v>
      </c>
      <c r="F111" s="105">
        <v>3801.5</v>
      </c>
      <c r="G111" s="188">
        <v>0.96</v>
      </c>
      <c r="H111" s="118">
        <f t="shared" si="61"/>
        <v>3649.44</v>
      </c>
      <c r="I111" s="104"/>
      <c r="J111" s="107" t="s">
        <v>230</v>
      </c>
      <c r="K111" s="50" t="s">
        <v>209</v>
      </c>
      <c r="L111" s="104"/>
      <c r="M111" s="108" t="s">
        <v>163</v>
      </c>
      <c r="N111" s="108" t="s">
        <v>232</v>
      </c>
      <c r="O111" s="193">
        <v>3943.04</v>
      </c>
      <c r="P111" s="193">
        <v>0</v>
      </c>
      <c r="Q111" s="193">
        <v>0</v>
      </c>
      <c r="R111" s="109"/>
      <c r="S111" s="193">
        <v>0</v>
      </c>
      <c r="T111" s="193">
        <v>0</v>
      </c>
      <c r="U111" s="193">
        <v>0</v>
      </c>
      <c r="V111" s="193">
        <v>0</v>
      </c>
      <c r="W111" s="193">
        <v>0</v>
      </c>
      <c r="X111" s="193"/>
      <c r="Y111" s="193"/>
      <c r="Z111" s="193"/>
      <c r="AA111" s="193"/>
      <c r="AB111" s="194">
        <v>0.83287</v>
      </c>
      <c r="AC111" s="194">
        <v>0.83287</v>
      </c>
      <c r="AD111" s="106">
        <v>0</v>
      </c>
      <c r="AE111" s="118">
        <v>4028.3</v>
      </c>
      <c r="AF111" s="106">
        <v>0</v>
      </c>
      <c r="AG111" s="106">
        <f t="shared" si="98"/>
        <v>4028.3</v>
      </c>
      <c r="AH111" s="106">
        <f t="shared" si="99"/>
        <v>3355.050221</v>
      </c>
      <c r="AI111" s="106">
        <f t="shared" si="64"/>
        <v>0</v>
      </c>
      <c r="AJ111" s="106">
        <f t="shared" si="65"/>
        <v>2814.3</v>
      </c>
      <c r="AK111" s="106">
        <f t="shared" si="66"/>
        <v>0</v>
      </c>
      <c r="AL111" s="132">
        <f t="shared" si="67"/>
        <v>2814.3</v>
      </c>
      <c r="AM111" s="198">
        <f t="shared" si="68"/>
        <v>2343.9460410000002</v>
      </c>
      <c r="AN111" s="106">
        <v>0</v>
      </c>
      <c r="AO111" s="106">
        <f>5674+274.29</f>
        <v>5948.29</v>
      </c>
      <c r="AP111" s="106">
        <v>0</v>
      </c>
      <c r="AQ111" s="95">
        <f t="shared" si="69"/>
        <v>5948.29</v>
      </c>
      <c r="AR111" s="183">
        <f t="shared" si="70"/>
        <v>4954.1522923000002</v>
      </c>
      <c r="AS111" s="106">
        <v>0</v>
      </c>
      <c r="AT111" s="106">
        <v>1214</v>
      </c>
      <c r="AU111" s="106">
        <v>0</v>
      </c>
      <c r="AV111" s="106">
        <f t="shared" si="87"/>
        <v>1214</v>
      </c>
      <c r="AW111" s="106">
        <v>0</v>
      </c>
      <c r="AX111" s="106">
        <v>1214</v>
      </c>
      <c r="AY111" s="106">
        <v>0</v>
      </c>
      <c r="AZ111" s="106">
        <f t="shared" si="88"/>
        <v>1214</v>
      </c>
      <c r="BA111" s="197">
        <f t="shared" si="89"/>
        <v>1011.10418</v>
      </c>
      <c r="BB111" s="105">
        <f t="shared" si="71"/>
        <v>0</v>
      </c>
      <c r="BC111" s="105">
        <f t="shared" si="79"/>
        <v>0</v>
      </c>
      <c r="BD111" s="105">
        <f t="shared" si="72"/>
        <v>4734.29</v>
      </c>
      <c r="BE111" s="105">
        <f t="shared" si="80"/>
        <v>3943.0481123</v>
      </c>
      <c r="BF111" s="105">
        <f t="shared" si="73"/>
        <v>0</v>
      </c>
      <c r="BG111" s="105">
        <f t="shared" si="81"/>
        <v>0</v>
      </c>
      <c r="BH111" s="105">
        <f t="shared" si="74"/>
        <v>4734.29</v>
      </c>
      <c r="BI111" s="105">
        <f t="shared" si="75"/>
        <v>3943.0481123</v>
      </c>
      <c r="BJ111" s="186">
        <f t="shared" si="76"/>
        <v>4028.3</v>
      </c>
      <c r="BK111" s="182">
        <f t="shared" si="77"/>
        <v>3355.050221</v>
      </c>
      <c r="BL111" s="98">
        <f t="shared" si="78"/>
        <v>4028.3</v>
      </c>
      <c r="BM111" s="99">
        <f t="shared" si="90"/>
        <v>0</v>
      </c>
      <c r="BN111" s="99">
        <f t="shared" si="91"/>
        <v>1214</v>
      </c>
      <c r="BO111" s="196"/>
      <c r="BP111" s="252">
        <v>0.83287</v>
      </c>
      <c r="BQ111" s="182"/>
      <c r="BR111" s="182">
        <f t="shared" si="82"/>
        <v>1011.10418</v>
      </c>
      <c r="BS111" s="106"/>
      <c r="BT111" s="253">
        <v>0.83287</v>
      </c>
      <c r="BU111" s="182">
        <f t="shared" si="100"/>
        <v>0</v>
      </c>
      <c r="BV111" s="106"/>
      <c r="BW111" s="253">
        <v>0.78291999999999995</v>
      </c>
      <c r="BX111" s="182">
        <f t="shared" si="95"/>
        <v>0</v>
      </c>
      <c r="BY111" s="106"/>
      <c r="BZ111" s="196"/>
      <c r="CA111" s="95">
        <f t="shared" si="96"/>
        <v>0</v>
      </c>
      <c r="CB111" s="106"/>
      <c r="CC111" s="196"/>
      <c r="CD111" s="106"/>
      <c r="CE111" s="106"/>
      <c r="CF111" s="196"/>
      <c r="CG111" s="106"/>
      <c r="CH111" s="106"/>
      <c r="CI111" s="196"/>
      <c r="CJ111" s="106"/>
      <c r="CK111" s="106"/>
      <c r="CL111" s="196"/>
      <c r="CM111" s="106"/>
      <c r="CN111" s="182">
        <f t="shared" si="92"/>
        <v>3355.050221</v>
      </c>
      <c r="CO111" s="105">
        <v>0</v>
      </c>
      <c r="CP111" s="182">
        <f t="shared" si="101"/>
        <v>0</v>
      </c>
      <c r="CQ111" s="95">
        <f t="shared" si="102"/>
        <v>9976.59</v>
      </c>
      <c r="CR111" s="115">
        <f t="shared" si="93"/>
        <v>0</v>
      </c>
      <c r="CS111" s="113"/>
      <c r="CT111" s="113"/>
      <c r="CU111" s="187"/>
      <c r="CV111" s="187"/>
      <c r="CW111" s="240"/>
    </row>
    <row r="112" spans="1:101" s="51" customFormat="1" ht="19.899999999999999" customHeight="1" x14ac:dyDescent="0.3">
      <c r="A112" s="92" t="s">
        <v>200</v>
      </c>
      <c r="B112" s="49">
        <v>10036302595</v>
      </c>
      <c r="C112" s="92" t="s">
        <v>229</v>
      </c>
      <c r="D112" s="93" t="s">
        <v>229</v>
      </c>
      <c r="E112" s="93" t="s">
        <v>159</v>
      </c>
      <c r="F112" s="94">
        <v>3801.5</v>
      </c>
      <c r="G112" s="182">
        <v>0.96</v>
      </c>
      <c r="H112" s="95">
        <f t="shared" si="61"/>
        <v>3649.44</v>
      </c>
      <c r="I112" s="93"/>
      <c r="J112" s="96" t="s">
        <v>230</v>
      </c>
      <c r="K112" s="49" t="s">
        <v>209</v>
      </c>
      <c r="L112" s="93"/>
      <c r="M112" s="97" t="s">
        <v>165</v>
      </c>
      <c r="N112" s="97" t="s">
        <v>233</v>
      </c>
      <c r="O112" s="183">
        <v>5966.37</v>
      </c>
      <c r="P112" s="183">
        <v>0</v>
      </c>
      <c r="Q112" s="183">
        <v>0</v>
      </c>
      <c r="R112" s="131"/>
      <c r="S112" s="183">
        <v>0</v>
      </c>
      <c r="T112" s="183">
        <v>0</v>
      </c>
      <c r="U112" s="183">
        <v>0</v>
      </c>
      <c r="V112" s="183">
        <v>0</v>
      </c>
      <c r="W112" s="183">
        <v>0</v>
      </c>
      <c r="X112" s="183"/>
      <c r="Y112" s="183"/>
      <c r="Z112" s="183"/>
      <c r="AA112" s="183"/>
      <c r="AB112" s="184">
        <v>0.83218999999999999</v>
      </c>
      <c r="AC112" s="184">
        <v>0.83218999999999999</v>
      </c>
      <c r="AD112" s="95">
        <v>0</v>
      </c>
      <c r="AE112" s="95">
        <v>3558.4</v>
      </c>
      <c r="AF112" s="95">
        <v>0</v>
      </c>
      <c r="AG112" s="95">
        <f t="shared" si="98"/>
        <v>3558.4</v>
      </c>
      <c r="AH112" s="95">
        <f t="shared" si="99"/>
        <v>2961.2648960000001</v>
      </c>
      <c r="AI112" s="95">
        <f t="shared" si="64"/>
        <v>0</v>
      </c>
      <c r="AJ112" s="95">
        <f t="shared" si="65"/>
        <v>2832.4</v>
      </c>
      <c r="AK112" s="95">
        <f t="shared" si="66"/>
        <v>0</v>
      </c>
      <c r="AL112" s="133">
        <f t="shared" si="67"/>
        <v>2832.4</v>
      </c>
      <c r="AM112" s="199">
        <f t="shared" si="68"/>
        <v>2357.0949559999999</v>
      </c>
      <c r="AN112" s="95">
        <v>0</v>
      </c>
      <c r="AO112" s="95">
        <f>7113+274.29</f>
        <v>7387.29</v>
      </c>
      <c r="AP112" s="95">
        <v>0</v>
      </c>
      <c r="AQ112" s="106">
        <f t="shared" si="69"/>
        <v>7387.29</v>
      </c>
      <c r="AR112" s="193">
        <f t="shared" si="70"/>
        <v>6147.6288650999995</v>
      </c>
      <c r="AS112" s="95">
        <v>0</v>
      </c>
      <c r="AT112" s="95">
        <v>726</v>
      </c>
      <c r="AU112" s="95">
        <v>0</v>
      </c>
      <c r="AV112" s="95">
        <f t="shared" si="87"/>
        <v>726</v>
      </c>
      <c r="AW112" s="95">
        <v>0</v>
      </c>
      <c r="AX112" s="95">
        <v>217.8</v>
      </c>
      <c r="AY112" s="95">
        <v>0</v>
      </c>
      <c r="AZ112" s="95">
        <f t="shared" si="88"/>
        <v>217.8</v>
      </c>
      <c r="BA112" s="197">
        <f t="shared" si="89"/>
        <v>181.25098199999999</v>
      </c>
      <c r="BB112" s="94">
        <f t="shared" si="71"/>
        <v>0</v>
      </c>
      <c r="BC112" s="105">
        <f t="shared" si="79"/>
        <v>0</v>
      </c>
      <c r="BD112" s="94">
        <f t="shared" si="72"/>
        <v>7169.49</v>
      </c>
      <c r="BE112" s="94">
        <f t="shared" si="80"/>
        <v>5966.3778831</v>
      </c>
      <c r="BF112" s="94">
        <f t="shared" si="73"/>
        <v>0</v>
      </c>
      <c r="BG112" s="94">
        <f t="shared" si="81"/>
        <v>0</v>
      </c>
      <c r="BH112" s="94">
        <f t="shared" si="74"/>
        <v>7169.49</v>
      </c>
      <c r="BI112" s="94">
        <f t="shared" si="75"/>
        <v>5966.3778831</v>
      </c>
      <c r="BJ112" s="186">
        <f t="shared" si="76"/>
        <v>3422.61</v>
      </c>
      <c r="BK112" s="182">
        <f t="shared" si="77"/>
        <v>2538.3459380000004</v>
      </c>
      <c r="BL112" s="98">
        <f t="shared" si="78"/>
        <v>3050.2000000000003</v>
      </c>
      <c r="BM112" s="99">
        <f t="shared" si="90"/>
        <v>0</v>
      </c>
      <c r="BN112" s="99">
        <f t="shared" si="91"/>
        <v>217.8</v>
      </c>
      <c r="BO112" s="182"/>
      <c r="BP112" s="251">
        <v>0.83218999999999999</v>
      </c>
      <c r="BQ112" s="182"/>
      <c r="BR112" s="182">
        <f t="shared" si="82"/>
        <v>181.25098199999999</v>
      </c>
      <c r="BS112" s="95">
        <v>372.41</v>
      </c>
      <c r="BT112" s="245">
        <v>0.83218999999999999</v>
      </c>
      <c r="BU112" s="182">
        <f t="shared" si="100"/>
        <v>309.9158779</v>
      </c>
      <c r="BV112" s="95"/>
      <c r="BW112" s="245">
        <v>0.78227000000000002</v>
      </c>
      <c r="BX112" s="182">
        <f t="shared" si="95"/>
        <v>0</v>
      </c>
      <c r="BY112" s="95"/>
      <c r="BZ112" s="182"/>
      <c r="CA112" s="95">
        <f t="shared" si="96"/>
        <v>0</v>
      </c>
      <c r="CB112" s="95"/>
      <c r="CC112" s="182"/>
      <c r="CD112" s="95"/>
      <c r="CE112" s="95"/>
      <c r="CF112" s="182"/>
      <c r="CG112" s="95"/>
      <c r="CH112" s="95"/>
      <c r="CI112" s="182"/>
      <c r="CJ112" s="95"/>
      <c r="CK112" s="95"/>
      <c r="CL112" s="182"/>
      <c r="CM112" s="95"/>
      <c r="CN112" s="182">
        <f t="shared" si="92"/>
        <v>2848.2618159000003</v>
      </c>
      <c r="CO112" s="94">
        <f>AV112-(AZ112+BS112+BV112+BY112)</f>
        <v>135.78999999999996</v>
      </c>
      <c r="CP112" s="182">
        <f t="shared" si="101"/>
        <v>130.35839999999996</v>
      </c>
      <c r="CQ112" s="95">
        <f t="shared" si="102"/>
        <v>10437.49</v>
      </c>
      <c r="CR112" s="115">
        <f t="shared" si="93"/>
        <v>135.78999999999996</v>
      </c>
      <c r="CS112" s="113"/>
      <c r="CT112" s="113"/>
      <c r="CU112" s="187"/>
      <c r="CV112" s="187"/>
      <c r="CW112" s="240"/>
    </row>
    <row r="113" spans="1:101" s="51" customFormat="1" ht="19.899999999999999" customHeight="1" x14ac:dyDescent="0.3">
      <c r="A113" s="148" t="s">
        <v>200</v>
      </c>
      <c r="B113" s="50">
        <v>10036302595</v>
      </c>
      <c r="C113" s="148" t="s">
        <v>229</v>
      </c>
      <c r="D113" s="104" t="s">
        <v>229</v>
      </c>
      <c r="E113" s="104" t="s">
        <v>159</v>
      </c>
      <c r="F113" s="105">
        <v>3801.5</v>
      </c>
      <c r="G113" s="188">
        <v>0.96</v>
      </c>
      <c r="H113" s="118">
        <f t="shared" si="61"/>
        <v>3649.44</v>
      </c>
      <c r="I113" s="104"/>
      <c r="J113" s="107" t="s">
        <v>230</v>
      </c>
      <c r="K113" s="50" t="s">
        <v>209</v>
      </c>
      <c r="L113" s="104"/>
      <c r="M113" s="108" t="s">
        <v>133</v>
      </c>
      <c r="N113" s="108" t="s">
        <v>234</v>
      </c>
      <c r="O113" s="193">
        <v>5122.21</v>
      </c>
      <c r="P113" s="193">
        <v>0</v>
      </c>
      <c r="Q113" s="193">
        <v>0</v>
      </c>
      <c r="R113" s="109"/>
      <c r="S113" s="193">
        <v>0</v>
      </c>
      <c r="T113" s="193">
        <v>0</v>
      </c>
      <c r="U113" s="193">
        <v>0</v>
      </c>
      <c r="V113" s="193">
        <v>0</v>
      </c>
      <c r="W113" s="193">
        <v>0</v>
      </c>
      <c r="X113" s="193"/>
      <c r="Y113" s="193"/>
      <c r="Z113" s="193"/>
      <c r="AA113" s="193"/>
      <c r="AB113" s="194">
        <v>0.86587000000000003</v>
      </c>
      <c r="AC113" s="194">
        <v>0.86587000000000003</v>
      </c>
      <c r="AD113" s="106">
        <v>0</v>
      </c>
      <c r="AE113" s="118">
        <v>3196.1</v>
      </c>
      <c r="AF113" s="106">
        <v>0</v>
      </c>
      <c r="AG113" s="106">
        <f t="shared" si="98"/>
        <v>3196.1</v>
      </c>
      <c r="AH113" s="106">
        <f t="shared" si="99"/>
        <v>2767.407107</v>
      </c>
      <c r="AI113" s="106">
        <f t="shared" si="64"/>
        <v>0</v>
      </c>
      <c r="AJ113" s="106">
        <f t="shared" si="65"/>
        <v>2374.1</v>
      </c>
      <c r="AK113" s="106">
        <f t="shared" si="66"/>
        <v>0</v>
      </c>
      <c r="AL113" s="132">
        <f t="shared" si="67"/>
        <v>2374.1</v>
      </c>
      <c r="AM113" s="198">
        <f t="shared" si="68"/>
        <v>2055.661967</v>
      </c>
      <c r="AN113" s="106">
        <v>0</v>
      </c>
      <c r="AO113" s="106">
        <f>5888+274.29</f>
        <v>6162.29</v>
      </c>
      <c r="AP113" s="106">
        <v>0</v>
      </c>
      <c r="AQ113" s="95">
        <f t="shared" si="69"/>
        <v>6162.29</v>
      </c>
      <c r="AR113" s="183">
        <f t="shared" si="70"/>
        <v>5335.7420423000003</v>
      </c>
      <c r="AS113" s="106">
        <v>0</v>
      </c>
      <c r="AT113" s="106">
        <v>822</v>
      </c>
      <c r="AU113" s="106">
        <v>0</v>
      </c>
      <c r="AV113" s="106">
        <f t="shared" si="87"/>
        <v>822</v>
      </c>
      <c r="AW113" s="106">
        <v>0</v>
      </c>
      <c r="AX113" s="106">
        <v>246.6</v>
      </c>
      <c r="AY113" s="106">
        <v>0</v>
      </c>
      <c r="AZ113" s="106">
        <f t="shared" si="88"/>
        <v>246.6</v>
      </c>
      <c r="BA113" s="197">
        <f t="shared" si="89"/>
        <v>213.52354199999999</v>
      </c>
      <c r="BB113" s="105">
        <f t="shared" si="71"/>
        <v>0</v>
      </c>
      <c r="BC113" s="105">
        <f t="shared" si="79"/>
        <v>0</v>
      </c>
      <c r="BD113" s="105">
        <f t="shared" si="72"/>
        <v>5915.69</v>
      </c>
      <c r="BE113" s="105">
        <f t="shared" si="80"/>
        <v>5122.2185002999995</v>
      </c>
      <c r="BF113" s="105">
        <f t="shared" si="73"/>
        <v>0</v>
      </c>
      <c r="BG113" s="105">
        <f t="shared" si="81"/>
        <v>0</v>
      </c>
      <c r="BH113" s="105">
        <f t="shared" si="74"/>
        <v>5915.69</v>
      </c>
      <c r="BI113" s="105">
        <f t="shared" si="75"/>
        <v>5122.2185002999995</v>
      </c>
      <c r="BJ113" s="186">
        <f t="shared" si="76"/>
        <v>3169.7</v>
      </c>
      <c r="BK113" s="182">
        <f t="shared" si="77"/>
        <v>2269.1855089999999</v>
      </c>
      <c r="BL113" s="98">
        <f t="shared" si="78"/>
        <v>2620.6999999999998</v>
      </c>
      <c r="BM113" s="99">
        <f t="shared" si="90"/>
        <v>0</v>
      </c>
      <c r="BN113" s="99">
        <f t="shared" si="91"/>
        <v>246.6</v>
      </c>
      <c r="BO113" s="196"/>
      <c r="BP113" s="252">
        <v>0.86587000000000003</v>
      </c>
      <c r="BQ113" s="182"/>
      <c r="BR113" s="182">
        <f t="shared" si="82"/>
        <v>213.52354199999999</v>
      </c>
      <c r="BS113" s="106">
        <v>549</v>
      </c>
      <c r="BT113" s="253">
        <v>0.86587000000000003</v>
      </c>
      <c r="BU113" s="182">
        <f t="shared" si="100"/>
        <v>475.36263000000002</v>
      </c>
      <c r="BV113" s="106"/>
      <c r="BW113" s="253">
        <v>0.81393000000000004</v>
      </c>
      <c r="BX113" s="182">
        <f t="shared" si="95"/>
        <v>0</v>
      </c>
      <c r="BY113" s="106"/>
      <c r="BZ113" s="196"/>
      <c r="CA113" s="95">
        <f t="shared" si="96"/>
        <v>0</v>
      </c>
      <c r="CB113" s="106"/>
      <c r="CC113" s="196"/>
      <c r="CD113" s="106"/>
      <c r="CE113" s="106"/>
      <c r="CF113" s="196"/>
      <c r="CG113" s="106"/>
      <c r="CH113" s="106"/>
      <c r="CI113" s="196"/>
      <c r="CJ113" s="106"/>
      <c r="CK113" s="106"/>
      <c r="CL113" s="196"/>
      <c r="CM113" s="106"/>
      <c r="CN113" s="182">
        <f t="shared" si="92"/>
        <v>2744.548139</v>
      </c>
      <c r="CO113" s="105">
        <f t="shared" ref="CO113:CO123" si="103">(AV113-(AZ113+BV113+BY80+CB113+CE113+CH113+CK113+BS113)+CO112)</f>
        <v>162.18999999999994</v>
      </c>
      <c r="CP113" s="182">
        <f t="shared" si="101"/>
        <v>25.343999999999976</v>
      </c>
      <c r="CQ113" s="95">
        <f t="shared" si="102"/>
        <v>8782.99</v>
      </c>
      <c r="CR113" s="115">
        <f t="shared" si="93"/>
        <v>26.399999999999977</v>
      </c>
      <c r="CS113" s="113"/>
      <c r="CT113" s="113"/>
      <c r="CU113" s="187"/>
      <c r="CV113" s="187"/>
      <c r="CW113" s="240"/>
    </row>
    <row r="114" spans="1:101" s="51" customFormat="1" ht="19.899999999999999" customHeight="1" x14ac:dyDescent="0.3">
      <c r="A114" s="92" t="s">
        <v>200</v>
      </c>
      <c r="B114" s="49">
        <v>10036302595</v>
      </c>
      <c r="C114" s="92" t="s">
        <v>229</v>
      </c>
      <c r="D114" s="93" t="s">
        <v>229</v>
      </c>
      <c r="E114" s="93" t="s">
        <v>159</v>
      </c>
      <c r="F114" s="94">
        <v>3801.5</v>
      </c>
      <c r="G114" s="182">
        <v>0.96</v>
      </c>
      <c r="H114" s="95">
        <f t="shared" si="61"/>
        <v>3649.44</v>
      </c>
      <c r="I114" s="93"/>
      <c r="J114" s="96" t="s">
        <v>230</v>
      </c>
      <c r="K114" s="49" t="s">
        <v>209</v>
      </c>
      <c r="L114" s="93"/>
      <c r="M114" s="97" t="s">
        <v>135</v>
      </c>
      <c r="N114" s="97" t="s">
        <v>235</v>
      </c>
      <c r="O114" s="183">
        <v>2014.99</v>
      </c>
      <c r="P114" s="183">
        <v>0</v>
      </c>
      <c r="Q114" s="183">
        <v>0</v>
      </c>
      <c r="R114" s="131"/>
      <c r="S114" s="183">
        <v>0</v>
      </c>
      <c r="T114" s="183">
        <v>0</v>
      </c>
      <c r="U114" s="183">
        <v>0</v>
      </c>
      <c r="V114" s="183">
        <v>0</v>
      </c>
      <c r="W114" s="183">
        <v>0</v>
      </c>
      <c r="X114" s="183"/>
      <c r="Y114" s="183"/>
      <c r="Z114" s="183"/>
      <c r="AA114" s="183"/>
      <c r="AB114" s="184">
        <v>0.86063999999999996</v>
      </c>
      <c r="AC114" s="184">
        <v>0.86063999999999996</v>
      </c>
      <c r="AD114" s="95">
        <v>0</v>
      </c>
      <c r="AE114" s="95">
        <v>3968.9</v>
      </c>
      <c r="AF114" s="95">
        <v>0</v>
      </c>
      <c r="AG114" s="95">
        <f t="shared" si="98"/>
        <v>3968.9</v>
      </c>
      <c r="AH114" s="95">
        <f t="shared" si="99"/>
        <v>3415.7940960000001</v>
      </c>
      <c r="AI114" s="95">
        <f t="shared" si="64"/>
        <v>0</v>
      </c>
      <c r="AJ114" s="95">
        <f t="shared" si="65"/>
        <v>3968.9</v>
      </c>
      <c r="AK114" s="95">
        <f t="shared" si="66"/>
        <v>0</v>
      </c>
      <c r="AL114" s="133">
        <f t="shared" si="67"/>
        <v>3968.9</v>
      </c>
      <c r="AM114" s="199">
        <f t="shared" si="68"/>
        <v>3415.7940960000001</v>
      </c>
      <c r="AN114" s="95">
        <v>0</v>
      </c>
      <c r="AO114" s="95">
        <f>2066.99+274.29</f>
        <v>2341.2799999999997</v>
      </c>
      <c r="AP114" s="95">
        <v>0</v>
      </c>
      <c r="AQ114" s="106">
        <f t="shared" si="69"/>
        <v>2341.2799999999997</v>
      </c>
      <c r="AR114" s="193">
        <f t="shared" si="70"/>
        <v>2014.9992191999997</v>
      </c>
      <c r="AS114" s="95">
        <v>0</v>
      </c>
      <c r="AT114" s="95">
        <v>0</v>
      </c>
      <c r="AU114" s="95">
        <v>0</v>
      </c>
      <c r="AV114" s="95">
        <f t="shared" si="87"/>
        <v>0</v>
      </c>
      <c r="AW114" s="95">
        <v>0</v>
      </c>
      <c r="AX114" s="95">
        <v>0</v>
      </c>
      <c r="AY114" s="95">
        <v>0</v>
      </c>
      <c r="AZ114" s="95">
        <f t="shared" si="88"/>
        <v>0</v>
      </c>
      <c r="BA114" s="197">
        <f t="shared" si="89"/>
        <v>0</v>
      </c>
      <c r="BB114" s="94">
        <f t="shared" si="71"/>
        <v>0</v>
      </c>
      <c r="BC114" s="105">
        <f t="shared" si="79"/>
        <v>0</v>
      </c>
      <c r="BD114" s="94">
        <f t="shared" si="72"/>
        <v>2341.2799999999997</v>
      </c>
      <c r="BE114" s="94">
        <f t="shared" si="80"/>
        <v>2014.9992191999997</v>
      </c>
      <c r="BF114" s="94">
        <f t="shared" si="73"/>
        <v>0</v>
      </c>
      <c r="BG114" s="94">
        <f t="shared" si="81"/>
        <v>0</v>
      </c>
      <c r="BH114" s="94">
        <f t="shared" si="74"/>
        <v>2341.2799999999997</v>
      </c>
      <c r="BI114" s="94">
        <f t="shared" si="75"/>
        <v>2014.9992191999997</v>
      </c>
      <c r="BJ114" s="186">
        <f t="shared" si="76"/>
        <v>3976.29</v>
      </c>
      <c r="BK114" s="182">
        <f t="shared" si="77"/>
        <v>3415.7940960000001</v>
      </c>
      <c r="BL114" s="98">
        <f t="shared" si="78"/>
        <v>3968.9</v>
      </c>
      <c r="BM114" s="99">
        <f t="shared" si="90"/>
        <v>0</v>
      </c>
      <c r="BN114" s="99">
        <f t="shared" si="91"/>
        <v>0</v>
      </c>
      <c r="BO114" s="182"/>
      <c r="BP114" s="251">
        <v>0.86063999999999996</v>
      </c>
      <c r="BQ114" s="182"/>
      <c r="BR114" s="182">
        <f t="shared" si="82"/>
        <v>0</v>
      </c>
      <c r="BS114" s="95">
        <v>7.39</v>
      </c>
      <c r="BT114" s="245">
        <v>0.86063999999999996</v>
      </c>
      <c r="BU114" s="182">
        <f t="shared" si="100"/>
        <v>6.3601295999999996</v>
      </c>
      <c r="BV114" s="95"/>
      <c r="BW114" s="245">
        <v>0.80901000000000001</v>
      </c>
      <c r="BX114" s="182">
        <f t="shared" si="95"/>
        <v>0</v>
      </c>
      <c r="BY114" s="95"/>
      <c r="BZ114" s="182"/>
      <c r="CA114" s="95">
        <f t="shared" si="96"/>
        <v>0</v>
      </c>
      <c r="CB114" s="95"/>
      <c r="CC114" s="182"/>
      <c r="CD114" s="95"/>
      <c r="CE114" s="95"/>
      <c r="CF114" s="182"/>
      <c r="CG114" s="95"/>
      <c r="CH114" s="95"/>
      <c r="CI114" s="182"/>
      <c r="CJ114" s="95"/>
      <c r="CK114" s="95"/>
      <c r="CL114" s="182"/>
      <c r="CM114" s="95"/>
      <c r="CN114" s="182">
        <f t="shared" si="92"/>
        <v>3422.1542256000002</v>
      </c>
      <c r="CO114" s="105">
        <f t="shared" si="103"/>
        <v>154.79999999999995</v>
      </c>
      <c r="CP114" s="182">
        <f t="shared" si="101"/>
        <v>-7.0943999999999994</v>
      </c>
      <c r="CQ114" s="95">
        <f t="shared" si="102"/>
        <v>6310.18</v>
      </c>
      <c r="CR114" s="115">
        <f t="shared" si="93"/>
        <v>-7.39</v>
      </c>
      <c r="CS114" s="113"/>
      <c r="CT114" s="113"/>
      <c r="CU114" s="187"/>
      <c r="CV114" s="187"/>
      <c r="CW114" s="240"/>
    </row>
    <row r="115" spans="1:101" s="51" customFormat="1" ht="19.899999999999999" customHeight="1" x14ac:dyDescent="0.3">
      <c r="A115" s="148" t="s">
        <v>200</v>
      </c>
      <c r="B115" s="50">
        <v>10036302595</v>
      </c>
      <c r="C115" s="148" t="s">
        <v>229</v>
      </c>
      <c r="D115" s="104" t="s">
        <v>229</v>
      </c>
      <c r="E115" s="104" t="s">
        <v>159</v>
      </c>
      <c r="F115" s="105">
        <v>3801.5</v>
      </c>
      <c r="G115" s="188">
        <v>0.96</v>
      </c>
      <c r="H115" s="118">
        <f t="shared" si="61"/>
        <v>3649.44</v>
      </c>
      <c r="I115" s="104"/>
      <c r="J115" s="107" t="s">
        <v>230</v>
      </c>
      <c r="K115" s="50" t="s">
        <v>209</v>
      </c>
      <c r="L115" s="104"/>
      <c r="M115" s="108" t="s">
        <v>137</v>
      </c>
      <c r="N115" s="108" t="s">
        <v>236</v>
      </c>
      <c r="O115" s="193">
        <v>4785.97</v>
      </c>
      <c r="P115" s="193">
        <v>0</v>
      </c>
      <c r="Q115" s="193">
        <v>0</v>
      </c>
      <c r="R115" s="109"/>
      <c r="S115" s="193">
        <v>0</v>
      </c>
      <c r="T115" s="193">
        <v>0</v>
      </c>
      <c r="U115" s="193">
        <v>0</v>
      </c>
      <c r="V115" s="193">
        <v>0</v>
      </c>
      <c r="W115" s="193">
        <v>0</v>
      </c>
      <c r="X115" s="193"/>
      <c r="Y115" s="193"/>
      <c r="Z115" s="193"/>
      <c r="AA115" s="193"/>
      <c r="AB115" s="194">
        <v>0.86404199999999998</v>
      </c>
      <c r="AC115" s="194">
        <v>0.86404199999999998</v>
      </c>
      <c r="AD115" s="106">
        <v>0</v>
      </c>
      <c r="AE115" s="118">
        <v>3229.8</v>
      </c>
      <c r="AF115" s="106">
        <v>0</v>
      </c>
      <c r="AG115" s="106">
        <f t="shared" si="98"/>
        <v>3229.8</v>
      </c>
      <c r="AH115" s="106">
        <f t="shared" si="99"/>
        <v>2790.6828516</v>
      </c>
      <c r="AI115" s="106">
        <f t="shared" si="64"/>
        <v>0</v>
      </c>
      <c r="AJ115" s="106">
        <f t="shared" si="65"/>
        <v>970.80000000000018</v>
      </c>
      <c r="AK115" s="106">
        <f t="shared" si="66"/>
        <v>0</v>
      </c>
      <c r="AL115" s="132">
        <f t="shared" si="67"/>
        <v>970.80000000000018</v>
      </c>
      <c r="AM115" s="198">
        <f t="shared" si="68"/>
        <v>838.8119736000001</v>
      </c>
      <c r="AN115" s="106">
        <v>0</v>
      </c>
      <c r="AO115" s="106">
        <f>5942.45+274.29</f>
        <v>6216.74</v>
      </c>
      <c r="AP115" s="106">
        <v>0</v>
      </c>
      <c r="AQ115" s="95">
        <f t="shared" si="69"/>
        <v>6216.74</v>
      </c>
      <c r="AR115" s="183">
        <f t="shared" si="70"/>
        <v>5371.5244630799998</v>
      </c>
      <c r="AS115" s="106">
        <v>0</v>
      </c>
      <c r="AT115" s="106">
        <v>2259</v>
      </c>
      <c r="AU115" s="106">
        <v>0</v>
      </c>
      <c r="AV115" s="106">
        <f t="shared" si="87"/>
        <v>2259</v>
      </c>
      <c r="AW115" s="106">
        <v>0</v>
      </c>
      <c r="AX115" s="106">
        <v>677.7</v>
      </c>
      <c r="AY115" s="106">
        <v>0</v>
      </c>
      <c r="AZ115" s="106">
        <f t="shared" si="88"/>
        <v>677.7</v>
      </c>
      <c r="BA115" s="197">
        <f t="shared" si="89"/>
        <v>585.56126340000003</v>
      </c>
      <c r="BB115" s="105">
        <f t="shared" si="71"/>
        <v>0</v>
      </c>
      <c r="BC115" s="105">
        <f t="shared" si="79"/>
        <v>0</v>
      </c>
      <c r="BD115" s="105">
        <f t="shared" si="72"/>
        <v>5539.04</v>
      </c>
      <c r="BE115" s="105">
        <f t="shared" si="80"/>
        <v>4785.9631996799999</v>
      </c>
      <c r="BF115" s="105">
        <f t="shared" si="73"/>
        <v>0</v>
      </c>
      <c r="BG115" s="105">
        <f t="shared" si="81"/>
        <v>0</v>
      </c>
      <c r="BH115" s="105">
        <f t="shared" si="74"/>
        <v>5539.04</v>
      </c>
      <c r="BI115" s="105">
        <f t="shared" si="75"/>
        <v>4785.9631996799999</v>
      </c>
      <c r="BJ115" s="186">
        <f t="shared" si="76"/>
        <v>2291.5</v>
      </c>
      <c r="BK115" s="182">
        <f t="shared" si="77"/>
        <v>1424.3732370000002</v>
      </c>
      <c r="BL115" s="98">
        <f t="shared" si="78"/>
        <v>1648.5000000000002</v>
      </c>
      <c r="BM115" s="99">
        <f t="shared" si="90"/>
        <v>0</v>
      </c>
      <c r="BN115" s="99">
        <f t="shared" si="91"/>
        <v>677.7</v>
      </c>
      <c r="BO115" s="196"/>
      <c r="BP115" s="252">
        <v>0.86404199999999998</v>
      </c>
      <c r="BQ115" s="182"/>
      <c r="BR115" s="182">
        <f t="shared" si="82"/>
        <v>585.56126340000003</v>
      </c>
      <c r="BS115" s="106">
        <v>643</v>
      </c>
      <c r="BT115" s="253">
        <v>0.86404199999999998</v>
      </c>
      <c r="BU115" s="182">
        <f t="shared" si="100"/>
        <v>555.57900599999994</v>
      </c>
      <c r="BV115" s="106"/>
      <c r="BW115" s="253">
        <v>0.81221200000000005</v>
      </c>
      <c r="BX115" s="182">
        <f t="shared" si="95"/>
        <v>0</v>
      </c>
      <c r="BY115" s="106"/>
      <c r="BZ115" s="196"/>
      <c r="CA115" s="95">
        <f t="shared" si="96"/>
        <v>0</v>
      </c>
      <c r="CB115" s="106"/>
      <c r="CC115" s="196"/>
      <c r="CD115" s="106"/>
      <c r="CE115" s="106"/>
      <c r="CF115" s="196"/>
      <c r="CG115" s="106"/>
      <c r="CH115" s="106"/>
      <c r="CI115" s="196"/>
      <c r="CJ115" s="106"/>
      <c r="CK115" s="106"/>
      <c r="CL115" s="196"/>
      <c r="CM115" s="106"/>
      <c r="CN115" s="182">
        <f t="shared" si="92"/>
        <v>1979.9522430000002</v>
      </c>
      <c r="CO115" s="105">
        <f t="shared" si="103"/>
        <v>1093.0999999999999</v>
      </c>
      <c r="CP115" s="182">
        <f t="shared" si="101"/>
        <v>900.76799999999992</v>
      </c>
      <c r="CQ115" s="95">
        <f t="shared" si="102"/>
        <v>7865.24</v>
      </c>
      <c r="CR115" s="115">
        <f t="shared" si="93"/>
        <v>938.3</v>
      </c>
      <c r="CS115" s="113"/>
      <c r="CT115" s="113"/>
      <c r="CU115" s="187"/>
      <c r="CV115" s="187"/>
      <c r="CW115" s="240"/>
    </row>
    <row r="116" spans="1:101" s="51" customFormat="1" ht="19.899999999999999" customHeight="1" x14ac:dyDescent="0.3">
      <c r="A116" s="92" t="s">
        <v>200</v>
      </c>
      <c r="B116" s="49">
        <v>10036302595</v>
      </c>
      <c r="C116" s="92" t="s">
        <v>229</v>
      </c>
      <c r="D116" s="93" t="s">
        <v>229</v>
      </c>
      <c r="E116" s="93" t="s">
        <v>159</v>
      </c>
      <c r="F116" s="94">
        <v>3801.5</v>
      </c>
      <c r="G116" s="182">
        <v>0.96</v>
      </c>
      <c r="H116" s="95">
        <f t="shared" si="61"/>
        <v>3649.44</v>
      </c>
      <c r="I116" s="93"/>
      <c r="J116" s="96" t="s">
        <v>230</v>
      </c>
      <c r="K116" s="49" t="s">
        <v>209</v>
      </c>
      <c r="L116" s="93"/>
      <c r="M116" s="97" t="s">
        <v>139</v>
      </c>
      <c r="N116" s="97" t="s">
        <v>237</v>
      </c>
      <c r="O116" s="183">
        <v>8337.4500000000007</v>
      </c>
      <c r="P116" s="183">
        <v>0</v>
      </c>
      <c r="Q116" s="183">
        <v>0</v>
      </c>
      <c r="R116" s="131"/>
      <c r="S116" s="183">
        <v>0</v>
      </c>
      <c r="T116" s="183">
        <v>0</v>
      </c>
      <c r="U116" s="183">
        <v>0</v>
      </c>
      <c r="V116" s="183">
        <v>0</v>
      </c>
      <c r="W116" s="183">
        <v>0</v>
      </c>
      <c r="X116" s="183"/>
      <c r="Y116" s="183"/>
      <c r="Z116" s="183"/>
      <c r="AA116" s="183"/>
      <c r="AB116" s="184">
        <v>0.82458600000000004</v>
      </c>
      <c r="AC116" s="184">
        <v>0.82458600000000004</v>
      </c>
      <c r="AD116" s="95">
        <v>0</v>
      </c>
      <c r="AE116" s="95">
        <v>2946</v>
      </c>
      <c r="AF116" s="95">
        <v>0</v>
      </c>
      <c r="AG116" s="95">
        <f t="shared" si="98"/>
        <v>2946</v>
      </c>
      <c r="AH116" s="95">
        <f t="shared" si="99"/>
        <v>2429.230356</v>
      </c>
      <c r="AI116" s="95">
        <f t="shared" si="64"/>
        <v>0</v>
      </c>
      <c r="AJ116" s="95">
        <f t="shared" si="65"/>
        <v>1886</v>
      </c>
      <c r="AK116" s="95">
        <f t="shared" si="66"/>
        <v>0</v>
      </c>
      <c r="AL116" s="133">
        <f t="shared" si="67"/>
        <v>1886</v>
      </c>
      <c r="AM116" s="199">
        <f t="shared" si="68"/>
        <v>1555.1691960000001</v>
      </c>
      <c r="AN116" s="95">
        <v>0</v>
      </c>
      <c r="AO116" s="95">
        <f>8118+2036.78+274.29</f>
        <v>10429.070000000002</v>
      </c>
      <c r="AP116" s="95">
        <v>0</v>
      </c>
      <c r="AQ116" s="106">
        <f t="shared" si="69"/>
        <v>10429.070000000002</v>
      </c>
      <c r="AR116" s="193">
        <f t="shared" si="70"/>
        <v>8599.6651150200014</v>
      </c>
      <c r="AS116" s="95">
        <v>0</v>
      </c>
      <c r="AT116" s="95">
        <v>1060</v>
      </c>
      <c r="AU116" s="95">
        <v>0</v>
      </c>
      <c r="AV116" s="95">
        <f t="shared" si="87"/>
        <v>1060</v>
      </c>
      <c r="AW116" s="95">
        <v>0</v>
      </c>
      <c r="AX116" s="95">
        <v>318</v>
      </c>
      <c r="AY116" s="95">
        <v>0</v>
      </c>
      <c r="AZ116" s="95">
        <f t="shared" si="88"/>
        <v>318</v>
      </c>
      <c r="BA116" s="197">
        <f t="shared" si="89"/>
        <v>262.21834799999999</v>
      </c>
      <c r="BB116" s="94">
        <f t="shared" si="71"/>
        <v>0</v>
      </c>
      <c r="BC116" s="105">
        <f t="shared" si="79"/>
        <v>0</v>
      </c>
      <c r="BD116" s="94">
        <f t="shared" si="72"/>
        <v>10111.070000000002</v>
      </c>
      <c r="BE116" s="94">
        <f t="shared" si="80"/>
        <v>8337.4467670200011</v>
      </c>
      <c r="BF116" s="94">
        <f t="shared" si="73"/>
        <v>0</v>
      </c>
      <c r="BG116" s="94">
        <f t="shared" si="81"/>
        <v>0</v>
      </c>
      <c r="BH116" s="94">
        <f t="shared" si="74"/>
        <v>10111.070000000002</v>
      </c>
      <c r="BI116" s="94">
        <f t="shared" si="75"/>
        <v>8337.4467670200011</v>
      </c>
      <c r="BJ116" s="186">
        <f t="shared" si="76"/>
        <v>2768</v>
      </c>
      <c r="BK116" s="182">
        <f t="shared" si="77"/>
        <v>1817.3875440000002</v>
      </c>
      <c r="BL116" s="98">
        <f t="shared" si="78"/>
        <v>2204</v>
      </c>
      <c r="BM116" s="99">
        <f t="shared" si="90"/>
        <v>0</v>
      </c>
      <c r="BN116" s="99">
        <f t="shared" si="91"/>
        <v>318</v>
      </c>
      <c r="BO116" s="182"/>
      <c r="BP116" s="251">
        <v>0.82458600000000004</v>
      </c>
      <c r="BQ116" s="182"/>
      <c r="BR116" s="182">
        <f t="shared" si="82"/>
        <v>262.21834799999999</v>
      </c>
      <c r="BS116" s="95">
        <v>564</v>
      </c>
      <c r="BT116" s="245">
        <v>0.82458600000000004</v>
      </c>
      <c r="BU116" s="182">
        <f t="shared" si="100"/>
        <v>465.06650400000001</v>
      </c>
      <c r="BV116" s="95"/>
      <c r="BW116" s="245">
        <v>0.77512199999999998</v>
      </c>
      <c r="BX116" s="182">
        <f t="shared" si="95"/>
        <v>0</v>
      </c>
      <c r="BY116" s="95"/>
      <c r="BZ116" s="182"/>
      <c r="CA116" s="95">
        <f t="shared" si="96"/>
        <v>0</v>
      </c>
      <c r="CB116" s="95"/>
      <c r="CC116" s="182"/>
      <c r="CD116" s="95"/>
      <c r="CE116" s="95"/>
      <c r="CF116" s="182"/>
      <c r="CG116" s="95"/>
      <c r="CH116" s="95"/>
      <c r="CI116" s="182"/>
      <c r="CJ116" s="95"/>
      <c r="CK116" s="95"/>
      <c r="CL116" s="182"/>
      <c r="CM116" s="95"/>
      <c r="CN116" s="182">
        <f t="shared" si="92"/>
        <v>2282.4540480000001</v>
      </c>
      <c r="CO116" s="105">
        <f t="shared" si="103"/>
        <v>1271.0999999999999</v>
      </c>
      <c r="CP116" s="182">
        <f t="shared" si="101"/>
        <v>170.88</v>
      </c>
      <c r="CQ116" s="95">
        <f t="shared" si="102"/>
        <v>12633.070000000002</v>
      </c>
      <c r="CR116" s="115">
        <f t="shared" si="93"/>
        <v>178</v>
      </c>
      <c r="CS116" s="113"/>
      <c r="CT116" s="113"/>
      <c r="CU116" s="187"/>
      <c r="CV116" s="187"/>
      <c r="CW116" s="240"/>
    </row>
    <row r="117" spans="1:101" s="51" customFormat="1" ht="19.899999999999999" customHeight="1" x14ac:dyDescent="0.3">
      <c r="A117" s="148" t="s">
        <v>200</v>
      </c>
      <c r="B117" s="50">
        <v>10036302595</v>
      </c>
      <c r="C117" s="148" t="s">
        <v>229</v>
      </c>
      <c r="D117" s="104" t="s">
        <v>229</v>
      </c>
      <c r="E117" s="104" t="s">
        <v>159</v>
      </c>
      <c r="F117" s="105">
        <v>3801.5</v>
      </c>
      <c r="G117" s="188">
        <v>0.96</v>
      </c>
      <c r="H117" s="118">
        <f t="shared" si="61"/>
        <v>3649.44</v>
      </c>
      <c r="I117" s="104"/>
      <c r="J117" s="107" t="s">
        <v>230</v>
      </c>
      <c r="K117" s="50" t="s">
        <v>209</v>
      </c>
      <c r="L117" s="104"/>
      <c r="M117" s="108" t="s">
        <v>141</v>
      </c>
      <c r="N117" s="108" t="s">
        <v>238</v>
      </c>
      <c r="O117" s="193">
        <v>7796.04</v>
      </c>
      <c r="P117" s="193">
        <v>0</v>
      </c>
      <c r="Q117" s="193">
        <v>0</v>
      </c>
      <c r="R117" s="109"/>
      <c r="S117" s="193">
        <v>0</v>
      </c>
      <c r="T117" s="193">
        <v>0</v>
      </c>
      <c r="U117" s="193">
        <v>0</v>
      </c>
      <c r="V117" s="193">
        <v>0</v>
      </c>
      <c r="W117" s="193">
        <v>0</v>
      </c>
      <c r="X117" s="193"/>
      <c r="Y117" s="193"/>
      <c r="Z117" s="193"/>
      <c r="AA117" s="193"/>
      <c r="AB117" s="194">
        <v>0.83509900000000004</v>
      </c>
      <c r="AC117" s="194">
        <v>0.83509900000000004</v>
      </c>
      <c r="AD117" s="106">
        <v>0</v>
      </c>
      <c r="AE117" s="118">
        <v>3182</v>
      </c>
      <c r="AF117" s="106">
        <v>0</v>
      </c>
      <c r="AG117" s="106">
        <f t="shared" si="98"/>
        <v>3182</v>
      </c>
      <c r="AH117" s="106">
        <f t="shared" si="99"/>
        <v>2657.285018</v>
      </c>
      <c r="AI117" s="106">
        <f t="shared" si="64"/>
        <v>0</v>
      </c>
      <c r="AJ117" s="106">
        <f t="shared" si="65"/>
        <v>1900</v>
      </c>
      <c r="AK117" s="106">
        <f t="shared" si="66"/>
        <v>0</v>
      </c>
      <c r="AL117" s="132">
        <f t="shared" si="67"/>
        <v>1900</v>
      </c>
      <c r="AM117" s="198">
        <f t="shared" si="68"/>
        <v>1586.6881000000001</v>
      </c>
      <c r="AN117" s="106">
        <v>0</v>
      </c>
      <c r="AO117" s="106">
        <f>7409+274.29+2036.78</f>
        <v>9720.07</v>
      </c>
      <c r="AP117" s="106">
        <v>0</v>
      </c>
      <c r="AQ117" s="95">
        <f t="shared" si="69"/>
        <v>9720.07</v>
      </c>
      <c r="AR117" s="183">
        <f t="shared" si="70"/>
        <v>8117.2207369300004</v>
      </c>
      <c r="AS117" s="106">
        <v>0</v>
      </c>
      <c r="AT117" s="106">
        <v>1282</v>
      </c>
      <c r="AU117" s="106">
        <v>0</v>
      </c>
      <c r="AV117" s="106">
        <f t="shared" si="87"/>
        <v>1282</v>
      </c>
      <c r="AW117" s="106">
        <v>0</v>
      </c>
      <c r="AX117" s="106">
        <v>384.6</v>
      </c>
      <c r="AY117" s="106">
        <v>0</v>
      </c>
      <c r="AZ117" s="106">
        <f t="shared" si="88"/>
        <v>384.6</v>
      </c>
      <c r="BA117" s="197">
        <f t="shared" si="89"/>
        <v>321.17907540000004</v>
      </c>
      <c r="BB117" s="105">
        <f t="shared" si="71"/>
        <v>0</v>
      </c>
      <c r="BC117" s="105">
        <f t="shared" si="79"/>
        <v>0</v>
      </c>
      <c r="BD117" s="105">
        <f t="shared" si="72"/>
        <v>9335.4699999999993</v>
      </c>
      <c r="BE117" s="105">
        <f t="shared" si="80"/>
        <v>7796.0416615300001</v>
      </c>
      <c r="BF117" s="105">
        <f t="shared" si="73"/>
        <v>0</v>
      </c>
      <c r="BG117" s="105">
        <f t="shared" si="81"/>
        <v>0</v>
      </c>
      <c r="BH117" s="105">
        <f t="shared" si="74"/>
        <v>9335.4699999999993</v>
      </c>
      <c r="BI117" s="105">
        <f t="shared" si="75"/>
        <v>7796.0416615300001</v>
      </c>
      <c r="BJ117" s="186">
        <f t="shared" si="76"/>
        <v>3470.2999999999997</v>
      </c>
      <c r="BK117" s="182">
        <f t="shared" si="77"/>
        <v>1907.8671754</v>
      </c>
      <c r="BL117" s="98">
        <f t="shared" si="78"/>
        <v>2284.6</v>
      </c>
      <c r="BM117" s="99">
        <f t="shared" si="90"/>
        <v>0</v>
      </c>
      <c r="BN117" s="99">
        <f t="shared" si="91"/>
        <v>384.6</v>
      </c>
      <c r="BO117" s="196"/>
      <c r="BP117" s="252">
        <v>0.83509900000000004</v>
      </c>
      <c r="BQ117" s="182"/>
      <c r="BR117" s="182">
        <f t="shared" si="82"/>
        <v>321.17907540000004</v>
      </c>
      <c r="BS117" s="106">
        <v>699</v>
      </c>
      <c r="BT117" s="253">
        <v>0.83509900000000004</v>
      </c>
      <c r="BU117" s="182">
        <f t="shared" si="100"/>
        <v>583.73420099999998</v>
      </c>
      <c r="BV117" s="106">
        <v>486.7</v>
      </c>
      <c r="BW117" s="253">
        <v>0.78500400000000004</v>
      </c>
      <c r="BX117" s="182">
        <f t="shared" si="95"/>
        <v>382.0614468</v>
      </c>
      <c r="BY117" s="106"/>
      <c r="BZ117" s="196"/>
      <c r="CA117" s="95">
        <f t="shared" si="96"/>
        <v>0</v>
      </c>
      <c r="CB117" s="106"/>
      <c r="CC117" s="196"/>
      <c r="CD117" s="106"/>
      <c r="CE117" s="106"/>
      <c r="CF117" s="196"/>
      <c r="CG117" s="106"/>
      <c r="CH117" s="106"/>
      <c r="CI117" s="196"/>
      <c r="CJ117" s="106"/>
      <c r="CK117" s="106"/>
      <c r="CL117" s="196"/>
      <c r="CM117" s="106"/>
      <c r="CN117" s="182">
        <f t="shared" si="92"/>
        <v>2873.6628231999998</v>
      </c>
      <c r="CO117" s="105">
        <f t="shared" si="103"/>
        <v>982.8</v>
      </c>
      <c r="CP117" s="182">
        <f t="shared" si="101"/>
        <v>-276.76800000000003</v>
      </c>
      <c r="CQ117" s="95">
        <f t="shared" si="102"/>
        <v>12004.67</v>
      </c>
      <c r="CR117" s="115">
        <f t="shared" si="93"/>
        <v>-288.3</v>
      </c>
      <c r="CS117" s="113"/>
      <c r="CT117" s="113"/>
      <c r="CU117" s="187"/>
      <c r="CV117" s="187"/>
      <c r="CW117" s="240"/>
    </row>
    <row r="118" spans="1:101" s="51" customFormat="1" ht="19.899999999999999" customHeight="1" x14ac:dyDescent="0.3">
      <c r="A118" s="92" t="s">
        <v>200</v>
      </c>
      <c r="B118" s="49">
        <v>10036302595</v>
      </c>
      <c r="C118" s="92" t="s">
        <v>229</v>
      </c>
      <c r="D118" s="93" t="s">
        <v>229</v>
      </c>
      <c r="E118" s="93" t="s">
        <v>159</v>
      </c>
      <c r="F118" s="94">
        <v>3801.5</v>
      </c>
      <c r="G118" s="182">
        <v>0.96</v>
      </c>
      <c r="H118" s="95">
        <f t="shared" si="61"/>
        <v>3649.44</v>
      </c>
      <c r="I118" s="93"/>
      <c r="J118" s="96" t="s">
        <v>230</v>
      </c>
      <c r="K118" s="49" t="s">
        <v>209</v>
      </c>
      <c r="L118" s="93"/>
      <c r="M118" s="97" t="s">
        <v>130</v>
      </c>
      <c r="N118" s="97" t="s">
        <v>239</v>
      </c>
      <c r="O118" s="183">
        <v>7547.85</v>
      </c>
      <c r="P118" s="183">
        <v>0</v>
      </c>
      <c r="Q118" s="183">
        <v>0</v>
      </c>
      <c r="R118" s="131"/>
      <c r="S118" s="183">
        <v>0</v>
      </c>
      <c r="T118" s="183">
        <v>0</v>
      </c>
      <c r="U118" s="183">
        <v>0</v>
      </c>
      <c r="V118" s="183">
        <v>0</v>
      </c>
      <c r="W118" s="183">
        <v>0</v>
      </c>
      <c r="X118" s="183"/>
      <c r="Y118" s="183"/>
      <c r="Z118" s="183"/>
      <c r="AA118" s="183"/>
      <c r="AB118" s="184">
        <v>0.84471399999999996</v>
      </c>
      <c r="AC118" s="184">
        <v>0.84471399999999996</v>
      </c>
      <c r="AD118" s="95">
        <v>0</v>
      </c>
      <c r="AE118" s="95">
        <v>2827.9</v>
      </c>
      <c r="AF118" s="95">
        <v>0</v>
      </c>
      <c r="AG118" s="95">
        <f t="shared" si="98"/>
        <v>2827.9</v>
      </c>
      <c r="AH118" s="95">
        <f t="shared" si="99"/>
        <v>2388.7667206000001</v>
      </c>
      <c r="AI118" s="95">
        <f t="shared" si="64"/>
        <v>0</v>
      </c>
      <c r="AJ118" s="95">
        <f t="shared" si="65"/>
        <v>2224.9</v>
      </c>
      <c r="AK118" s="95">
        <f t="shared" si="66"/>
        <v>0</v>
      </c>
      <c r="AL118" s="133">
        <f t="shared" si="67"/>
        <v>2224.9</v>
      </c>
      <c r="AM118" s="199">
        <f t="shared" si="68"/>
        <v>1879.4041786</v>
      </c>
      <c r="AN118" s="95">
        <v>0</v>
      </c>
      <c r="AO118" s="95">
        <f>8842+274.29</f>
        <v>9116.2900000000009</v>
      </c>
      <c r="AP118" s="95">
        <v>0</v>
      </c>
      <c r="AQ118" s="106">
        <f t="shared" si="69"/>
        <v>9116.2900000000009</v>
      </c>
      <c r="AR118" s="193">
        <f t="shared" si="70"/>
        <v>7700.6577910600008</v>
      </c>
      <c r="AS118" s="95">
        <v>0</v>
      </c>
      <c r="AT118" s="95">
        <v>603</v>
      </c>
      <c r="AU118" s="95">
        <v>0</v>
      </c>
      <c r="AV118" s="95">
        <f t="shared" si="87"/>
        <v>603</v>
      </c>
      <c r="AW118" s="95">
        <v>0</v>
      </c>
      <c r="AX118" s="95">
        <v>180.9</v>
      </c>
      <c r="AY118" s="95">
        <v>0</v>
      </c>
      <c r="AZ118" s="95">
        <f t="shared" si="88"/>
        <v>180.9</v>
      </c>
      <c r="BA118" s="197">
        <f t="shared" si="89"/>
        <v>152.80876259999999</v>
      </c>
      <c r="BB118" s="94">
        <f t="shared" si="71"/>
        <v>0</v>
      </c>
      <c r="BC118" s="105">
        <f t="shared" si="79"/>
        <v>0</v>
      </c>
      <c r="BD118" s="94">
        <f t="shared" si="72"/>
        <v>8935.3900000000012</v>
      </c>
      <c r="BE118" s="94">
        <f t="shared" si="80"/>
        <v>7547.8490284600011</v>
      </c>
      <c r="BF118" s="94">
        <f t="shared" si="73"/>
        <v>0</v>
      </c>
      <c r="BG118" s="94">
        <f t="shared" si="81"/>
        <v>0</v>
      </c>
      <c r="BH118" s="94">
        <f t="shared" si="74"/>
        <v>8935.3900000000012</v>
      </c>
      <c r="BI118" s="94">
        <f t="shared" si="75"/>
        <v>7547.8490284600011</v>
      </c>
      <c r="BJ118" s="186">
        <f t="shared" si="76"/>
        <v>3750.4</v>
      </c>
      <c r="BK118" s="182">
        <f t="shared" si="77"/>
        <v>2032.2129412000002</v>
      </c>
      <c r="BL118" s="98">
        <f t="shared" si="78"/>
        <v>2405.8000000000002</v>
      </c>
      <c r="BM118" s="99">
        <f t="shared" si="90"/>
        <v>0</v>
      </c>
      <c r="BN118" s="99">
        <f t="shared" si="91"/>
        <v>180.9</v>
      </c>
      <c r="BO118" s="182"/>
      <c r="BP118" s="251">
        <v>0.84471399999999996</v>
      </c>
      <c r="BQ118" s="182"/>
      <c r="BR118" s="182">
        <f t="shared" si="82"/>
        <v>152.80876259999999</v>
      </c>
      <c r="BS118" s="95">
        <v>1216.4000000000001</v>
      </c>
      <c r="BT118" s="245">
        <v>0.84471399999999996</v>
      </c>
      <c r="BU118" s="182">
        <f t="shared" si="100"/>
        <v>1027.5101096000001</v>
      </c>
      <c r="BV118" s="95">
        <v>128.19999999999999</v>
      </c>
      <c r="BW118" s="245">
        <v>0.79404300000000005</v>
      </c>
      <c r="BX118" s="182">
        <f t="shared" si="95"/>
        <v>101.79631259999999</v>
      </c>
      <c r="BY118" s="95"/>
      <c r="BZ118" s="182"/>
      <c r="CA118" s="95">
        <f t="shared" si="96"/>
        <v>0</v>
      </c>
      <c r="CB118" s="95"/>
      <c r="CC118" s="182"/>
      <c r="CD118" s="95"/>
      <c r="CE118" s="95"/>
      <c r="CF118" s="182"/>
      <c r="CG118" s="95"/>
      <c r="CH118" s="95"/>
      <c r="CI118" s="182"/>
      <c r="CJ118" s="95"/>
      <c r="CK118" s="95"/>
      <c r="CL118" s="182"/>
      <c r="CM118" s="95"/>
      <c r="CN118" s="182">
        <f t="shared" si="92"/>
        <v>3161.5193634000002</v>
      </c>
      <c r="CO118" s="105">
        <f t="shared" si="103"/>
        <v>60.299999999999955</v>
      </c>
      <c r="CP118" s="182">
        <f t="shared" si="101"/>
        <v>-885.6</v>
      </c>
      <c r="CQ118" s="95">
        <f t="shared" si="102"/>
        <v>11522.09</v>
      </c>
      <c r="CR118" s="115">
        <f t="shared" si="93"/>
        <v>-922.5</v>
      </c>
      <c r="CS118" s="113"/>
      <c r="CT118" s="113"/>
      <c r="CU118" s="187"/>
      <c r="CV118" s="187"/>
      <c r="CW118" s="240"/>
    </row>
    <row r="119" spans="1:101" s="51" customFormat="1" ht="19.899999999999999" customHeight="1" x14ac:dyDescent="0.3">
      <c r="A119" s="148" t="s">
        <v>200</v>
      </c>
      <c r="B119" s="50">
        <v>10036302595</v>
      </c>
      <c r="C119" s="148" t="s">
        <v>229</v>
      </c>
      <c r="D119" s="104" t="s">
        <v>229</v>
      </c>
      <c r="E119" s="104" t="s">
        <v>159</v>
      </c>
      <c r="F119" s="105">
        <v>3801.5</v>
      </c>
      <c r="G119" s="188">
        <v>0.96</v>
      </c>
      <c r="H119" s="118">
        <f t="shared" si="61"/>
        <v>3649.44</v>
      </c>
      <c r="I119" s="104"/>
      <c r="J119" s="107" t="s">
        <v>230</v>
      </c>
      <c r="K119" s="50" t="s">
        <v>209</v>
      </c>
      <c r="L119" s="104"/>
      <c r="M119" s="108" t="s">
        <v>144</v>
      </c>
      <c r="N119" s="108" t="s">
        <v>240</v>
      </c>
      <c r="O119" s="193">
        <v>7565.29</v>
      </c>
      <c r="P119" s="193">
        <v>0</v>
      </c>
      <c r="Q119" s="193">
        <v>0</v>
      </c>
      <c r="R119" s="109"/>
      <c r="S119" s="193">
        <v>0</v>
      </c>
      <c r="T119" s="193">
        <v>0</v>
      </c>
      <c r="U119" s="193">
        <v>0</v>
      </c>
      <c r="V119" s="193">
        <v>0</v>
      </c>
      <c r="W119" s="193">
        <v>0</v>
      </c>
      <c r="X119" s="193"/>
      <c r="Y119" s="193"/>
      <c r="Z119" s="193"/>
      <c r="AA119" s="193"/>
      <c r="AB119" s="194">
        <v>0.82213769999999997</v>
      </c>
      <c r="AC119" s="194">
        <v>0.82213769999999997</v>
      </c>
      <c r="AD119" s="106">
        <v>0</v>
      </c>
      <c r="AE119" s="118">
        <v>2893.6</v>
      </c>
      <c r="AF119" s="106">
        <v>0</v>
      </c>
      <c r="AG119" s="106">
        <f t="shared" si="98"/>
        <v>2893.6</v>
      </c>
      <c r="AH119" s="106">
        <f t="shared" si="99"/>
        <v>2378.9376487199997</v>
      </c>
      <c r="AI119" s="106">
        <f t="shared" si="64"/>
        <v>0</v>
      </c>
      <c r="AJ119" s="106">
        <f t="shared" si="65"/>
        <v>2452.6</v>
      </c>
      <c r="AK119" s="106">
        <f t="shared" si="66"/>
        <v>0</v>
      </c>
      <c r="AL119" s="132">
        <f t="shared" si="67"/>
        <v>2452.6</v>
      </c>
      <c r="AM119" s="198">
        <f t="shared" si="68"/>
        <v>2016.3749230199999</v>
      </c>
      <c r="AN119" s="106">
        <v>0</v>
      </c>
      <c r="AO119" s="106">
        <f>9060+274.29</f>
        <v>9334.2900000000009</v>
      </c>
      <c r="AP119" s="106">
        <v>0</v>
      </c>
      <c r="AQ119" s="95">
        <f t="shared" si="69"/>
        <v>9334.2900000000009</v>
      </c>
      <c r="AR119" s="183">
        <f t="shared" si="70"/>
        <v>7674.0717117330005</v>
      </c>
      <c r="AS119" s="106">
        <v>0</v>
      </c>
      <c r="AT119" s="106">
        <v>441</v>
      </c>
      <c r="AU119" s="106">
        <v>0</v>
      </c>
      <c r="AV119" s="106">
        <f t="shared" si="87"/>
        <v>441</v>
      </c>
      <c r="AW119" s="106">
        <v>0</v>
      </c>
      <c r="AX119" s="106">
        <v>132.30000000000001</v>
      </c>
      <c r="AY119" s="106">
        <v>0</v>
      </c>
      <c r="AZ119" s="106">
        <f t="shared" si="88"/>
        <v>132.30000000000001</v>
      </c>
      <c r="BA119" s="197">
        <f t="shared" si="89"/>
        <v>108.76881771000001</v>
      </c>
      <c r="BB119" s="105">
        <f t="shared" si="71"/>
        <v>0</v>
      </c>
      <c r="BC119" s="105">
        <f t="shared" si="79"/>
        <v>0</v>
      </c>
      <c r="BD119" s="105">
        <f t="shared" si="72"/>
        <v>9201.9900000000016</v>
      </c>
      <c r="BE119" s="105">
        <f t="shared" si="80"/>
        <v>7565.3028940230015</v>
      </c>
      <c r="BF119" s="105">
        <f t="shared" si="73"/>
        <v>0</v>
      </c>
      <c r="BG119" s="105">
        <f t="shared" si="81"/>
        <v>0</v>
      </c>
      <c r="BH119" s="105">
        <f t="shared" si="74"/>
        <v>9201.9900000000016</v>
      </c>
      <c r="BI119" s="105">
        <f t="shared" si="75"/>
        <v>7565.3028940230015</v>
      </c>
      <c r="BJ119" s="186">
        <f t="shared" si="76"/>
        <v>2909.8</v>
      </c>
      <c r="BK119" s="182">
        <f t="shared" si="77"/>
        <v>2125.14374073</v>
      </c>
      <c r="BL119" s="98">
        <f t="shared" si="78"/>
        <v>2584.9</v>
      </c>
      <c r="BM119" s="99">
        <f t="shared" si="90"/>
        <v>0</v>
      </c>
      <c r="BN119" s="99">
        <f t="shared" si="91"/>
        <v>132.30000000000001</v>
      </c>
      <c r="BO119" s="196"/>
      <c r="BP119" s="252">
        <v>0.82213769999999997</v>
      </c>
      <c r="BQ119" s="182"/>
      <c r="BR119" s="182">
        <f t="shared" si="82"/>
        <v>108.76881771000001</v>
      </c>
      <c r="BS119" s="106">
        <v>264.60000000000002</v>
      </c>
      <c r="BT119" s="253">
        <v>0.82213700000000001</v>
      </c>
      <c r="BU119" s="182">
        <f t="shared" si="100"/>
        <v>217.53745020000002</v>
      </c>
      <c r="BV119" s="106">
        <v>60.3</v>
      </c>
      <c r="BW119" s="253">
        <v>0.77281999999999995</v>
      </c>
      <c r="BX119" s="182">
        <f t="shared" si="95"/>
        <v>46.601045999999997</v>
      </c>
      <c r="BY119" s="106"/>
      <c r="BZ119" s="196"/>
      <c r="CA119" s="95">
        <f t="shared" si="96"/>
        <v>0</v>
      </c>
      <c r="CB119" s="106"/>
      <c r="CC119" s="196"/>
      <c r="CD119" s="106"/>
      <c r="CE119" s="106"/>
      <c r="CF119" s="196"/>
      <c r="CG119" s="106"/>
      <c r="CH119" s="106"/>
      <c r="CI119" s="196"/>
      <c r="CJ119" s="106"/>
      <c r="CK119" s="106"/>
      <c r="CL119" s="196"/>
      <c r="CM119" s="106"/>
      <c r="CN119" s="182">
        <f t="shared" si="92"/>
        <v>2389.2822369300002</v>
      </c>
      <c r="CO119" s="105">
        <f t="shared" si="103"/>
        <v>44.099999999999909</v>
      </c>
      <c r="CP119" s="182">
        <f t="shared" si="101"/>
        <v>-15.55200000000003</v>
      </c>
      <c r="CQ119" s="95">
        <f t="shared" si="102"/>
        <v>11919.19</v>
      </c>
      <c r="CR119" s="115">
        <f t="shared" si="93"/>
        <v>-16.200000000000031</v>
      </c>
      <c r="CS119" s="113"/>
      <c r="CT119" s="113"/>
      <c r="CU119" s="187"/>
      <c r="CV119" s="187"/>
      <c r="CW119" s="240"/>
    </row>
    <row r="120" spans="1:101" s="51" customFormat="1" ht="19.899999999999999" customHeight="1" x14ac:dyDescent="0.3">
      <c r="A120" s="92" t="s">
        <v>200</v>
      </c>
      <c r="B120" s="49">
        <v>10036302595</v>
      </c>
      <c r="C120" s="92" t="s">
        <v>229</v>
      </c>
      <c r="D120" s="93" t="s">
        <v>229</v>
      </c>
      <c r="E120" s="93" t="s">
        <v>159</v>
      </c>
      <c r="F120" s="94">
        <v>3801.5</v>
      </c>
      <c r="G120" s="182">
        <v>0.96</v>
      </c>
      <c r="H120" s="95">
        <f t="shared" si="61"/>
        <v>3649.44</v>
      </c>
      <c r="I120" s="93"/>
      <c r="J120" s="96" t="s">
        <v>230</v>
      </c>
      <c r="K120" s="49" t="s">
        <v>209</v>
      </c>
      <c r="L120" s="93"/>
      <c r="M120" s="97" t="s">
        <v>146</v>
      </c>
      <c r="N120" s="97" t="s">
        <v>241</v>
      </c>
      <c r="O120" s="183">
        <v>9096.74</v>
      </c>
      <c r="P120" s="183">
        <v>0</v>
      </c>
      <c r="Q120" s="183">
        <v>0</v>
      </c>
      <c r="R120" s="131"/>
      <c r="S120" s="183">
        <v>0</v>
      </c>
      <c r="T120" s="183">
        <v>0</v>
      </c>
      <c r="U120" s="183">
        <v>0</v>
      </c>
      <c r="V120" s="183">
        <v>0</v>
      </c>
      <c r="W120" s="183">
        <v>0</v>
      </c>
      <c r="X120" s="183"/>
      <c r="Y120" s="183"/>
      <c r="Z120" s="183"/>
      <c r="AA120" s="183"/>
      <c r="AB120" s="184">
        <v>0.83940000000000003</v>
      </c>
      <c r="AC120" s="184">
        <v>0.83940000000000003</v>
      </c>
      <c r="AD120" s="95">
        <v>0</v>
      </c>
      <c r="AE120" s="95">
        <v>3615.1</v>
      </c>
      <c r="AF120" s="95">
        <v>0</v>
      </c>
      <c r="AG120" s="95">
        <f t="shared" si="98"/>
        <v>3615.1</v>
      </c>
      <c r="AH120" s="95">
        <f t="shared" si="99"/>
        <v>3034.51494</v>
      </c>
      <c r="AI120" s="95">
        <f t="shared" si="64"/>
        <v>0</v>
      </c>
      <c r="AJ120" s="95">
        <f t="shared" si="65"/>
        <v>3548.1</v>
      </c>
      <c r="AK120" s="95">
        <f t="shared" si="66"/>
        <v>0</v>
      </c>
      <c r="AL120" s="133">
        <f t="shared" si="67"/>
        <v>3548.1</v>
      </c>
      <c r="AM120" s="199">
        <f t="shared" si="68"/>
        <v>2978.2751400000002</v>
      </c>
      <c r="AN120" s="106">
        <v>0</v>
      </c>
      <c r="AO120" s="106">
        <f>10583+274.29</f>
        <v>10857.29</v>
      </c>
      <c r="AP120" s="106">
        <v>0</v>
      </c>
      <c r="AQ120" s="106">
        <f t="shared" si="69"/>
        <v>10857.29</v>
      </c>
      <c r="AR120" s="193">
        <f t="shared" si="70"/>
        <v>9113.6092260000005</v>
      </c>
      <c r="AS120" s="106">
        <v>0</v>
      </c>
      <c r="AT120" s="106">
        <v>67</v>
      </c>
      <c r="AU120" s="106">
        <v>0</v>
      </c>
      <c r="AV120" s="106">
        <f t="shared" si="87"/>
        <v>67</v>
      </c>
      <c r="AW120" s="106">
        <v>0</v>
      </c>
      <c r="AX120" s="106">
        <v>20.100000000000001</v>
      </c>
      <c r="AY120" s="106">
        <v>0</v>
      </c>
      <c r="AZ120" s="106">
        <f t="shared" si="88"/>
        <v>20.100000000000001</v>
      </c>
      <c r="BA120" s="197">
        <f t="shared" si="89"/>
        <v>16.871940000000002</v>
      </c>
      <c r="BB120" s="105">
        <f t="shared" si="71"/>
        <v>0</v>
      </c>
      <c r="BC120" s="105">
        <f t="shared" si="79"/>
        <v>0</v>
      </c>
      <c r="BD120" s="105">
        <f t="shared" si="72"/>
        <v>10837.19</v>
      </c>
      <c r="BE120" s="105">
        <f t="shared" si="80"/>
        <v>9096.7372860000014</v>
      </c>
      <c r="BF120" s="105">
        <f t="shared" si="73"/>
        <v>0</v>
      </c>
      <c r="BG120" s="105">
        <f t="shared" si="81"/>
        <v>0</v>
      </c>
      <c r="BH120" s="105">
        <f t="shared" si="74"/>
        <v>10837.19</v>
      </c>
      <c r="BI120" s="105">
        <f t="shared" si="75"/>
        <v>9096.7372860000014</v>
      </c>
      <c r="BJ120" s="186">
        <f t="shared" si="76"/>
        <v>3652.4999999999995</v>
      </c>
      <c r="BK120" s="182">
        <f t="shared" si="77"/>
        <v>2995.1470800000002</v>
      </c>
      <c r="BL120" s="98">
        <f t="shared" si="78"/>
        <v>3568.2</v>
      </c>
      <c r="BM120" s="99">
        <f t="shared" si="90"/>
        <v>0</v>
      </c>
      <c r="BN120" s="99">
        <f t="shared" si="91"/>
        <v>20.100000000000001</v>
      </c>
      <c r="BO120" s="196"/>
      <c r="BP120" s="252">
        <v>0.83940000000000003</v>
      </c>
      <c r="BQ120" s="182"/>
      <c r="BR120" s="182">
        <f t="shared" si="82"/>
        <v>16.871940000000002</v>
      </c>
      <c r="BS120" s="106">
        <v>40.200000000000003</v>
      </c>
      <c r="BT120" s="253">
        <v>0.84766399999999997</v>
      </c>
      <c r="BU120" s="182">
        <f t="shared" si="100"/>
        <v>34.076092799999998</v>
      </c>
      <c r="BV120" s="106">
        <v>44.1</v>
      </c>
      <c r="BW120" s="253">
        <v>0.78904799999999997</v>
      </c>
      <c r="BX120" s="182">
        <f t="shared" si="95"/>
        <v>34.797016800000002</v>
      </c>
      <c r="BY120" s="106"/>
      <c r="BZ120" s="196"/>
      <c r="CA120" s="95">
        <f t="shared" si="96"/>
        <v>0</v>
      </c>
      <c r="CB120" s="106"/>
      <c r="CC120" s="196"/>
      <c r="CD120" s="106"/>
      <c r="CE120" s="106"/>
      <c r="CF120" s="196"/>
      <c r="CG120" s="106"/>
      <c r="CH120" s="106"/>
      <c r="CI120" s="196"/>
      <c r="CJ120" s="106"/>
      <c r="CK120" s="106"/>
      <c r="CL120" s="196"/>
      <c r="CM120" s="106"/>
      <c r="CN120" s="182">
        <f t="shared" si="92"/>
        <v>3064.0201896000003</v>
      </c>
      <c r="CO120" s="105">
        <f t="shared" si="103"/>
        <v>6.6999999999999034</v>
      </c>
      <c r="CP120" s="182">
        <f t="shared" si="101"/>
        <v>-35.904000000000003</v>
      </c>
      <c r="CQ120" s="95">
        <f t="shared" si="102"/>
        <v>14425.490000000002</v>
      </c>
      <c r="CR120" s="115">
        <f t="shared" si="93"/>
        <v>-37.400000000000006</v>
      </c>
      <c r="CS120" s="113"/>
      <c r="CT120" s="113"/>
      <c r="CU120" s="187"/>
      <c r="CV120" s="187"/>
      <c r="CW120" s="240"/>
    </row>
    <row r="121" spans="1:101" s="51" customFormat="1" ht="19.899999999999999" customHeight="1" x14ac:dyDescent="0.3">
      <c r="A121" s="148" t="s">
        <v>200</v>
      </c>
      <c r="B121" s="50">
        <v>10036302595</v>
      </c>
      <c r="C121" s="148" t="s">
        <v>229</v>
      </c>
      <c r="D121" s="104" t="s">
        <v>229</v>
      </c>
      <c r="E121" s="104" t="s">
        <v>159</v>
      </c>
      <c r="F121" s="105">
        <v>3801.5</v>
      </c>
      <c r="G121" s="188">
        <v>0.96</v>
      </c>
      <c r="H121" s="118">
        <f t="shared" si="61"/>
        <v>3649.44</v>
      </c>
      <c r="I121" s="104"/>
      <c r="J121" s="107" t="s">
        <v>230</v>
      </c>
      <c r="K121" s="50" t="s">
        <v>209</v>
      </c>
      <c r="L121" s="104"/>
      <c r="M121" s="108" t="s">
        <v>148</v>
      </c>
      <c r="N121" s="108" t="s">
        <v>242</v>
      </c>
      <c r="O121" s="193">
        <v>11355.58</v>
      </c>
      <c r="P121" s="193">
        <v>0</v>
      </c>
      <c r="Q121" s="193">
        <v>0</v>
      </c>
      <c r="R121" s="109"/>
      <c r="S121" s="193">
        <v>0</v>
      </c>
      <c r="T121" s="193">
        <v>0</v>
      </c>
      <c r="U121" s="193">
        <v>0</v>
      </c>
      <c r="V121" s="193">
        <v>0</v>
      </c>
      <c r="W121" s="193">
        <v>0</v>
      </c>
      <c r="X121" s="193"/>
      <c r="Y121" s="193"/>
      <c r="Z121" s="193"/>
      <c r="AA121" s="193"/>
      <c r="AB121" s="194">
        <v>0.89959500000000003</v>
      </c>
      <c r="AC121" s="194">
        <v>0.89959500000000003</v>
      </c>
      <c r="AD121" s="106">
        <v>0</v>
      </c>
      <c r="AE121" s="118">
        <v>3158.4</v>
      </c>
      <c r="AF121" s="106">
        <v>0</v>
      </c>
      <c r="AG121" s="106">
        <f t="shared" si="98"/>
        <v>3158.4</v>
      </c>
      <c r="AH121" s="106">
        <f t="shared" si="99"/>
        <v>2841.2808480000003</v>
      </c>
      <c r="AI121" s="106">
        <f t="shared" si="64"/>
        <v>0</v>
      </c>
      <c r="AJ121" s="106">
        <f t="shared" si="65"/>
        <v>2937.4</v>
      </c>
      <c r="AK121" s="106">
        <f t="shared" si="66"/>
        <v>0</v>
      </c>
      <c r="AL121" s="132">
        <f t="shared" si="67"/>
        <v>2937.4</v>
      </c>
      <c r="AM121" s="198">
        <f t="shared" si="68"/>
        <v>2642.4703530000002</v>
      </c>
      <c r="AN121" s="106">
        <v>0</v>
      </c>
      <c r="AO121" s="106">
        <v>12689.29</v>
      </c>
      <c r="AP121" s="106">
        <v>0</v>
      </c>
      <c r="AQ121" s="95">
        <f t="shared" si="69"/>
        <v>12689.29</v>
      </c>
      <c r="AR121" s="183">
        <f t="shared" si="70"/>
        <v>11415.221837550002</v>
      </c>
      <c r="AS121" s="106">
        <v>0</v>
      </c>
      <c r="AT121" s="106">
        <v>221</v>
      </c>
      <c r="AU121" s="106">
        <v>0</v>
      </c>
      <c r="AV121" s="106">
        <f t="shared" si="87"/>
        <v>221</v>
      </c>
      <c r="AW121" s="106">
        <v>0</v>
      </c>
      <c r="AX121" s="106">
        <v>66.3</v>
      </c>
      <c r="AY121" s="106">
        <v>0</v>
      </c>
      <c r="AZ121" s="106">
        <f t="shared" si="88"/>
        <v>66.3</v>
      </c>
      <c r="BA121" s="197">
        <f t="shared" si="89"/>
        <v>59.643148500000002</v>
      </c>
      <c r="BB121" s="105">
        <f t="shared" si="71"/>
        <v>0</v>
      </c>
      <c r="BC121" s="105">
        <f t="shared" si="79"/>
        <v>0</v>
      </c>
      <c r="BD121" s="105">
        <f t="shared" si="72"/>
        <v>12622.990000000002</v>
      </c>
      <c r="BE121" s="105">
        <f t="shared" si="80"/>
        <v>11355.578689050002</v>
      </c>
      <c r="BF121" s="105">
        <f t="shared" si="73"/>
        <v>0</v>
      </c>
      <c r="BG121" s="105">
        <f t="shared" si="81"/>
        <v>0</v>
      </c>
      <c r="BH121" s="105">
        <f t="shared" si="74"/>
        <v>12622.990000000002</v>
      </c>
      <c r="BI121" s="105">
        <f t="shared" si="75"/>
        <v>11355.578689050002</v>
      </c>
      <c r="BJ121" s="186">
        <f t="shared" si="76"/>
        <v>3143</v>
      </c>
      <c r="BK121" s="182">
        <f t="shared" si="77"/>
        <v>2702.1135015000004</v>
      </c>
      <c r="BL121" s="98">
        <f t="shared" si="78"/>
        <v>3003.7000000000003</v>
      </c>
      <c r="BM121" s="99">
        <f t="shared" si="90"/>
        <v>0</v>
      </c>
      <c r="BN121" s="99">
        <f t="shared" si="91"/>
        <v>66.3</v>
      </c>
      <c r="BO121" s="196"/>
      <c r="BP121" s="254">
        <v>0.89959500000000003</v>
      </c>
      <c r="BQ121" s="182"/>
      <c r="BR121" s="182">
        <f t="shared" si="82"/>
        <v>59.643148500000002</v>
      </c>
      <c r="BS121" s="106">
        <v>132.6</v>
      </c>
      <c r="BT121" s="253">
        <v>0.89959500000000003</v>
      </c>
      <c r="BU121" s="182">
        <f t="shared" si="100"/>
        <v>119.286297</v>
      </c>
      <c r="BV121" s="106">
        <v>6.7</v>
      </c>
      <c r="BW121" s="253">
        <v>0.88654599999999995</v>
      </c>
      <c r="BX121" s="182">
        <f t="shared" si="95"/>
        <v>5.9398581999999998</v>
      </c>
      <c r="BY121" s="106"/>
      <c r="BZ121" s="196"/>
      <c r="CA121" s="95">
        <f t="shared" si="96"/>
        <v>0</v>
      </c>
      <c r="CB121" s="106"/>
      <c r="CC121" s="196"/>
      <c r="CD121" s="106"/>
      <c r="CE121" s="106"/>
      <c r="CF121" s="196"/>
      <c r="CG121" s="106"/>
      <c r="CH121" s="106"/>
      <c r="CI121" s="196"/>
      <c r="CJ121" s="106"/>
      <c r="CK121" s="106"/>
      <c r="CL121" s="196"/>
      <c r="CM121" s="106"/>
      <c r="CN121" s="182">
        <f t="shared" si="92"/>
        <v>2827.3396567000004</v>
      </c>
      <c r="CO121" s="105">
        <f t="shared" si="103"/>
        <v>22.099999999999909</v>
      </c>
      <c r="CP121" s="182">
        <f t="shared" si="101"/>
        <v>14.783999999999995</v>
      </c>
      <c r="CQ121" s="95">
        <f t="shared" si="102"/>
        <v>15692.990000000002</v>
      </c>
      <c r="CR121" s="115">
        <f t="shared" si="93"/>
        <v>15.399999999999995</v>
      </c>
      <c r="CS121" s="113"/>
      <c r="CT121" s="113"/>
      <c r="CU121" s="187"/>
      <c r="CV121" s="187"/>
      <c r="CW121" s="240"/>
    </row>
    <row r="122" spans="1:101" s="51" customFormat="1" ht="19.899999999999999" customHeight="1" x14ac:dyDescent="0.3">
      <c r="A122" s="92" t="s">
        <v>200</v>
      </c>
      <c r="B122" s="49">
        <v>10036302595</v>
      </c>
      <c r="C122" s="92" t="s">
        <v>229</v>
      </c>
      <c r="D122" s="93" t="s">
        <v>229</v>
      </c>
      <c r="E122" s="93" t="s">
        <v>159</v>
      </c>
      <c r="F122" s="94">
        <v>3801.5</v>
      </c>
      <c r="G122" s="182">
        <v>0.96</v>
      </c>
      <c r="H122" s="95">
        <f t="shared" si="61"/>
        <v>3649.44</v>
      </c>
      <c r="I122" s="93"/>
      <c r="J122" s="96" t="s">
        <v>230</v>
      </c>
      <c r="K122" s="49" t="s">
        <v>209</v>
      </c>
      <c r="L122" s="93"/>
      <c r="M122" s="97" t="s">
        <v>150</v>
      </c>
      <c r="N122" s="97" t="s">
        <v>243</v>
      </c>
      <c r="O122" s="183">
        <v>9556.07</v>
      </c>
      <c r="P122" s="183">
        <v>0</v>
      </c>
      <c r="Q122" s="183">
        <v>0</v>
      </c>
      <c r="R122" s="131"/>
      <c r="S122" s="183">
        <v>0</v>
      </c>
      <c r="T122" s="183">
        <v>0</v>
      </c>
      <c r="U122" s="183">
        <v>0</v>
      </c>
      <c r="V122" s="183">
        <v>0</v>
      </c>
      <c r="W122" s="183">
        <v>0</v>
      </c>
      <c r="X122" s="183"/>
      <c r="Y122" s="183"/>
      <c r="Z122" s="183"/>
      <c r="AA122" s="183"/>
      <c r="AB122" s="184">
        <v>0.90526499999999999</v>
      </c>
      <c r="AC122" s="184">
        <v>0.90526499999999999</v>
      </c>
      <c r="AD122" s="95">
        <v>0</v>
      </c>
      <c r="AE122" s="95">
        <v>3315.7</v>
      </c>
      <c r="AF122" s="95">
        <v>0</v>
      </c>
      <c r="AG122" s="95">
        <f t="shared" si="98"/>
        <v>3315.7</v>
      </c>
      <c r="AH122" s="95">
        <f t="shared" si="99"/>
        <v>3001.5871604999998</v>
      </c>
      <c r="AI122" s="95">
        <f t="shared" si="64"/>
        <v>0</v>
      </c>
      <c r="AJ122" s="95">
        <f t="shared" si="65"/>
        <v>2921.7</v>
      </c>
      <c r="AK122" s="95">
        <f t="shared" si="66"/>
        <v>0</v>
      </c>
      <c r="AL122" s="133">
        <f t="shared" si="67"/>
        <v>2921.7</v>
      </c>
      <c r="AM122" s="199">
        <f t="shared" si="68"/>
        <v>2644.9127504999997</v>
      </c>
      <c r="AN122" s="106">
        <v>0</v>
      </c>
      <c r="AO122" s="106">
        <v>10674.29</v>
      </c>
      <c r="AP122" s="106">
        <v>0</v>
      </c>
      <c r="AQ122" s="106">
        <f t="shared" si="69"/>
        <v>10674.29</v>
      </c>
      <c r="AR122" s="193">
        <f t="shared" si="70"/>
        <v>9663.0611368500013</v>
      </c>
      <c r="AS122" s="106">
        <v>0</v>
      </c>
      <c r="AT122" s="106">
        <v>394</v>
      </c>
      <c r="AU122" s="106">
        <v>0</v>
      </c>
      <c r="AV122" s="106">
        <f t="shared" si="87"/>
        <v>394</v>
      </c>
      <c r="AW122" s="106">
        <v>0</v>
      </c>
      <c r="AX122" s="106">
        <v>118.2</v>
      </c>
      <c r="AY122" s="106">
        <v>0</v>
      </c>
      <c r="AZ122" s="106">
        <f t="shared" si="88"/>
        <v>118.2</v>
      </c>
      <c r="BA122" s="197">
        <f t="shared" si="89"/>
        <v>107.002323</v>
      </c>
      <c r="BB122" s="105">
        <f t="shared" si="71"/>
        <v>0</v>
      </c>
      <c r="BC122" s="105">
        <f t="shared" si="79"/>
        <v>0</v>
      </c>
      <c r="BD122" s="105">
        <f t="shared" si="72"/>
        <v>10556.09</v>
      </c>
      <c r="BE122" s="105">
        <f t="shared" si="80"/>
        <v>9556.0588138500007</v>
      </c>
      <c r="BF122" s="105">
        <f t="shared" si="73"/>
        <v>0</v>
      </c>
      <c r="BG122" s="105">
        <f t="shared" si="81"/>
        <v>0</v>
      </c>
      <c r="BH122" s="105">
        <f t="shared" si="74"/>
        <v>10556.09</v>
      </c>
      <c r="BI122" s="105">
        <f t="shared" si="75"/>
        <v>9556.0588138500007</v>
      </c>
      <c r="BJ122" s="186">
        <f t="shared" si="76"/>
        <v>3298.3999999999996</v>
      </c>
      <c r="BK122" s="182">
        <f t="shared" si="77"/>
        <v>2751.9150734999998</v>
      </c>
      <c r="BL122" s="98">
        <f t="shared" si="78"/>
        <v>3039.8999999999996</v>
      </c>
      <c r="BM122" s="99">
        <f t="shared" si="90"/>
        <v>0</v>
      </c>
      <c r="BN122" s="99">
        <f t="shared" si="91"/>
        <v>118.2</v>
      </c>
      <c r="BO122" s="196"/>
      <c r="BP122" s="254">
        <v>0.90526499999999999</v>
      </c>
      <c r="BQ122" s="182"/>
      <c r="BR122" s="182">
        <f t="shared" si="82"/>
        <v>107.002323</v>
      </c>
      <c r="BS122" s="95">
        <v>236.4</v>
      </c>
      <c r="BT122" s="253">
        <v>0.90526499999999999</v>
      </c>
      <c r="BU122" s="182">
        <f t="shared" si="100"/>
        <v>214.00464600000001</v>
      </c>
      <c r="BV122" s="106">
        <v>22.1</v>
      </c>
      <c r="BW122" s="253">
        <v>0.90526499999999999</v>
      </c>
      <c r="BX122" s="182">
        <f t="shared" si="95"/>
        <v>20.006356500000003</v>
      </c>
      <c r="BY122" s="106"/>
      <c r="BZ122" s="196"/>
      <c r="CA122" s="95">
        <f t="shared" si="96"/>
        <v>0</v>
      </c>
      <c r="CB122" s="106"/>
      <c r="CC122" s="196"/>
      <c r="CD122" s="106"/>
      <c r="CE122" s="106"/>
      <c r="CF122" s="196"/>
      <c r="CG122" s="106"/>
      <c r="CH122" s="106"/>
      <c r="CI122" s="196"/>
      <c r="CJ122" s="106"/>
      <c r="CK122" s="106"/>
      <c r="CL122" s="196"/>
      <c r="CM122" s="106"/>
      <c r="CN122" s="182">
        <f t="shared" si="92"/>
        <v>2985.9260759999997</v>
      </c>
      <c r="CO122" s="105">
        <f t="shared" si="103"/>
        <v>39.399999999999864</v>
      </c>
      <c r="CP122" s="182">
        <f t="shared" si="101"/>
        <v>16.608000000000004</v>
      </c>
      <c r="CQ122" s="95">
        <f t="shared" si="102"/>
        <v>13714.19</v>
      </c>
      <c r="CR122" s="115">
        <f t="shared" si="93"/>
        <v>17.300000000000004</v>
      </c>
      <c r="CS122" s="113"/>
      <c r="CT122" s="113"/>
      <c r="CU122" s="187"/>
      <c r="CV122" s="187"/>
      <c r="CW122" s="240"/>
    </row>
    <row r="123" spans="1:101" s="51" customFormat="1" ht="19.899999999999999" customHeight="1" x14ac:dyDescent="0.3">
      <c r="A123" s="148" t="s">
        <v>200</v>
      </c>
      <c r="B123" s="50">
        <v>10036302595</v>
      </c>
      <c r="C123" s="148" t="s">
        <v>229</v>
      </c>
      <c r="D123" s="104" t="s">
        <v>229</v>
      </c>
      <c r="E123" s="104" t="s">
        <v>159</v>
      </c>
      <c r="F123" s="105">
        <v>3801.5</v>
      </c>
      <c r="G123" s="188">
        <v>0.96</v>
      </c>
      <c r="H123" s="118">
        <f t="shared" si="61"/>
        <v>3649.44</v>
      </c>
      <c r="I123" s="104"/>
      <c r="J123" s="107" t="s">
        <v>230</v>
      </c>
      <c r="K123" s="50" t="s">
        <v>209</v>
      </c>
      <c r="L123" s="104"/>
      <c r="M123" s="108" t="s">
        <v>152</v>
      </c>
      <c r="N123" s="108" t="s">
        <v>244</v>
      </c>
      <c r="O123" s="193">
        <v>6599.94</v>
      </c>
      <c r="P123" s="193">
        <v>0</v>
      </c>
      <c r="Q123" s="193">
        <v>0</v>
      </c>
      <c r="R123" s="109">
        <v>0</v>
      </c>
      <c r="S123" s="193">
        <v>0</v>
      </c>
      <c r="T123" s="193">
        <v>0</v>
      </c>
      <c r="U123" s="193">
        <v>0</v>
      </c>
      <c r="V123" s="193">
        <v>0</v>
      </c>
      <c r="W123" s="193">
        <v>0</v>
      </c>
      <c r="X123" s="193"/>
      <c r="Y123" s="193"/>
      <c r="Z123" s="193">
        <v>-1710.61</v>
      </c>
      <c r="AA123" s="193"/>
      <c r="AB123" s="194">
        <v>0.89259999999999995</v>
      </c>
      <c r="AC123" s="194">
        <v>0.89259999999999995</v>
      </c>
      <c r="AD123" s="106">
        <v>0</v>
      </c>
      <c r="AE123" s="118">
        <v>3493.4</v>
      </c>
      <c r="AF123" s="106">
        <v>0</v>
      </c>
      <c r="AG123" s="106">
        <f t="shared" si="98"/>
        <v>3493.4</v>
      </c>
      <c r="AH123" s="106">
        <f t="shared" si="99"/>
        <v>3118.2088399999998</v>
      </c>
      <c r="AI123" s="106">
        <f t="shared" si="64"/>
        <v>0</v>
      </c>
      <c r="AJ123" s="106">
        <f t="shared" si="65"/>
        <v>3128.4</v>
      </c>
      <c r="AK123" s="106">
        <f t="shared" si="66"/>
        <v>0</v>
      </c>
      <c r="AL123" s="132">
        <f t="shared" si="67"/>
        <v>3128.4</v>
      </c>
      <c r="AM123" s="198">
        <f t="shared" si="68"/>
        <v>2792.4098399999998</v>
      </c>
      <c r="AN123" s="106">
        <v>0</v>
      </c>
      <c r="AO123" s="106">
        <v>9420</v>
      </c>
      <c r="AP123" s="106">
        <v>0</v>
      </c>
      <c r="AQ123" s="106">
        <f t="shared" si="69"/>
        <v>9420</v>
      </c>
      <c r="AR123" s="193">
        <f t="shared" si="70"/>
        <v>8408.2919999999995</v>
      </c>
      <c r="AS123" s="106">
        <v>0</v>
      </c>
      <c r="AT123" s="106">
        <v>365</v>
      </c>
      <c r="AU123" s="106">
        <v>0</v>
      </c>
      <c r="AV123" s="106">
        <f t="shared" si="87"/>
        <v>365</v>
      </c>
      <c r="AW123" s="106">
        <v>0</v>
      </c>
      <c r="AX123" s="106">
        <v>109.5</v>
      </c>
      <c r="AY123" s="106">
        <v>0</v>
      </c>
      <c r="AZ123" s="106">
        <f t="shared" si="88"/>
        <v>109.5</v>
      </c>
      <c r="BA123" s="197">
        <f t="shared" si="89"/>
        <v>97.739699999999999</v>
      </c>
      <c r="BB123" s="105">
        <f t="shared" si="71"/>
        <v>0</v>
      </c>
      <c r="BC123" s="105">
        <f t="shared" si="79"/>
        <v>0</v>
      </c>
      <c r="BD123" s="105">
        <f t="shared" si="72"/>
        <v>9310.5</v>
      </c>
      <c r="BE123" s="105">
        <f t="shared" si="80"/>
        <v>8310.5522999999994</v>
      </c>
      <c r="BF123" s="105">
        <f t="shared" si="73"/>
        <v>0</v>
      </c>
      <c r="BG123" s="105">
        <f t="shared" si="81"/>
        <v>0</v>
      </c>
      <c r="BH123" s="105">
        <f t="shared" si="74"/>
        <v>9310.5</v>
      </c>
      <c r="BI123" s="105">
        <f t="shared" si="75"/>
        <v>8310.5522999999994</v>
      </c>
      <c r="BJ123" s="186">
        <f t="shared" si="76"/>
        <v>3496.3</v>
      </c>
      <c r="BK123" s="182">
        <f t="shared" si="77"/>
        <v>2890.1495399999999</v>
      </c>
      <c r="BL123" s="98">
        <f t="shared" si="78"/>
        <v>3237.9</v>
      </c>
      <c r="BM123" s="99">
        <f t="shared" si="90"/>
        <v>0</v>
      </c>
      <c r="BN123" s="99">
        <f t="shared" si="91"/>
        <v>109.5</v>
      </c>
      <c r="BO123" s="196"/>
      <c r="BP123" s="194">
        <v>0.89259999999999995</v>
      </c>
      <c r="BQ123" s="182"/>
      <c r="BR123" s="182">
        <f t="shared" si="82"/>
        <v>97.739699999999999</v>
      </c>
      <c r="BS123" s="95">
        <v>219</v>
      </c>
      <c r="BT123" s="253">
        <v>0.89259999999999995</v>
      </c>
      <c r="BU123" s="182">
        <f t="shared" si="100"/>
        <v>195.4794</v>
      </c>
      <c r="BV123" s="106">
        <v>39.4</v>
      </c>
      <c r="BW123" s="253">
        <v>0.89259999999999995</v>
      </c>
      <c r="BX123" s="182">
        <f t="shared" si="95"/>
        <v>35.168439999999997</v>
      </c>
      <c r="BY123" s="106"/>
      <c r="BZ123" s="196"/>
      <c r="CA123" s="95"/>
      <c r="CB123" s="106"/>
      <c r="CC123" s="196"/>
      <c r="CD123" s="106"/>
      <c r="CE123" s="106"/>
      <c r="CF123" s="196"/>
      <c r="CG123" s="106"/>
      <c r="CH123" s="106"/>
      <c r="CI123" s="196"/>
      <c r="CJ123" s="106"/>
      <c r="CK123" s="106"/>
      <c r="CL123" s="196"/>
      <c r="CM123" s="106"/>
      <c r="CN123" s="182">
        <f t="shared" si="92"/>
        <v>3120.79738</v>
      </c>
      <c r="CO123" s="105">
        <f t="shared" si="103"/>
        <v>36.499999999999886</v>
      </c>
      <c r="CP123" s="182">
        <f t="shared" si="101"/>
        <v>-2.7839999999999985</v>
      </c>
      <c r="CQ123" s="95">
        <f t="shared" si="102"/>
        <v>12657.9</v>
      </c>
      <c r="CR123" s="115">
        <f t="shared" si="93"/>
        <v>-2.8999999999999986</v>
      </c>
      <c r="CS123" s="113"/>
      <c r="CT123" s="113"/>
      <c r="CU123" s="187"/>
      <c r="CV123" s="187"/>
      <c r="CW123" s="240"/>
    </row>
    <row r="124" spans="1:101" s="51" customFormat="1" ht="19.899999999999999" customHeight="1" x14ac:dyDescent="0.3">
      <c r="A124" s="92" t="s">
        <v>200</v>
      </c>
      <c r="B124" s="49">
        <v>10036302595</v>
      </c>
      <c r="C124" s="92" t="s">
        <v>229</v>
      </c>
      <c r="D124" s="93" t="s">
        <v>229</v>
      </c>
      <c r="E124" s="93" t="s">
        <v>159</v>
      </c>
      <c r="F124" s="94">
        <v>3801.5</v>
      </c>
      <c r="G124" s="182">
        <v>0.96</v>
      </c>
      <c r="H124" s="95">
        <f t="shared" si="61"/>
        <v>3649.44</v>
      </c>
      <c r="I124" s="93"/>
      <c r="J124" s="96" t="s">
        <v>230</v>
      </c>
      <c r="K124" s="49" t="s">
        <v>209</v>
      </c>
      <c r="L124" s="104"/>
      <c r="M124" s="108" t="s">
        <v>155</v>
      </c>
      <c r="N124" s="108" t="s">
        <v>245</v>
      </c>
      <c r="O124" s="193">
        <v>10780.31</v>
      </c>
      <c r="P124" s="193">
        <v>0</v>
      </c>
      <c r="Q124" s="193">
        <v>0</v>
      </c>
      <c r="R124" s="109">
        <v>0</v>
      </c>
      <c r="S124" s="193">
        <v>0</v>
      </c>
      <c r="T124" s="193">
        <v>0</v>
      </c>
      <c r="U124" s="193">
        <v>0</v>
      </c>
      <c r="V124" s="193">
        <v>0</v>
      </c>
      <c r="W124" s="193">
        <v>0</v>
      </c>
      <c r="X124" s="193"/>
      <c r="Y124" s="193"/>
      <c r="Z124" s="193"/>
      <c r="AA124" s="193"/>
      <c r="AB124" s="194">
        <v>0.89019899999999996</v>
      </c>
      <c r="AC124" s="194">
        <v>0.89019899999999996</v>
      </c>
      <c r="AD124" s="106">
        <v>0</v>
      </c>
      <c r="AE124" s="118">
        <v>0</v>
      </c>
      <c r="AF124" s="106">
        <v>0</v>
      </c>
      <c r="AG124" s="106">
        <f t="shared" si="98"/>
        <v>0</v>
      </c>
      <c r="AH124" s="106">
        <f t="shared" si="99"/>
        <v>0</v>
      </c>
      <c r="AI124" s="106">
        <f t="shared" si="64"/>
        <v>0</v>
      </c>
      <c r="AJ124" s="106">
        <f t="shared" si="65"/>
        <v>0</v>
      </c>
      <c r="AK124" s="106">
        <f t="shared" si="66"/>
        <v>0</v>
      </c>
      <c r="AL124" s="132">
        <f t="shared" si="67"/>
        <v>0</v>
      </c>
      <c r="AM124" s="198">
        <f t="shared" si="68"/>
        <v>0</v>
      </c>
      <c r="AN124" s="106">
        <v>0</v>
      </c>
      <c r="AO124" s="106">
        <v>12110</v>
      </c>
      <c r="AP124" s="106">
        <v>0</v>
      </c>
      <c r="AQ124" s="106">
        <f t="shared" si="69"/>
        <v>12110</v>
      </c>
      <c r="AR124" s="193">
        <f t="shared" si="70"/>
        <v>10780.30989</v>
      </c>
      <c r="AS124" s="106">
        <v>0</v>
      </c>
      <c r="AT124" s="106">
        <v>0</v>
      </c>
      <c r="AU124" s="106">
        <v>0</v>
      </c>
      <c r="AV124" s="106">
        <f t="shared" si="87"/>
        <v>0</v>
      </c>
      <c r="AW124" s="106">
        <v>0</v>
      </c>
      <c r="AX124" s="106">
        <v>0</v>
      </c>
      <c r="AY124" s="106">
        <v>0</v>
      </c>
      <c r="AZ124" s="106">
        <f t="shared" si="88"/>
        <v>0</v>
      </c>
      <c r="BA124" s="197">
        <f t="shared" si="89"/>
        <v>0</v>
      </c>
      <c r="BB124" s="105">
        <f t="shared" si="71"/>
        <v>0</v>
      </c>
      <c r="BC124" s="105">
        <f t="shared" si="79"/>
        <v>0</v>
      </c>
      <c r="BD124" s="105">
        <f t="shared" si="72"/>
        <v>12110</v>
      </c>
      <c r="BE124" s="105">
        <f t="shared" si="80"/>
        <v>10780.30989</v>
      </c>
      <c r="BF124" s="105">
        <f t="shared" si="73"/>
        <v>0</v>
      </c>
      <c r="BG124" s="105">
        <f t="shared" si="81"/>
        <v>0</v>
      </c>
      <c r="BH124" s="105">
        <f t="shared" si="74"/>
        <v>12110</v>
      </c>
      <c r="BI124" s="105">
        <f t="shared" si="75"/>
        <v>10780.30989</v>
      </c>
      <c r="BJ124" s="186">
        <f t="shared" si="76"/>
        <v>36.5</v>
      </c>
      <c r="BK124" s="182">
        <f t="shared" si="77"/>
        <v>0</v>
      </c>
      <c r="BL124" s="98">
        <f t="shared" si="78"/>
        <v>0</v>
      </c>
      <c r="BM124" s="99">
        <f t="shared" si="90"/>
        <v>0</v>
      </c>
      <c r="BN124" s="99">
        <f t="shared" si="91"/>
        <v>0</v>
      </c>
      <c r="BO124" s="196"/>
      <c r="BP124" s="194">
        <v>0.89019899999999996</v>
      </c>
      <c r="BQ124" s="194"/>
      <c r="BR124" s="182">
        <f t="shared" si="82"/>
        <v>0</v>
      </c>
      <c r="BS124" s="95">
        <v>0</v>
      </c>
      <c r="BT124" s="253">
        <v>0.89198999999999995</v>
      </c>
      <c r="BU124" s="182">
        <f t="shared" si="100"/>
        <v>0</v>
      </c>
      <c r="BV124" s="106">
        <v>36.5</v>
      </c>
      <c r="BW124" s="253">
        <v>0.89019899999999996</v>
      </c>
      <c r="BX124" s="182">
        <f t="shared" si="95"/>
        <v>32.4922635</v>
      </c>
      <c r="BY124" s="106"/>
      <c r="BZ124" s="196"/>
      <c r="CA124" s="95"/>
      <c r="CB124" s="106"/>
      <c r="CC124" s="196"/>
      <c r="CD124" s="106"/>
      <c r="CE124" s="106"/>
      <c r="CF124" s="196"/>
      <c r="CG124" s="106"/>
      <c r="CH124" s="106"/>
      <c r="CI124" s="196"/>
      <c r="CJ124" s="106"/>
      <c r="CK124" s="106"/>
      <c r="CL124" s="196"/>
      <c r="CM124" s="106"/>
      <c r="CN124" s="182"/>
      <c r="CO124" s="105"/>
      <c r="CP124" s="182">
        <f t="shared" si="101"/>
        <v>-35.04</v>
      </c>
      <c r="CQ124" s="95"/>
      <c r="CR124" s="115">
        <f t="shared" si="93"/>
        <v>-36.5</v>
      </c>
      <c r="CS124" s="113"/>
      <c r="CT124" s="113"/>
      <c r="CU124" s="187"/>
      <c r="CV124" s="187"/>
      <c r="CW124" s="240"/>
    </row>
    <row r="125" spans="1:101" s="51" customFormat="1" ht="19.899999999999999" customHeight="1" x14ac:dyDescent="0.3">
      <c r="A125" s="92" t="s">
        <v>169</v>
      </c>
      <c r="B125" s="49">
        <v>10078058</v>
      </c>
      <c r="C125" s="92" t="s">
        <v>246</v>
      </c>
      <c r="D125" s="93" t="s">
        <v>171</v>
      </c>
      <c r="E125" s="93" t="s">
        <v>207</v>
      </c>
      <c r="F125" s="94">
        <v>7656</v>
      </c>
      <c r="G125" s="182"/>
      <c r="H125" s="95">
        <f t="shared" si="61"/>
        <v>0</v>
      </c>
      <c r="I125" s="93"/>
      <c r="J125" s="96"/>
      <c r="K125" s="49" t="s">
        <v>247</v>
      </c>
      <c r="L125" s="93"/>
      <c r="M125" s="97" t="s">
        <v>159</v>
      </c>
      <c r="N125" s="97" t="s">
        <v>248</v>
      </c>
      <c r="O125" s="183">
        <v>99.62</v>
      </c>
      <c r="P125" s="183">
        <v>0</v>
      </c>
      <c r="Q125" s="183">
        <v>0</v>
      </c>
      <c r="R125" s="131"/>
      <c r="S125" s="183">
        <v>0</v>
      </c>
      <c r="T125" s="183">
        <v>0</v>
      </c>
      <c r="U125" s="183">
        <v>16.34</v>
      </c>
      <c r="V125" s="183">
        <v>0</v>
      </c>
      <c r="W125" s="183">
        <v>0</v>
      </c>
      <c r="X125" s="183"/>
      <c r="Y125" s="183"/>
      <c r="Z125" s="183"/>
      <c r="AA125" s="183"/>
      <c r="AB125" s="184">
        <v>0.83287</v>
      </c>
      <c r="AC125" s="184">
        <v>0.83287</v>
      </c>
      <c r="AD125" s="95">
        <v>0</v>
      </c>
      <c r="AE125" s="95">
        <v>5929.1999999999989</v>
      </c>
      <c r="AF125" s="95">
        <v>0</v>
      </c>
      <c r="AG125" s="95">
        <f t="shared" si="98"/>
        <v>5929.1999999999989</v>
      </c>
      <c r="AH125" s="95">
        <f t="shared" si="99"/>
        <v>4938.2528039999988</v>
      </c>
      <c r="AI125" s="95">
        <f t="shared" si="64"/>
        <v>0</v>
      </c>
      <c r="AJ125" s="95">
        <f t="shared" si="65"/>
        <v>441.19999999999891</v>
      </c>
      <c r="AK125" s="95">
        <f t="shared" si="66"/>
        <v>0</v>
      </c>
      <c r="AL125" s="133">
        <f t="shared" si="67"/>
        <v>441.19999999999891</v>
      </c>
      <c r="AM125" s="199">
        <f t="shared" si="68"/>
        <v>367.46224399999909</v>
      </c>
      <c r="AN125" s="106">
        <v>0</v>
      </c>
      <c r="AO125" s="106">
        <v>128</v>
      </c>
      <c r="AP125" s="106">
        <v>0</v>
      </c>
      <c r="AQ125" s="95">
        <f t="shared" si="69"/>
        <v>128</v>
      </c>
      <c r="AR125" s="183">
        <f t="shared" si="70"/>
        <v>106.60736</v>
      </c>
      <c r="AS125" s="106">
        <v>0</v>
      </c>
      <c r="AT125" s="106">
        <v>5488</v>
      </c>
      <c r="AU125" s="106">
        <v>0</v>
      </c>
      <c r="AV125" s="106">
        <f t="shared" ref="AV125:AV156" si="104">SUM(AS125:AU125)</f>
        <v>5488</v>
      </c>
      <c r="AW125" s="106">
        <v>0</v>
      </c>
      <c r="AX125" s="106">
        <v>28</v>
      </c>
      <c r="AY125" s="106">
        <v>0</v>
      </c>
      <c r="AZ125" s="106">
        <f t="shared" ref="AZ125:AZ156" si="105">SUM(AW125:AY125)</f>
        <v>28</v>
      </c>
      <c r="BA125" s="197">
        <f t="shared" ref="BA125:BA156" si="106">(AW125*AB125)+((AX125+AY125)*AC125)</f>
        <v>23.320360000000001</v>
      </c>
      <c r="BB125" s="105">
        <f t="shared" si="71"/>
        <v>0</v>
      </c>
      <c r="BC125" s="105">
        <f t="shared" si="79"/>
        <v>0</v>
      </c>
      <c r="BD125" s="105">
        <f t="shared" si="72"/>
        <v>100</v>
      </c>
      <c r="BE125" s="105">
        <f t="shared" si="80"/>
        <v>83.287000000000006</v>
      </c>
      <c r="BF125" s="105">
        <f t="shared" si="73"/>
        <v>0</v>
      </c>
      <c r="BG125" s="105">
        <f t="shared" si="81"/>
        <v>0</v>
      </c>
      <c r="BH125" s="105">
        <f t="shared" si="74"/>
        <v>100</v>
      </c>
      <c r="BI125" s="105">
        <f t="shared" si="75"/>
        <v>83.287000000000006</v>
      </c>
      <c r="BJ125" s="186">
        <f t="shared" si="76"/>
        <v>4805.1299999999992</v>
      </c>
      <c r="BK125" s="182">
        <f t="shared" si="77"/>
        <v>390.78260399999908</v>
      </c>
      <c r="BL125" s="98">
        <f t="shared" si="78"/>
        <v>469.19999999999891</v>
      </c>
      <c r="BM125" s="99">
        <f t="shared" ref="BM125:BM148" si="107">AW125</f>
        <v>0</v>
      </c>
      <c r="BN125" s="99">
        <f t="shared" ref="BN125:BN148" si="108">AX125+AY125</f>
        <v>28</v>
      </c>
      <c r="BO125" s="196"/>
      <c r="BP125" s="196"/>
      <c r="BQ125" s="196"/>
      <c r="BR125" s="196"/>
      <c r="BS125" s="106">
        <v>274.39999999999998</v>
      </c>
      <c r="BT125" s="184">
        <v>0.83287</v>
      </c>
      <c r="BU125" s="182">
        <f t="shared" si="100"/>
        <v>228.53952799999999</v>
      </c>
      <c r="BV125" s="106">
        <v>1843.52</v>
      </c>
      <c r="BW125" s="196">
        <v>0.78290999999999999</v>
      </c>
      <c r="BX125" s="182">
        <f t="shared" si="95"/>
        <v>1443.3102432000001</v>
      </c>
      <c r="BY125" s="106">
        <v>1008.2</v>
      </c>
      <c r="BZ125" s="196">
        <v>0.78290999999999999</v>
      </c>
      <c r="CA125" s="95">
        <f t="shared" ref="CA125:CA138" si="109">BY125*BZ125</f>
        <v>789.32986200000005</v>
      </c>
      <c r="CB125" s="106">
        <v>172.83</v>
      </c>
      <c r="CC125" s="196">
        <v>0.83287</v>
      </c>
      <c r="CD125" s="195">
        <f t="shared" ref="CD125:CD139" si="110">CB125*CC125</f>
        <v>143.94492210000001</v>
      </c>
      <c r="CE125" s="106">
        <v>1036.98</v>
      </c>
      <c r="CF125" s="196">
        <v>0.78290999999999999</v>
      </c>
      <c r="CG125" s="106"/>
      <c r="CH125" s="106"/>
      <c r="CI125" s="196"/>
      <c r="CJ125" s="106"/>
      <c r="CK125" s="106"/>
      <c r="CL125" s="196"/>
      <c r="CM125" s="106"/>
      <c r="CN125" s="182">
        <f t="shared" ref="CN125:CN138" si="111">BK125+BU125+BX125+CA125+CD125+CG125+CJ125+CM125</f>
        <v>2995.907159299999</v>
      </c>
      <c r="CO125" s="105">
        <f>617.94</f>
        <v>617.94000000000005</v>
      </c>
      <c r="CP125" s="182">
        <f t="shared" si="101"/>
        <v>0</v>
      </c>
      <c r="CQ125" s="95">
        <f t="shared" ref="CQ125:CQ138" si="112">AL125+AZ125+AQ125</f>
        <v>597.19999999999891</v>
      </c>
      <c r="CR125" s="115">
        <f t="shared" ref="CR125:CR156" si="113">AV125-AZ125-BS125-BV125-BY125-CB125</f>
        <v>2161.0500000000002</v>
      </c>
      <c r="CS125" s="113"/>
      <c r="CT125" s="113"/>
      <c r="CU125" s="187"/>
      <c r="CV125" s="187"/>
      <c r="CW125" s="240"/>
    </row>
    <row r="126" spans="1:101" s="51" customFormat="1" ht="19.899999999999999" customHeight="1" x14ac:dyDescent="0.3">
      <c r="A126" s="148" t="s">
        <v>169</v>
      </c>
      <c r="B126" s="50">
        <v>10078058</v>
      </c>
      <c r="C126" s="148" t="s">
        <v>246</v>
      </c>
      <c r="D126" s="104" t="s">
        <v>171</v>
      </c>
      <c r="E126" s="104" t="s">
        <v>207</v>
      </c>
      <c r="F126" s="105">
        <v>7656</v>
      </c>
      <c r="G126" s="196"/>
      <c r="H126" s="106">
        <f t="shared" si="61"/>
        <v>0</v>
      </c>
      <c r="I126" s="104"/>
      <c r="J126" s="107"/>
      <c r="K126" s="50" t="s">
        <v>247</v>
      </c>
      <c r="L126" s="104"/>
      <c r="M126" s="108" t="s">
        <v>163</v>
      </c>
      <c r="N126" s="108" t="s">
        <v>233</v>
      </c>
      <c r="O126" s="193">
        <v>96.89</v>
      </c>
      <c r="P126" s="193">
        <v>0</v>
      </c>
      <c r="Q126" s="193">
        <v>0</v>
      </c>
      <c r="R126" s="109"/>
      <c r="S126" s="193">
        <v>0</v>
      </c>
      <c r="T126" s="193">
        <v>0</v>
      </c>
      <c r="U126" s="193">
        <v>13.67</v>
      </c>
      <c r="V126" s="193">
        <v>0</v>
      </c>
      <c r="W126" s="193">
        <v>0</v>
      </c>
      <c r="X126" s="193"/>
      <c r="Y126" s="193"/>
      <c r="Z126" s="193"/>
      <c r="AA126" s="193"/>
      <c r="AB126" s="194">
        <v>0.83218999999999999</v>
      </c>
      <c r="AC126" s="194">
        <v>0.83218999999999999</v>
      </c>
      <c r="AD126" s="106">
        <v>0</v>
      </c>
      <c r="AE126" s="118">
        <v>6257.7000000000007</v>
      </c>
      <c r="AF126" s="106">
        <v>0</v>
      </c>
      <c r="AG126" s="106">
        <f t="shared" si="98"/>
        <v>6257.7000000000007</v>
      </c>
      <c r="AH126" s="106">
        <f t="shared" si="99"/>
        <v>5207.5953630000004</v>
      </c>
      <c r="AI126" s="106">
        <f t="shared" si="64"/>
        <v>0</v>
      </c>
      <c r="AJ126" s="106">
        <f t="shared" si="65"/>
        <v>412.70000000000073</v>
      </c>
      <c r="AK126" s="106">
        <f t="shared" si="66"/>
        <v>0</v>
      </c>
      <c r="AL126" s="132">
        <f t="shared" si="67"/>
        <v>412.70000000000073</v>
      </c>
      <c r="AM126" s="198">
        <f t="shared" si="68"/>
        <v>343.44481300000058</v>
      </c>
      <c r="AN126" s="95">
        <v>0</v>
      </c>
      <c r="AO126" s="95">
        <v>125</v>
      </c>
      <c r="AP126" s="95">
        <v>0</v>
      </c>
      <c r="AQ126" s="106">
        <f t="shared" si="69"/>
        <v>125</v>
      </c>
      <c r="AR126" s="193">
        <f t="shared" si="70"/>
        <v>104.02374999999999</v>
      </c>
      <c r="AS126" s="95">
        <v>0</v>
      </c>
      <c r="AT126" s="95">
        <v>5845</v>
      </c>
      <c r="AU126" s="95">
        <v>0</v>
      </c>
      <c r="AV126" s="95">
        <f t="shared" si="104"/>
        <v>5845</v>
      </c>
      <c r="AW126" s="95">
        <v>0</v>
      </c>
      <c r="AX126" s="95">
        <v>25</v>
      </c>
      <c r="AY126" s="95">
        <v>0</v>
      </c>
      <c r="AZ126" s="95">
        <f t="shared" si="105"/>
        <v>25</v>
      </c>
      <c r="BA126" s="197">
        <f t="shared" si="106"/>
        <v>20.804749999999999</v>
      </c>
      <c r="BB126" s="94">
        <f t="shared" si="71"/>
        <v>0</v>
      </c>
      <c r="BC126" s="105">
        <f t="shared" si="79"/>
        <v>0</v>
      </c>
      <c r="BD126" s="94">
        <f t="shared" si="72"/>
        <v>100</v>
      </c>
      <c r="BE126" s="94">
        <f t="shared" si="80"/>
        <v>83.218999999999994</v>
      </c>
      <c r="BF126" s="94">
        <f t="shared" si="73"/>
        <v>0</v>
      </c>
      <c r="BG126" s="94">
        <f t="shared" si="81"/>
        <v>0</v>
      </c>
      <c r="BH126" s="94">
        <f t="shared" si="74"/>
        <v>100</v>
      </c>
      <c r="BI126" s="94">
        <f t="shared" si="75"/>
        <v>83.218999999999994</v>
      </c>
      <c r="BJ126" s="186">
        <f t="shared" si="76"/>
        <v>5718.5900000000011</v>
      </c>
      <c r="BK126" s="182">
        <f t="shared" si="77"/>
        <v>364.24956300000059</v>
      </c>
      <c r="BL126" s="98">
        <f t="shared" si="78"/>
        <v>437.70000000000073</v>
      </c>
      <c r="BM126" s="99">
        <f t="shared" si="107"/>
        <v>0</v>
      </c>
      <c r="BN126" s="99">
        <f t="shared" si="108"/>
        <v>25</v>
      </c>
      <c r="BO126" s="182"/>
      <c r="BP126" s="182"/>
      <c r="BQ126" s="182">
        <v>0</v>
      </c>
      <c r="BR126" s="182"/>
      <c r="BS126" s="95">
        <v>292.25</v>
      </c>
      <c r="BT126" s="194">
        <v>0.83218999999999999</v>
      </c>
      <c r="BU126" s="182">
        <f t="shared" si="100"/>
        <v>243.2075275</v>
      </c>
      <c r="BV126" s="95">
        <v>1756.16</v>
      </c>
      <c r="BW126" s="182">
        <v>0.78227000000000002</v>
      </c>
      <c r="BX126" s="182">
        <f t="shared" si="95"/>
        <v>1373.7912832000002</v>
      </c>
      <c r="BY126" s="95">
        <v>2420.9299999999998</v>
      </c>
      <c r="BZ126" s="182">
        <v>0.78227000000000002</v>
      </c>
      <c r="CA126" s="95">
        <f t="shared" si="109"/>
        <v>1893.8209110999999</v>
      </c>
      <c r="CB126" s="95">
        <v>164.64</v>
      </c>
      <c r="CC126" s="182">
        <v>0.83218999999999999</v>
      </c>
      <c r="CD126" s="195">
        <f t="shared" si="110"/>
        <v>137.0117616</v>
      </c>
      <c r="CE126" s="95">
        <v>646.91</v>
      </c>
      <c r="CF126" s="182">
        <v>0.78227000000000002</v>
      </c>
      <c r="CG126" s="95"/>
      <c r="CH126" s="95"/>
      <c r="CI126" s="182"/>
      <c r="CJ126" s="95"/>
      <c r="CK126" s="95"/>
      <c r="CL126" s="182"/>
      <c r="CM126" s="95"/>
      <c r="CN126" s="182">
        <f t="shared" si="111"/>
        <v>4012.0810464000006</v>
      </c>
      <c r="CO126" s="94">
        <f>AV126-AZ126+CO125</f>
        <v>6437.9400000000005</v>
      </c>
      <c r="CP126" s="182">
        <f t="shared" si="101"/>
        <v>0</v>
      </c>
      <c r="CQ126" s="95">
        <f t="shared" si="112"/>
        <v>562.70000000000073</v>
      </c>
      <c r="CR126" s="115">
        <f t="shared" si="113"/>
        <v>1186.0200000000004</v>
      </c>
      <c r="CS126" s="113"/>
      <c r="CT126" s="113"/>
      <c r="CU126" s="187"/>
      <c r="CV126" s="187"/>
      <c r="CW126" s="240"/>
    </row>
    <row r="127" spans="1:101" s="51" customFormat="1" ht="19.899999999999999" customHeight="1" x14ac:dyDescent="0.3">
      <c r="A127" s="92" t="s">
        <v>169</v>
      </c>
      <c r="B127" s="49">
        <v>10078058</v>
      </c>
      <c r="C127" s="92" t="s">
        <v>246</v>
      </c>
      <c r="D127" s="93" t="s">
        <v>171</v>
      </c>
      <c r="E127" s="93" t="s">
        <v>207</v>
      </c>
      <c r="F127" s="94">
        <v>7656</v>
      </c>
      <c r="G127" s="182"/>
      <c r="H127" s="95">
        <f t="shared" si="61"/>
        <v>0</v>
      </c>
      <c r="I127" s="93"/>
      <c r="J127" s="96"/>
      <c r="K127" s="49" t="s">
        <v>247</v>
      </c>
      <c r="L127" s="93"/>
      <c r="M127" s="97" t="s">
        <v>165</v>
      </c>
      <c r="N127" s="97" t="s">
        <v>234</v>
      </c>
      <c r="O127" s="183">
        <v>97.51</v>
      </c>
      <c r="P127" s="183">
        <v>0</v>
      </c>
      <c r="Q127" s="183">
        <v>0</v>
      </c>
      <c r="R127" s="131"/>
      <c r="S127" s="183">
        <v>0</v>
      </c>
      <c r="T127" s="183">
        <v>0</v>
      </c>
      <c r="U127" s="183">
        <v>10.92</v>
      </c>
      <c r="V127" s="183">
        <v>0</v>
      </c>
      <c r="W127" s="183">
        <v>0</v>
      </c>
      <c r="X127" s="183"/>
      <c r="Y127" s="183"/>
      <c r="Z127" s="183"/>
      <c r="AA127" s="183"/>
      <c r="AB127" s="184">
        <v>0.86587000000000003</v>
      </c>
      <c r="AC127" s="184">
        <v>0.86587000000000003</v>
      </c>
      <c r="AD127" s="95">
        <v>0</v>
      </c>
      <c r="AE127" s="95">
        <v>4752.3</v>
      </c>
      <c r="AF127" s="95">
        <v>0</v>
      </c>
      <c r="AG127" s="95">
        <f t="shared" si="98"/>
        <v>4752.3</v>
      </c>
      <c r="AH127" s="95">
        <f t="shared" si="99"/>
        <v>4114.8740010000001</v>
      </c>
      <c r="AI127" s="95">
        <f t="shared" si="64"/>
        <v>0</v>
      </c>
      <c r="AJ127" s="95">
        <f t="shared" si="65"/>
        <v>29.300000000000182</v>
      </c>
      <c r="AK127" s="95">
        <f t="shared" si="66"/>
        <v>0</v>
      </c>
      <c r="AL127" s="133">
        <f t="shared" si="67"/>
        <v>29.300000000000182</v>
      </c>
      <c r="AM127" s="199">
        <f t="shared" si="68"/>
        <v>25.369991000000159</v>
      </c>
      <c r="AN127" s="106">
        <v>0</v>
      </c>
      <c r="AO127" s="106">
        <v>140</v>
      </c>
      <c r="AP127" s="106">
        <v>0</v>
      </c>
      <c r="AQ127" s="95">
        <f t="shared" si="69"/>
        <v>140</v>
      </c>
      <c r="AR127" s="183">
        <f t="shared" si="70"/>
        <v>121.2218</v>
      </c>
      <c r="AS127" s="106">
        <v>0</v>
      </c>
      <c r="AT127" s="106">
        <v>4723</v>
      </c>
      <c r="AU127" s="106">
        <v>0</v>
      </c>
      <c r="AV127" s="106">
        <f t="shared" si="104"/>
        <v>4723</v>
      </c>
      <c r="AW127" s="106">
        <v>0</v>
      </c>
      <c r="AX127" s="106">
        <v>40</v>
      </c>
      <c r="AY127" s="106">
        <v>0</v>
      </c>
      <c r="AZ127" s="106">
        <f t="shared" si="105"/>
        <v>40</v>
      </c>
      <c r="BA127" s="197">
        <f t="shared" si="106"/>
        <v>34.634799999999998</v>
      </c>
      <c r="BB127" s="105">
        <f t="shared" si="71"/>
        <v>0</v>
      </c>
      <c r="BC127" s="105">
        <f t="shared" si="79"/>
        <v>0</v>
      </c>
      <c r="BD127" s="105">
        <f t="shared" si="72"/>
        <v>100</v>
      </c>
      <c r="BE127" s="105">
        <f t="shared" si="80"/>
        <v>86.587000000000003</v>
      </c>
      <c r="BF127" s="105">
        <f t="shared" si="73"/>
        <v>0</v>
      </c>
      <c r="BG127" s="105">
        <f t="shared" si="81"/>
        <v>0</v>
      </c>
      <c r="BH127" s="105">
        <f t="shared" si="74"/>
        <v>100</v>
      </c>
      <c r="BI127" s="105">
        <f t="shared" si="75"/>
        <v>86.587000000000003</v>
      </c>
      <c r="BJ127" s="186">
        <f t="shared" si="76"/>
        <v>6054.84</v>
      </c>
      <c r="BK127" s="182">
        <f t="shared" si="77"/>
        <v>60.004791000000161</v>
      </c>
      <c r="BL127" s="98">
        <f t="shared" si="78"/>
        <v>69.300000000000182</v>
      </c>
      <c r="BM127" s="99">
        <f t="shared" si="107"/>
        <v>0</v>
      </c>
      <c r="BN127" s="99">
        <f t="shared" si="108"/>
        <v>40</v>
      </c>
      <c r="BO127" s="196"/>
      <c r="BP127" s="196"/>
      <c r="BQ127" s="196">
        <v>0</v>
      </c>
      <c r="BR127" s="196"/>
      <c r="BS127" s="106">
        <v>236.15</v>
      </c>
      <c r="BT127" s="184">
        <v>0.86587000000000003</v>
      </c>
      <c r="BU127" s="182">
        <f t="shared" si="100"/>
        <v>204.4752005</v>
      </c>
      <c r="BV127" s="106">
        <v>1870.4</v>
      </c>
      <c r="BW127" s="196">
        <v>0.81393000000000004</v>
      </c>
      <c r="BX127" s="182">
        <f t="shared" si="95"/>
        <v>1522.3746720000001</v>
      </c>
      <c r="BY127" s="106">
        <v>2429.73</v>
      </c>
      <c r="BZ127" s="196">
        <v>0.81393000000000004</v>
      </c>
      <c r="CA127" s="95">
        <f t="shared" si="109"/>
        <v>1977.6301389</v>
      </c>
      <c r="CB127" s="106">
        <v>175.35</v>
      </c>
      <c r="CC127" s="196">
        <v>0.86587000000000003</v>
      </c>
      <c r="CD127" s="195">
        <f t="shared" si="110"/>
        <v>151.83030450000001</v>
      </c>
      <c r="CE127" s="106">
        <v>1273.9100000000001</v>
      </c>
      <c r="CF127" s="196">
        <v>0.81393000000000004</v>
      </c>
      <c r="CG127" s="106"/>
      <c r="CH127" s="106"/>
      <c r="CI127" s="196"/>
      <c r="CJ127" s="106"/>
      <c r="CK127" s="106"/>
      <c r="CL127" s="196"/>
      <c r="CM127" s="106"/>
      <c r="CN127" s="182">
        <f t="shared" si="111"/>
        <v>3916.3151069000005</v>
      </c>
      <c r="CO127" s="105"/>
      <c r="CP127" s="182">
        <f t="shared" si="101"/>
        <v>0</v>
      </c>
      <c r="CQ127" s="95">
        <f t="shared" si="112"/>
        <v>209.30000000000018</v>
      </c>
      <c r="CR127" s="115">
        <f t="shared" si="113"/>
        <v>-28.62999999999974</v>
      </c>
      <c r="CS127" s="113"/>
      <c r="CT127" s="113"/>
      <c r="CU127" s="187"/>
      <c r="CV127" s="187"/>
      <c r="CW127" s="240"/>
    </row>
    <row r="128" spans="1:101" s="51" customFormat="1" ht="19.899999999999999" customHeight="1" x14ac:dyDescent="0.3">
      <c r="A128" s="103" t="s">
        <v>169</v>
      </c>
      <c r="B128" s="50">
        <v>10078058</v>
      </c>
      <c r="C128" s="103" t="s">
        <v>246</v>
      </c>
      <c r="D128" s="104" t="s">
        <v>171</v>
      </c>
      <c r="E128" s="104" t="s">
        <v>207</v>
      </c>
      <c r="F128" s="105">
        <v>7656</v>
      </c>
      <c r="G128" s="196"/>
      <c r="H128" s="106">
        <f t="shared" si="61"/>
        <v>0</v>
      </c>
      <c r="I128" s="104"/>
      <c r="J128" s="107"/>
      <c r="K128" s="50" t="s">
        <v>247</v>
      </c>
      <c r="L128" s="104"/>
      <c r="M128" s="108" t="s">
        <v>133</v>
      </c>
      <c r="N128" s="108" t="s">
        <v>235</v>
      </c>
      <c r="O128" s="193">
        <v>96.87</v>
      </c>
      <c r="P128" s="193">
        <v>0</v>
      </c>
      <c r="Q128" s="193">
        <v>0</v>
      </c>
      <c r="R128" s="109"/>
      <c r="S128" s="193">
        <v>0</v>
      </c>
      <c r="T128" s="193">
        <v>0</v>
      </c>
      <c r="U128" s="193">
        <v>10.8</v>
      </c>
      <c r="V128" s="193">
        <v>0</v>
      </c>
      <c r="W128" s="193">
        <v>0</v>
      </c>
      <c r="X128" s="193"/>
      <c r="Y128" s="193"/>
      <c r="Z128" s="193"/>
      <c r="AA128" s="193"/>
      <c r="AB128" s="194">
        <v>0.86063999999999996</v>
      </c>
      <c r="AC128" s="194">
        <v>0.86063999999999996</v>
      </c>
      <c r="AD128" s="106">
        <v>0</v>
      </c>
      <c r="AE128" s="118">
        <v>6104.5999999999995</v>
      </c>
      <c r="AF128" s="106">
        <v>0</v>
      </c>
      <c r="AG128" s="106">
        <f t="shared" si="98"/>
        <v>6104.5999999999995</v>
      </c>
      <c r="AH128" s="106">
        <f t="shared" si="99"/>
        <v>5253.8629439999995</v>
      </c>
      <c r="AI128" s="106">
        <f t="shared" si="64"/>
        <v>0</v>
      </c>
      <c r="AJ128" s="106">
        <f t="shared" si="65"/>
        <v>-118.40000000000055</v>
      </c>
      <c r="AK128" s="106">
        <f t="shared" si="66"/>
        <v>0</v>
      </c>
      <c r="AL128" s="132">
        <f t="shared" si="67"/>
        <v>-118.40000000000055</v>
      </c>
      <c r="AM128" s="198">
        <f t="shared" si="68"/>
        <v>-101.89977600000047</v>
      </c>
      <c r="AN128" s="95">
        <v>0</v>
      </c>
      <c r="AO128" s="95">
        <v>158</v>
      </c>
      <c r="AP128" s="95">
        <v>0</v>
      </c>
      <c r="AQ128" s="106">
        <f t="shared" si="69"/>
        <v>158</v>
      </c>
      <c r="AR128" s="193">
        <f t="shared" si="70"/>
        <v>135.98112</v>
      </c>
      <c r="AS128" s="95">
        <v>0</v>
      </c>
      <c r="AT128" s="95">
        <v>6223</v>
      </c>
      <c r="AU128" s="95">
        <v>0</v>
      </c>
      <c r="AV128" s="95">
        <f t="shared" si="104"/>
        <v>6223</v>
      </c>
      <c r="AW128" s="95">
        <v>0</v>
      </c>
      <c r="AX128" s="95">
        <v>58</v>
      </c>
      <c r="AY128" s="95">
        <v>0</v>
      </c>
      <c r="AZ128" s="95">
        <f t="shared" si="105"/>
        <v>58</v>
      </c>
      <c r="BA128" s="197">
        <f t="shared" si="106"/>
        <v>49.917119999999997</v>
      </c>
      <c r="BB128" s="94">
        <f t="shared" si="71"/>
        <v>0</v>
      </c>
      <c r="BC128" s="105">
        <f t="shared" si="79"/>
        <v>0</v>
      </c>
      <c r="BD128" s="94">
        <f t="shared" si="72"/>
        <v>100</v>
      </c>
      <c r="BE128" s="94">
        <f t="shared" si="80"/>
        <v>86.063999999999993</v>
      </c>
      <c r="BF128" s="94">
        <f t="shared" si="73"/>
        <v>0</v>
      </c>
      <c r="BG128" s="94">
        <f t="shared" si="81"/>
        <v>0</v>
      </c>
      <c r="BH128" s="94">
        <f t="shared" si="74"/>
        <v>100</v>
      </c>
      <c r="BI128" s="94">
        <f t="shared" si="75"/>
        <v>86.063999999999993</v>
      </c>
      <c r="BJ128" s="186">
        <f t="shared" si="76"/>
        <v>4868.3199999999988</v>
      </c>
      <c r="BK128" s="182">
        <f t="shared" si="77"/>
        <v>-51.982656000000468</v>
      </c>
      <c r="BL128" s="98">
        <f t="shared" si="78"/>
        <v>-60.400000000000546</v>
      </c>
      <c r="BM128" s="99">
        <f t="shared" si="107"/>
        <v>0</v>
      </c>
      <c r="BN128" s="99">
        <f t="shared" si="108"/>
        <v>58</v>
      </c>
      <c r="BO128" s="182"/>
      <c r="BP128" s="182"/>
      <c r="BQ128" s="182">
        <v>0</v>
      </c>
      <c r="BR128" s="182"/>
      <c r="BS128" s="95">
        <v>311.14999999999998</v>
      </c>
      <c r="BT128" s="194">
        <v>0.86063999999999996</v>
      </c>
      <c r="BU128" s="182">
        <f t="shared" si="100"/>
        <v>267.78813599999995</v>
      </c>
      <c r="BV128" s="95">
        <v>1511.36</v>
      </c>
      <c r="BW128" s="182">
        <v>0.80901000000000001</v>
      </c>
      <c r="BX128" s="182">
        <f t="shared" si="95"/>
        <v>1222.7053535999999</v>
      </c>
      <c r="BY128" s="95">
        <v>1995.26</v>
      </c>
      <c r="BZ128" s="182">
        <v>0.80901000000000001</v>
      </c>
      <c r="CA128" s="95">
        <f t="shared" si="109"/>
        <v>1614.1852925999999</v>
      </c>
      <c r="CB128" s="95">
        <v>141.69</v>
      </c>
      <c r="CC128" s="182">
        <v>0.86063999999999996</v>
      </c>
      <c r="CD128" s="195">
        <f t="shared" si="110"/>
        <v>121.94408159999999</v>
      </c>
      <c r="CE128" s="95">
        <v>969.26</v>
      </c>
      <c r="CF128" s="182">
        <v>0.80901000000000001</v>
      </c>
      <c r="CG128" s="95"/>
      <c r="CH128" s="95"/>
      <c r="CI128" s="182"/>
      <c r="CJ128" s="95"/>
      <c r="CK128" s="95"/>
      <c r="CL128" s="182"/>
      <c r="CM128" s="95"/>
      <c r="CN128" s="182">
        <f t="shared" si="111"/>
        <v>3174.6402077999996</v>
      </c>
      <c r="CO128" s="94"/>
      <c r="CP128" s="182">
        <f t="shared" si="101"/>
        <v>0</v>
      </c>
      <c r="CQ128" s="95">
        <f t="shared" si="112"/>
        <v>97.599999999999454</v>
      </c>
      <c r="CR128" s="115">
        <f t="shared" si="113"/>
        <v>2205.5400000000004</v>
      </c>
      <c r="CS128" s="113"/>
      <c r="CT128" s="113"/>
      <c r="CU128" s="187"/>
      <c r="CV128" s="187"/>
      <c r="CW128" s="240"/>
    </row>
    <row r="129" spans="1:101" s="51" customFormat="1" ht="19.899999999999999" customHeight="1" x14ac:dyDescent="0.3">
      <c r="A129" s="92" t="s">
        <v>169</v>
      </c>
      <c r="B129" s="49">
        <v>10078058</v>
      </c>
      <c r="C129" s="92" t="s">
        <v>246</v>
      </c>
      <c r="D129" s="93" t="s">
        <v>171</v>
      </c>
      <c r="E129" s="93" t="s">
        <v>207</v>
      </c>
      <c r="F129" s="94">
        <v>7656</v>
      </c>
      <c r="G129" s="182"/>
      <c r="H129" s="95">
        <f t="shared" si="61"/>
        <v>0</v>
      </c>
      <c r="I129" s="93"/>
      <c r="J129" s="96"/>
      <c r="K129" s="49" t="s">
        <v>247</v>
      </c>
      <c r="L129" s="93"/>
      <c r="M129" s="97" t="s">
        <v>135</v>
      </c>
      <c r="N129" s="97" t="s">
        <v>236</v>
      </c>
      <c r="O129" s="183">
        <v>97.95</v>
      </c>
      <c r="P129" s="183">
        <v>0</v>
      </c>
      <c r="Q129" s="183">
        <v>0</v>
      </c>
      <c r="R129" s="131"/>
      <c r="S129" s="183">
        <v>0</v>
      </c>
      <c r="T129" s="183">
        <v>0</v>
      </c>
      <c r="U129" s="183">
        <v>11.54</v>
      </c>
      <c r="V129" s="183">
        <v>0</v>
      </c>
      <c r="W129" s="183">
        <v>0</v>
      </c>
      <c r="X129" s="183"/>
      <c r="Y129" s="183"/>
      <c r="Z129" s="183"/>
      <c r="AA129" s="183"/>
      <c r="AB129" s="184">
        <v>0.86404199999999998</v>
      </c>
      <c r="AC129" s="184">
        <v>0.86404199999999998</v>
      </c>
      <c r="AD129" s="95">
        <v>0</v>
      </c>
      <c r="AE129" s="95">
        <v>5701.4</v>
      </c>
      <c r="AF129" s="95">
        <v>0</v>
      </c>
      <c r="AG129" s="95">
        <f t="shared" si="98"/>
        <v>5701.4</v>
      </c>
      <c r="AH129" s="95">
        <f t="shared" si="99"/>
        <v>4926.2490587999991</v>
      </c>
      <c r="AI129" s="95">
        <f t="shared" si="64"/>
        <v>0</v>
      </c>
      <c r="AJ129" s="95">
        <f t="shared" si="65"/>
        <v>-1993.6000000000004</v>
      </c>
      <c r="AK129" s="95">
        <f t="shared" si="66"/>
        <v>0</v>
      </c>
      <c r="AL129" s="133">
        <f t="shared" si="67"/>
        <v>-1993.6000000000004</v>
      </c>
      <c r="AM129" s="199">
        <f t="shared" si="68"/>
        <v>-1722.5541312000003</v>
      </c>
      <c r="AN129" s="106">
        <v>0</v>
      </c>
      <c r="AO129" s="106">
        <v>153</v>
      </c>
      <c r="AP129" s="106">
        <v>0</v>
      </c>
      <c r="AQ129" s="95">
        <f t="shared" si="69"/>
        <v>153</v>
      </c>
      <c r="AR129" s="183">
        <f t="shared" si="70"/>
        <v>132.19842599999998</v>
      </c>
      <c r="AS129" s="106">
        <v>0</v>
      </c>
      <c r="AT129" s="106">
        <v>7695</v>
      </c>
      <c r="AU129" s="106">
        <v>0</v>
      </c>
      <c r="AV129" s="106">
        <f t="shared" si="104"/>
        <v>7695</v>
      </c>
      <c r="AW129" s="106">
        <v>0</v>
      </c>
      <c r="AX129" s="106">
        <v>53</v>
      </c>
      <c r="AY129" s="106">
        <v>0</v>
      </c>
      <c r="AZ129" s="106">
        <f t="shared" si="105"/>
        <v>53</v>
      </c>
      <c r="BA129" s="197">
        <f t="shared" si="106"/>
        <v>45.794226000000002</v>
      </c>
      <c r="BB129" s="105">
        <f t="shared" si="71"/>
        <v>0</v>
      </c>
      <c r="BC129" s="105">
        <f t="shared" si="79"/>
        <v>0</v>
      </c>
      <c r="BD129" s="105">
        <f t="shared" si="72"/>
        <v>100</v>
      </c>
      <c r="BE129" s="105">
        <f t="shared" si="80"/>
        <v>86.404200000000003</v>
      </c>
      <c r="BF129" s="105">
        <f t="shared" si="73"/>
        <v>0</v>
      </c>
      <c r="BG129" s="105">
        <f t="shared" si="81"/>
        <v>0</v>
      </c>
      <c r="BH129" s="105">
        <f t="shared" si="74"/>
        <v>100</v>
      </c>
      <c r="BI129" s="105">
        <f t="shared" si="75"/>
        <v>86.404200000000003</v>
      </c>
      <c r="BJ129" s="186">
        <f t="shared" si="76"/>
        <v>3982.62</v>
      </c>
      <c r="BK129" s="182">
        <f t="shared" si="77"/>
        <v>-1676.7599052000003</v>
      </c>
      <c r="BL129" s="98">
        <f t="shared" si="78"/>
        <v>-1940.6000000000004</v>
      </c>
      <c r="BM129" s="99">
        <f t="shared" si="107"/>
        <v>0</v>
      </c>
      <c r="BN129" s="99">
        <f t="shared" si="108"/>
        <v>53</v>
      </c>
      <c r="BO129" s="196"/>
      <c r="BP129" s="196"/>
      <c r="BQ129" s="196">
        <v>0</v>
      </c>
      <c r="BR129" s="196"/>
      <c r="BS129" s="106">
        <v>384.75</v>
      </c>
      <c r="BT129" s="184">
        <v>0.86404199999999998</v>
      </c>
      <c r="BU129" s="182">
        <f t="shared" si="100"/>
        <v>332.44015949999999</v>
      </c>
      <c r="BV129" s="106">
        <v>1991.36</v>
      </c>
      <c r="BW129" s="196">
        <v>0.81221200000000005</v>
      </c>
      <c r="BX129" s="182">
        <f t="shared" si="95"/>
        <v>1617.4064883200001</v>
      </c>
      <c r="BY129" s="106">
        <v>2240.2800000000002</v>
      </c>
      <c r="BZ129" s="196">
        <v>0.81221200000000005</v>
      </c>
      <c r="CA129" s="95">
        <f t="shared" si="109"/>
        <v>1819.5822993600002</v>
      </c>
      <c r="CB129" s="106">
        <v>186.69</v>
      </c>
      <c r="CC129" s="196">
        <v>0.86404199999999998</v>
      </c>
      <c r="CD129" s="195">
        <f t="shared" si="110"/>
        <v>161.30800098</v>
      </c>
      <c r="CE129" s="106">
        <v>1120.1400000000001</v>
      </c>
      <c r="CF129" s="196">
        <v>0.81221200000000005</v>
      </c>
      <c r="CG129" s="106"/>
      <c r="CH129" s="106"/>
      <c r="CI129" s="196"/>
      <c r="CJ129" s="106"/>
      <c r="CK129" s="106"/>
      <c r="CL129" s="196"/>
      <c r="CM129" s="106"/>
      <c r="CN129" s="182">
        <f t="shared" si="111"/>
        <v>2253.9770429599998</v>
      </c>
      <c r="CO129" s="105"/>
      <c r="CP129" s="182">
        <f t="shared" si="101"/>
        <v>0</v>
      </c>
      <c r="CQ129" s="95">
        <f t="shared" si="112"/>
        <v>-1787.6000000000004</v>
      </c>
      <c r="CR129" s="115">
        <f t="shared" si="113"/>
        <v>2838.92</v>
      </c>
      <c r="CS129" s="113"/>
      <c r="CT129" s="113"/>
      <c r="CU129" s="187"/>
      <c r="CV129" s="187"/>
      <c r="CW129" s="240"/>
    </row>
    <row r="130" spans="1:101" s="51" customFormat="1" ht="19.899999999999999" customHeight="1" x14ac:dyDescent="0.3">
      <c r="A130" s="148" t="s">
        <v>169</v>
      </c>
      <c r="B130" s="50">
        <v>10078058</v>
      </c>
      <c r="C130" s="148" t="s">
        <v>246</v>
      </c>
      <c r="D130" s="104" t="s">
        <v>171</v>
      </c>
      <c r="E130" s="104" t="s">
        <v>207</v>
      </c>
      <c r="F130" s="105">
        <v>7656</v>
      </c>
      <c r="G130" s="196"/>
      <c r="H130" s="106">
        <f t="shared" ref="H130:H193" si="114">F130*G130</f>
        <v>0</v>
      </c>
      <c r="I130" s="104"/>
      <c r="J130" s="107"/>
      <c r="K130" s="50" t="s">
        <v>247</v>
      </c>
      <c r="L130" s="104"/>
      <c r="M130" s="108" t="s">
        <v>137</v>
      </c>
      <c r="N130" s="108" t="s">
        <v>237</v>
      </c>
      <c r="O130" s="193">
        <v>94.03</v>
      </c>
      <c r="P130" s="193">
        <v>0</v>
      </c>
      <c r="Q130" s="193">
        <v>0</v>
      </c>
      <c r="R130" s="109"/>
      <c r="S130" s="193">
        <v>0</v>
      </c>
      <c r="T130" s="193">
        <v>0</v>
      </c>
      <c r="U130" s="193">
        <v>11.57</v>
      </c>
      <c r="V130" s="193">
        <v>0</v>
      </c>
      <c r="W130" s="193">
        <v>0</v>
      </c>
      <c r="X130" s="193"/>
      <c r="Y130" s="193"/>
      <c r="Z130" s="193"/>
      <c r="AA130" s="193"/>
      <c r="AB130" s="194">
        <v>0.82458600000000004</v>
      </c>
      <c r="AC130" s="194">
        <v>0.82458600000000004</v>
      </c>
      <c r="AD130" s="106">
        <v>0</v>
      </c>
      <c r="AE130" s="118">
        <v>4857.7000000000007</v>
      </c>
      <c r="AF130" s="106">
        <v>0</v>
      </c>
      <c r="AG130" s="106">
        <f t="shared" ref="AG130:AG161" si="115">SUM(AD130:AF130)</f>
        <v>4857.7000000000007</v>
      </c>
      <c r="AH130" s="106">
        <f t="shared" ref="AH130:AH148" si="116">(AD130*AB130)+((AE130+AF130)*AC130)</f>
        <v>4005.5914122000008</v>
      </c>
      <c r="AI130" s="106">
        <f t="shared" ref="AI130:AI193" si="117">AD130-AS130</f>
        <v>0</v>
      </c>
      <c r="AJ130" s="106">
        <f t="shared" ref="AJ130:AJ193" si="118">AE130-AT130</f>
        <v>-1706.2999999999993</v>
      </c>
      <c r="AK130" s="106">
        <f t="shared" ref="AK130:AK193" si="119">AF130-AU130</f>
        <v>0</v>
      </c>
      <c r="AL130" s="132">
        <f t="shared" ref="AL130:AL193" si="120">SUM(AI130:AK130)</f>
        <v>-1706.2999999999993</v>
      </c>
      <c r="AM130" s="198">
        <f t="shared" ref="AM130:AM193" si="121">(AI130*AB130)+((AJ130+AK130)*AC130)</f>
        <v>-1406.9910917999994</v>
      </c>
      <c r="AN130" s="95">
        <v>0</v>
      </c>
      <c r="AO130" s="95">
        <v>167</v>
      </c>
      <c r="AP130" s="95">
        <v>0</v>
      </c>
      <c r="AQ130" s="106">
        <f t="shared" ref="AQ130:AQ193" si="122">SUM(AN130:AP130)</f>
        <v>167</v>
      </c>
      <c r="AR130" s="193">
        <f t="shared" ref="AR130:AR193" si="123">(AN130*AB130)+((AO130+AP130)*AC130)</f>
        <v>137.705862</v>
      </c>
      <c r="AS130" s="95">
        <v>0</v>
      </c>
      <c r="AT130" s="95">
        <v>6564</v>
      </c>
      <c r="AU130" s="95">
        <v>0</v>
      </c>
      <c r="AV130" s="95">
        <f t="shared" si="104"/>
        <v>6564</v>
      </c>
      <c r="AW130" s="95">
        <v>0</v>
      </c>
      <c r="AX130" s="95">
        <v>67</v>
      </c>
      <c r="AY130" s="95">
        <v>0</v>
      </c>
      <c r="AZ130" s="95">
        <f t="shared" si="105"/>
        <v>67</v>
      </c>
      <c r="BA130" s="197">
        <f t="shared" si="106"/>
        <v>55.247262000000006</v>
      </c>
      <c r="BB130" s="94">
        <f t="shared" ref="BB130:BB193" si="124">AN130-AW130</f>
        <v>0</v>
      </c>
      <c r="BC130" s="105">
        <f t="shared" si="79"/>
        <v>0</v>
      </c>
      <c r="BD130" s="94">
        <f t="shared" ref="BD130:BD193" si="125">AO130-AX130</f>
        <v>100</v>
      </c>
      <c r="BE130" s="94">
        <f t="shared" si="80"/>
        <v>82.458600000000004</v>
      </c>
      <c r="BF130" s="94">
        <f t="shared" ref="BF130:BF193" si="126">AP130-AY130</f>
        <v>0</v>
      </c>
      <c r="BG130" s="94">
        <f t="shared" si="81"/>
        <v>0</v>
      </c>
      <c r="BH130" s="94">
        <f t="shared" ref="BH130:BH193" si="127">BB130+BD130+BF130</f>
        <v>100</v>
      </c>
      <c r="BI130" s="94">
        <f t="shared" ref="BI130:BI193" si="128">BC130+BE130+BG130</f>
        <v>82.458600000000004</v>
      </c>
      <c r="BJ130" s="186">
        <f t="shared" ref="BJ130:BJ193" si="129">BL130+BS130+BV130+BY130+CB130+CE130+CH130+CK130</f>
        <v>5481.4800000000014</v>
      </c>
      <c r="BK130" s="182">
        <f t="shared" ref="BK130:BK193" si="130">((AI130+AW130)*AB130)+((AJ130+AK130+AX130+AY130)*AC130)</f>
        <v>-1351.7438297999995</v>
      </c>
      <c r="BL130" s="98">
        <f t="shared" ref="BL130:BL193" si="131">BM130+BN130+AL130</f>
        <v>-1639.2999999999993</v>
      </c>
      <c r="BM130" s="99">
        <f t="shared" si="107"/>
        <v>0</v>
      </c>
      <c r="BN130" s="99">
        <f t="shared" si="108"/>
        <v>67</v>
      </c>
      <c r="BO130" s="182"/>
      <c r="BP130" s="182"/>
      <c r="BQ130" s="182">
        <v>0</v>
      </c>
      <c r="BR130" s="182"/>
      <c r="BS130" s="95">
        <v>328.2</v>
      </c>
      <c r="BT130" s="194">
        <v>0.82458600000000004</v>
      </c>
      <c r="BU130" s="182">
        <f t="shared" si="100"/>
        <v>270.62912519999998</v>
      </c>
      <c r="BV130" s="95">
        <v>2462.4</v>
      </c>
      <c r="BW130" s="182">
        <v>0.77512199999999998</v>
      </c>
      <c r="BX130" s="182">
        <f t="shared" si="95"/>
        <v>1908.6604127999999</v>
      </c>
      <c r="BY130" s="95">
        <v>2714.23</v>
      </c>
      <c r="BZ130" s="182">
        <v>0.77512199999999998</v>
      </c>
      <c r="CA130" s="95">
        <f t="shared" si="109"/>
        <v>2103.8593860599999</v>
      </c>
      <c r="CB130" s="95">
        <v>230.85</v>
      </c>
      <c r="CC130" s="182">
        <v>0.82458600000000004</v>
      </c>
      <c r="CD130" s="195">
        <f t="shared" si="110"/>
        <v>190.35567810000001</v>
      </c>
      <c r="CE130" s="95">
        <v>1385.1</v>
      </c>
      <c r="CF130" s="182">
        <v>0.77512199999999998</v>
      </c>
      <c r="CG130" s="95"/>
      <c r="CH130" s="95"/>
      <c r="CI130" s="182"/>
      <c r="CJ130" s="95"/>
      <c r="CK130" s="95"/>
      <c r="CL130" s="182"/>
      <c r="CM130" s="95"/>
      <c r="CN130" s="182">
        <f t="shared" si="111"/>
        <v>3121.7607723600004</v>
      </c>
      <c r="CO130" s="94"/>
      <c r="CP130" s="182">
        <f t="shared" si="101"/>
        <v>0</v>
      </c>
      <c r="CQ130" s="95">
        <f t="shared" si="112"/>
        <v>-1472.2999999999993</v>
      </c>
      <c r="CR130" s="115">
        <f t="shared" si="113"/>
        <v>761.32</v>
      </c>
      <c r="CS130" s="113"/>
      <c r="CT130" s="113"/>
      <c r="CU130" s="187"/>
      <c r="CV130" s="187"/>
      <c r="CW130" s="240"/>
    </row>
    <row r="131" spans="1:101" s="51" customFormat="1" ht="19.899999999999999" customHeight="1" x14ac:dyDescent="0.3">
      <c r="A131" s="92" t="s">
        <v>169</v>
      </c>
      <c r="B131" s="49">
        <v>10078058</v>
      </c>
      <c r="C131" s="92" t="s">
        <v>246</v>
      </c>
      <c r="D131" s="93" t="s">
        <v>171</v>
      </c>
      <c r="E131" s="93" t="s">
        <v>207</v>
      </c>
      <c r="F131" s="94">
        <v>7656</v>
      </c>
      <c r="G131" s="182"/>
      <c r="H131" s="95">
        <f t="shared" si="114"/>
        <v>0</v>
      </c>
      <c r="I131" s="93"/>
      <c r="J131" s="96"/>
      <c r="K131" s="49" t="s">
        <v>247</v>
      </c>
      <c r="L131" s="93"/>
      <c r="M131" s="97" t="s">
        <v>139</v>
      </c>
      <c r="N131" s="97" t="s">
        <v>238</v>
      </c>
      <c r="O131" s="183">
        <v>94.55</v>
      </c>
      <c r="P131" s="183">
        <v>0</v>
      </c>
      <c r="Q131" s="183">
        <v>0</v>
      </c>
      <c r="R131" s="131"/>
      <c r="S131" s="183">
        <v>0</v>
      </c>
      <c r="T131" s="183">
        <v>0</v>
      </c>
      <c r="U131" s="183">
        <v>11.04</v>
      </c>
      <c r="V131" s="183">
        <v>0</v>
      </c>
      <c r="W131" s="183">
        <v>0</v>
      </c>
      <c r="X131" s="183"/>
      <c r="Y131" s="183"/>
      <c r="Z131" s="183"/>
      <c r="AA131" s="183"/>
      <c r="AB131" s="184">
        <v>0.83509900000000004</v>
      </c>
      <c r="AC131" s="184">
        <v>0.83509900000000004</v>
      </c>
      <c r="AD131" s="95">
        <v>0</v>
      </c>
      <c r="AE131" s="95">
        <v>3136.1</v>
      </c>
      <c r="AF131" s="95">
        <v>0</v>
      </c>
      <c r="AG131" s="95">
        <f t="shared" si="115"/>
        <v>3136.1</v>
      </c>
      <c r="AH131" s="95">
        <f t="shared" si="116"/>
        <v>2618.9539739000002</v>
      </c>
      <c r="AI131" s="95">
        <f t="shared" si="117"/>
        <v>0</v>
      </c>
      <c r="AJ131" s="95">
        <f t="shared" si="118"/>
        <v>-3516.9</v>
      </c>
      <c r="AK131" s="95">
        <f t="shared" si="119"/>
        <v>0</v>
      </c>
      <c r="AL131" s="133">
        <f t="shared" si="120"/>
        <v>-3516.9</v>
      </c>
      <c r="AM131" s="199">
        <f t="shared" si="121"/>
        <v>-2936.9596731000001</v>
      </c>
      <c r="AN131" s="106">
        <v>0</v>
      </c>
      <c r="AO131" s="106">
        <v>176</v>
      </c>
      <c r="AP131" s="106">
        <v>0</v>
      </c>
      <c r="AQ131" s="95">
        <f t="shared" si="122"/>
        <v>176</v>
      </c>
      <c r="AR131" s="183">
        <f t="shared" si="123"/>
        <v>146.97742400000001</v>
      </c>
      <c r="AS131" s="106">
        <v>0</v>
      </c>
      <c r="AT131" s="106">
        <v>6653</v>
      </c>
      <c r="AU131" s="106">
        <v>0</v>
      </c>
      <c r="AV131" s="106">
        <f t="shared" si="104"/>
        <v>6653</v>
      </c>
      <c r="AW131" s="106">
        <v>0</v>
      </c>
      <c r="AX131" s="106">
        <v>76</v>
      </c>
      <c r="AY131" s="106">
        <v>0</v>
      </c>
      <c r="AZ131" s="106">
        <f t="shared" si="105"/>
        <v>76</v>
      </c>
      <c r="BA131" s="197">
        <f t="shared" si="106"/>
        <v>63.467524000000004</v>
      </c>
      <c r="BB131" s="105">
        <f t="shared" si="124"/>
        <v>0</v>
      </c>
      <c r="BC131" s="105">
        <f t="shared" si="79"/>
        <v>0</v>
      </c>
      <c r="BD131" s="105">
        <f t="shared" si="125"/>
        <v>100</v>
      </c>
      <c r="BE131" s="105">
        <f t="shared" si="80"/>
        <v>83.509900000000002</v>
      </c>
      <c r="BF131" s="105">
        <f t="shared" si="126"/>
        <v>0</v>
      </c>
      <c r="BG131" s="105">
        <f t="shared" si="81"/>
        <v>0</v>
      </c>
      <c r="BH131" s="105">
        <f t="shared" si="127"/>
        <v>100</v>
      </c>
      <c r="BI131" s="105">
        <f t="shared" si="128"/>
        <v>83.509900000000002</v>
      </c>
      <c r="BJ131" s="186">
        <f t="shared" si="129"/>
        <v>1604.7600000000002</v>
      </c>
      <c r="BK131" s="182">
        <f t="shared" si="130"/>
        <v>-2873.4921491</v>
      </c>
      <c r="BL131" s="98">
        <f t="shared" si="131"/>
        <v>-3440.9</v>
      </c>
      <c r="BM131" s="99">
        <f t="shared" si="107"/>
        <v>0</v>
      </c>
      <c r="BN131" s="99">
        <f t="shared" si="108"/>
        <v>76</v>
      </c>
      <c r="BO131" s="196"/>
      <c r="BP131" s="196"/>
      <c r="BQ131" s="196">
        <v>0</v>
      </c>
      <c r="BR131" s="196"/>
      <c r="BS131" s="106">
        <v>332.65</v>
      </c>
      <c r="BT131" s="184">
        <v>0.83509900000000004</v>
      </c>
      <c r="BU131" s="182">
        <f t="shared" si="100"/>
        <v>277.79568234999999</v>
      </c>
      <c r="BV131" s="106">
        <v>2100</v>
      </c>
      <c r="BW131" s="196">
        <v>0.78500400000000004</v>
      </c>
      <c r="BX131" s="182">
        <f t="shared" si="95"/>
        <v>1648.5084000000002</v>
      </c>
      <c r="BY131" s="106">
        <v>2419.0100000000002</v>
      </c>
      <c r="BZ131" s="196">
        <v>0.78500400000000004</v>
      </c>
      <c r="CA131" s="95">
        <f t="shared" si="109"/>
        <v>1898.9325260400003</v>
      </c>
      <c r="CB131" s="106">
        <v>194</v>
      </c>
      <c r="CC131" s="196">
        <v>0.83509900000000004</v>
      </c>
      <c r="CD131" s="195">
        <f t="shared" si="110"/>
        <v>162.00920600000001</v>
      </c>
      <c r="CE131" s="106">
        <v>0</v>
      </c>
      <c r="CF131" s="196">
        <v>0.78500400000000004</v>
      </c>
      <c r="CG131" s="106"/>
      <c r="CH131" s="106"/>
      <c r="CI131" s="196"/>
      <c r="CJ131" s="106"/>
      <c r="CK131" s="106"/>
      <c r="CL131" s="196"/>
      <c r="CM131" s="106"/>
      <c r="CN131" s="182">
        <f t="shared" si="111"/>
        <v>1113.7536652900003</v>
      </c>
      <c r="CO131" s="105"/>
      <c r="CP131" s="182">
        <f t="shared" si="101"/>
        <v>0</v>
      </c>
      <c r="CQ131" s="95">
        <f t="shared" si="112"/>
        <v>-3264.9</v>
      </c>
      <c r="CR131" s="115">
        <f t="shared" si="113"/>
        <v>1531.3400000000001</v>
      </c>
      <c r="CS131" s="113"/>
      <c r="CT131" s="113"/>
      <c r="CU131" s="187"/>
      <c r="CV131" s="187"/>
      <c r="CW131" s="240"/>
    </row>
    <row r="132" spans="1:101" s="51" customFormat="1" ht="19.899999999999999" customHeight="1" x14ac:dyDescent="0.3">
      <c r="A132" s="103" t="s">
        <v>169</v>
      </c>
      <c r="B132" s="50">
        <v>10078058</v>
      </c>
      <c r="C132" s="103" t="s">
        <v>246</v>
      </c>
      <c r="D132" s="104" t="s">
        <v>171</v>
      </c>
      <c r="E132" s="104" t="s">
        <v>207</v>
      </c>
      <c r="F132" s="105">
        <v>7656</v>
      </c>
      <c r="G132" s="196"/>
      <c r="H132" s="106">
        <f t="shared" si="114"/>
        <v>0</v>
      </c>
      <c r="I132" s="104"/>
      <c r="J132" s="107"/>
      <c r="K132" s="50" t="s">
        <v>247</v>
      </c>
      <c r="L132" s="104"/>
      <c r="M132" s="108" t="s">
        <v>141</v>
      </c>
      <c r="N132" s="108" t="s">
        <v>239</v>
      </c>
      <c r="O132" s="193">
        <v>96.3</v>
      </c>
      <c r="P132" s="193">
        <v>0</v>
      </c>
      <c r="Q132" s="193">
        <v>0</v>
      </c>
      <c r="R132" s="109"/>
      <c r="S132" s="193">
        <v>0</v>
      </c>
      <c r="T132" s="193">
        <v>0</v>
      </c>
      <c r="U132" s="193">
        <v>11.83</v>
      </c>
      <c r="V132" s="193">
        <v>0</v>
      </c>
      <c r="W132" s="193">
        <v>0</v>
      </c>
      <c r="X132" s="193"/>
      <c r="Y132" s="193"/>
      <c r="Z132" s="193"/>
      <c r="AA132" s="193"/>
      <c r="AB132" s="194">
        <v>0.84471399999999996</v>
      </c>
      <c r="AC132" s="194">
        <v>0.84471399999999996</v>
      </c>
      <c r="AD132" s="106">
        <v>0</v>
      </c>
      <c r="AE132" s="118">
        <v>0</v>
      </c>
      <c r="AF132" s="106">
        <v>0</v>
      </c>
      <c r="AG132" s="106">
        <f t="shared" si="115"/>
        <v>0</v>
      </c>
      <c r="AH132" s="106">
        <f t="shared" si="116"/>
        <v>0</v>
      </c>
      <c r="AI132" s="106">
        <f t="shared" si="117"/>
        <v>0</v>
      </c>
      <c r="AJ132" s="106">
        <f t="shared" si="118"/>
        <v>-5631</v>
      </c>
      <c r="AK132" s="106">
        <f t="shared" si="119"/>
        <v>0</v>
      </c>
      <c r="AL132" s="132">
        <f t="shared" si="120"/>
        <v>-5631</v>
      </c>
      <c r="AM132" s="198">
        <f t="shared" si="121"/>
        <v>-4756.5845339999996</v>
      </c>
      <c r="AN132" s="95">
        <v>0</v>
      </c>
      <c r="AO132" s="95">
        <v>214</v>
      </c>
      <c r="AP132" s="95">
        <v>0</v>
      </c>
      <c r="AQ132" s="106">
        <f t="shared" si="122"/>
        <v>214</v>
      </c>
      <c r="AR132" s="193">
        <f t="shared" si="123"/>
        <v>180.76879599999998</v>
      </c>
      <c r="AS132" s="95">
        <v>0</v>
      </c>
      <c r="AT132" s="95">
        <v>5631</v>
      </c>
      <c r="AU132" s="95">
        <v>0</v>
      </c>
      <c r="AV132" s="95">
        <f t="shared" si="104"/>
        <v>5631</v>
      </c>
      <c r="AW132" s="95">
        <v>0</v>
      </c>
      <c r="AX132" s="95">
        <v>114</v>
      </c>
      <c r="AY132" s="95">
        <v>0</v>
      </c>
      <c r="AZ132" s="95">
        <f t="shared" si="105"/>
        <v>114</v>
      </c>
      <c r="BA132" s="197">
        <f t="shared" si="106"/>
        <v>96.297395999999992</v>
      </c>
      <c r="BB132" s="94">
        <f t="shared" si="124"/>
        <v>0</v>
      </c>
      <c r="BC132" s="105">
        <f t="shared" si="79"/>
        <v>0</v>
      </c>
      <c r="BD132" s="94">
        <f t="shared" si="125"/>
        <v>100</v>
      </c>
      <c r="BE132" s="94">
        <f t="shared" si="80"/>
        <v>84.471400000000003</v>
      </c>
      <c r="BF132" s="94">
        <f t="shared" si="126"/>
        <v>0</v>
      </c>
      <c r="BG132" s="94">
        <f t="shared" si="81"/>
        <v>0</v>
      </c>
      <c r="BH132" s="94">
        <f t="shared" si="127"/>
        <v>100</v>
      </c>
      <c r="BI132" s="94">
        <f t="shared" si="128"/>
        <v>84.471400000000003</v>
      </c>
      <c r="BJ132" s="186">
        <f t="shared" si="129"/>
        <v>475.50000000000011</v>
      </c>
      <c r="BK132" s="182">
        <f t="shared" si="130"/>
        <v>-4660.2871379999997</v>
      </c>
      <c r="BL132" s="98">
        <f t="shared" si="131"/>
        <v>-5517</v>
      </c>
      <c r="BM132" s="99">
        <f t="shared" si="107"/>
        <v>0</v>
      </c>
      <c r="BN132" s="99">
        <f t="shared" si="108"/>
        <v>114</v>
      </c>
      <c r="BO132" s="182"/>
      <c r="BP132" s="182"/>
      <c r="BQ132" s="182">
        <v>0</v>
      </c>
      <c r="BR132" s="182"/>
      <c r="BS132" s="95">
        <v>281.55</v>
      </c>
      <c r="BT132" s="194">
        <v>0.84471399999999996</v>
      </c>
      <c r="BU132" s="182">
        <f t="shared" si="100"/>
        <v>237.82922669999999</v>
      </c>
      <c r="BV132" s="95">
        <v>2128.96</v>
      </c>
      <c r="BW132" s="182">
        <v>0.7940043</v>
      </c>
      <c r="BX132" s="182">
        <f t="shared" si="95"/>
        <v>1690.403394528</v>
      </c>
      <c r="BY132" s="95">
        <v>2395.08</v>
      </c>
      <c r="BZ132" s="182">
        <v>0.7940043</v>
      </c>
      <c r="CA132" s="95">
        <f t="shared" si="109"/>
        <v>1901.7038188439999</v>
      </c>
      <c r="CB132" s="95">
        <v>202.51</v>
      </c>
      <c r="CC132" s="182">
        <v>0.84471399999999996</v>
      </c>
      <c r="CD132" s="195">
        <f t="shared" si="110"/>
        <v>171.06303213999999</v>
      </c>
      <c r="CE132" s="95">
        <v>984.4</v>
      </c>
      <c r="CF132" s="182">
        <v>0.7940043</v>
      </c>
      <c r="CG132" s="95"/>
      <c r="CH132" s="95"/>
      <c r="CI132" s="182"/>
      <c r="CJ132" s="95"/>
      <c r="CK132" s="95"/>
      <c r="CL132" s="182"/>
      <c r="CM132" s="95"/>
      <c r="CN132" s="182">
        <f t="shared" si="111"/>
        <v>-659.28766578800025</v>
      </c>
      <c r="CO132" s="94"/>
      <c r="CP132" s="182">
        <f t="shared" si="101"/>
        <v>0</v>
      </c>
      <c r="CQ132" s="95">
        <f t="shared" si="112"/>
        <v>-5303</v>
      </c>
      <c r="CR132" s="115">
        <f t="shared" si="113"/>
        <v>508.89999999999986</v>
      </c>
      <c r="CS132" s="113"/>
      <c r="CT132" s="113"/>
      <c r="CU132" s="187"/>
      <c r="CV132" s="187"/>
      <c r="CW132" s="240"/>
    </row>
    <row r="133" spans="1:101" s="51" customFormat="1" ht="19.899999999999999" customHeight="1" x14ac:dyDescent="0.3">
      <c r="A133" s="92" t="s">
        <v>169</v>
      </c>
      <c r="B133" s="49">
        <v>10078058</v>
      </c>
      <c r="C133" s="92" t="s">
        <v>246</v>
      </c>
      <c r="D133" s="93" t="s">
        <v>171</v>
      </c>
      <c r="E133" s="93" t="s">
        <v>207</v>
      </c>
      <c r="F133" s="94">
        <v>7656</v>
      </c>
      <c r="G133" s="182"/>
      <c r="H133" s="95">
        <f t="shared" si="114"/>
        <v>0</v>
      </c>
      <c r="I133" s="93"/>
      <c r="J133" s="96"/>
      <c r="K133" s="49" t="s">
        <v>247</v>
      </c>
      <c r="L133" s="93"/>
      <c r="M133" s="97" t="s">
        <v>130</v>
      </c>
      <c r="N133" s="97" t="s">
        <v>240</v>
      </c>
      <c r="O133" s="183">
        <v>93.44</v>
      </c>
      <c r="P133" s="183">
        <v>0</v>
      </c>
      <c r="Q133" s="183">
        <v>0</v>
      </c>
      <c r="R133" s="131"/>
      <c r="S133" s="183">
        <v>0</v>
      </c>
      <c r="T133" s="183">
        <v>0</v>
      </c>
      <c r="U133" s="183">
        <v>11.22</v>
      </c>
      <c r="V133" s="183">
        <v>0</v>
      </c>
      <c r="W133" s="183">
        <v>0</v>
      </c>
      <c r="X133" s="183"/>
      <c r="Y133" s="183"/>
      <c r="Z133" s="183"/>
      <c r="AA133" s="183"/>
      <c r="AB133" s="184">
        <v>0.82213700000000001</v>
      </c>
      <c r="AC133" s="184">
        <v>0.82213700000000001</v>
      </c>
      <c r="AD133" s="95">
        <v>0</v>
      </c>
      <c r="AE133" s="95">
        <v>6811.9000000000005</v>
      </c>
      <c r="AF133" s="95">
        <v>0</v>
      </c>
      <c r="AG133" s="95">
        <f t="shared" si="115"/>
        <v>6811.9000000000005</v>
      </c>
      <c r="AH133" s="95">
        <f t="shared" si="116"/>
        <v>5600.3150303000002</v>
      </c>
      <c r="AI133" s="95">
        <f t="shared" si="117"/>
        <v>0</v>
      </c>
      <c r="AJ133" s="95">
        <f t="shared" si="118"/>
        <v>-875.09999999999945</v>
      </c>
      <c r="AK133" s="95">
        <f t="shared" si="119"/>
        <v>0</v>
      </c>
      <c r="AL133" s="133">
        <f t="shared" si="120"/>
        <v>-875.09999999999945</v>
      </c>
      <c r="AM133" s="199">
        <f t="shared" si="121"/>
        <v>-719.45208869999954</v>
      </c>
      <c r="AN133" s="106">
        <v>0</v>
      </c>
      <c r="AO133" s="106">
        <v>186</v>
      </c>
      <c r="AP133" s="106">
        <v>0</v>
      </c>
      <c r="AQ133" s="95">
        <f t="shared" si="122"/>
        <v>186</v>
      </c>
      <c r="AR133" s="183">
        <f t="shared" si="123"/>
        <v>152.91748200000001</v>
      </c>
      <c r="AS133" s="106">
        <v>0</v>
      </c>
      <c r="AT133" s="106">
        <v>7687</v>
      </c>
      <c r="AU133" s="106">
        <v>0</v>
      </c>
      <c r="AV133" s="106">
        <f t="shared" si="104"/>
        <v>7687</v>
      </c>
      <c r="AW133" s="106">
        <v>0</v>
      </c>
      <c r="AX133" s="106">
        <v>86</v>
      </c>
      <c r="AY133" s="106">
        <v>0</v>
      </c>
      <c r="AZ133" s="106">
        <f t="shared" si="105"/>
        <v>86</v>
      </c>
      <c r="BA133" s="197">
        <f t="shared" si="106"/>
        <v>70.703782000000004</v>
      </c>
      <c r="BB133" s="105">
        <f t="shared" si="124"/>
        <v>0</v>
      </c>
      <c r="BC133" s="105">
        <f t="shared" si="79"/>
        <v>0</v>
      </c>
      <c r="BD133" s="105">
        <f t="shared" si="125"/>
        <v>100</v>
      </c>
      <c r="BE133" s="105">
        <f t="shared" si="80"/>
        <v>82.213700000000003</v>
      </c>
      <c r="BF133" s="105">
        <f t="shared" si="126"/>
        <v>0</v>
      </c>
      <c r="BG133" s="105">
        <f t="shared" si="81"/>
        <v>0</v>
      </c>
      <c r="BH133" s="105">
        <f t="shared" si="127"/>
        <v>100</v>
      </c>
      <c r="BI133" s="105">
        <f t="shared" si="128"/>
        <v>82.213700000000003</v>
      </c>
      <c r="BJ133" s="186">
        <f t="shared" si="129"/>
        <v>4827.26</v>
      </c>
      <c r="BK133" s="182">
        <f t="shared" si="130"/>
        <v>-648.7483066999996</v>
      </c>
      <c r="BL133" s="98">
        <f t="shared" si="131"/>
        <v>-789.09999999999945</v>
      </c>
      <c r="BM133" s="99">
        <f t="shared" si="107"/>
        <v>0</v>
      </c>
      <c r="BN133" s="99">
        <f t="shared" si="108"/>
        <v>86</v>
      </c>
      <c r="BO133" s="196"/>
      <c r="BP133" s="196"/>
      <c r="BQ133" s="196">
        <v>0</v>
      </c>
      <c r="BR133" s="196"/>
      <c r="BS133" s="106">
        <v>384.35</v>
      </c>
      <c r="BT133" s="184">
        <v>0.82213700000000001</v>
      </c>
      <c r="BU133" s="182">
        <f t="shared" si="100"/>
        <v>315.98835595000003</v>
      </c>
      <c r="BV133" s="106">
        <v>1801.92</v>
      </c>
      <c r="BW133" s="196">
        <v>0.77281999999999995</v>
      </c>
      <c r="BX133" s="182">
        <f t="shared" si="95"/>
        <v>1392.5598144000001</v>
      </c>
      <c r="BY133" s="106">
        <v>2027.16</v>
      </c>
      <c r="BZ133" s="196">
        <v>0.77281999999999995</v>
      </c>
      <c r="CA133" s="95">
        <f t="shared" si="109"/>
        <v>1566.6297912</v>
      </c>
      <c r="CB133" s="106">
        <v>168.93</v>
      </c>
      <c r="CC133" s="196">
        <v>0.82213700000000001</v>
      </c>
      <c r="CD133" s="195">
        <f t="shared" si="110"/>
        <v>138.88360341000001</v>
      </c>
      <c r="CE133" s="106">
        <v>1234</v>
      </c>
      <c r="CF133" s="196">
        <v>0.77281999999999995</v>
      </c>
      <c r="CG133" s="106"/>
      <c r="CH133" s="106"/>
      <c r="CI133" s="196"/>
      <c r="CJ133" s="106"/>
      <c r="CK133" s="106"/>
      <c r="CL133" s="196"/>
      <c r="CM133" s="106"/>
      <c r="CN133" s="182">
        <f t="shared" si="111"/>
        <v>2765.3132582600006</v>
      </c>
      <c r="CO133" s="105"/>
      <c r="CP133" s="182">
        <f t="shared" si="101"/>
        <v>0</v>
      </c>
      <c r="CQ133" s="95">
        <f t="shared" si="112"/>
        <v>-603.09999999999945</v>
      </c>
      <c r="CR133" s="115">
        <f t="shared" si="113"/>
        <v>3218.64</v>
      </c>
      <c r="CS133" s="113"/>
      <c r="CT133" s="113"/>
      <c r="CU133" s="187"/>
      <c r="CV133" s="187"/>
      <c r="CW133" s="240"/>
    </row>
    <row r="134" spans="1:101" s="51" customFormat="1" ht="19.899999999999999" customHeight="1" x14ac:dyDescent="0.3">
      <c r="A134" s="148" t="s">
        <v>169</v>
      </c>
      <c r="B134" s="50">
        <v>10078058</v>
      </c>
      <c r="C134" s="148" t="s">
        <v>246</v>
      </c>
      <c r="D134" s="104" t="s">
        <v>171</v>
      </c>
      <c r="E134" s="104" t="s">
        <v>207</v>
      </c>
      <c r="F134" s="105">
        <v>7656</v>
      </c>
      <c r="G134" s="196"/>
      <c r="H134" s="106">
        <f t="shared" si="114"/>
        <v>0</v>
      </c>
      <c r="I134" s="104"/>
      <c r="J134" s="107"/>
      <c r="K134" s="50" t="s">
        <v>247</v>
      </c>
      <c r="L134" s="104"/>
      <c r="M134" s="108" t="s">
        <v>144</v>
      </c>
      <c r="N134" s="108" t="s">
        <v>249</v>
      </c>
      <c r="O134" s="193">
        <v>99.16</v>
      </c>
      <c r="P134" s="193">
        <v>0</v>
      </c>
      <c r="Q134" s="193">
        <v>0</v>
      </c>
      <c r="R134" s="109"/>
      <c r="S134" s="193">
        <v>0</v>
      </c>
      <c r="T134" s="193">
        <v>0</v>
      </c>
      <c r="U134" s="193">
        <v>14.91</v>
      </c>
      <c r="V134" s="193">
        <v>0</v>
      </c>
      <c r="W134" s="193">
        <v>0</v>
      </c>
      <c r="X134" s="193"/>
      <c r="Y134" s="193"/>
      <c r="Z134" s="193"/>
      <c r="AA134" s="193"/>
      <c r="AB134" s="194">
        <v>0.842499</v>
      </c>
      <c r="AC134" s="194">
        <v>0.842499</v>
      </c>
      <c r="AD134" s="106">
        <v>0</v>
      </c>
      <c r="AE134" s="118">
        <v>10124.700000000001</v>
      </c>
      <c r="AF134" s="106">
        <v>0</v>
      </c>
      <c r="AG134" s="106">
        <f t="shared" si="115"/>
        <v>10124.700000000001</v>
      </c>
      <c r="AH134" s="106">
        <f t="shared" si="116"/>
        <v>8530.0496253000001</v>
      </c>
      <c r="AI134" s="106">
        <f t="shared" si="117"/>
        <v>0</v>
      </c>
      <c r="AJ134" s="106">
        <f t="shared" si="118"/>
        <v>788.70000000000073</v>
      </c>
      <c r="AK134" s="106">
        <f t="shared" si="119"/>
        <v>0</v>
      </c>
      <c r="AL134" s="132">
        <f t="shared" si="120"/>
        <v>788.70000000000073</v>
      </c>
      <c r="AM134" s="198">
        <f t="shared" si="121"/>
        <v>664.47896130000061</v>
      </c>
      <c r="AN134" s="95">
        <v>0</v>
      </c>
      <c r="AO134" s="95">
        <v>239</v>
      </c>
      <c r="AP134" s="95">
        <v>0</v>
      </c>
      <c r="AQ134" s="106">
        <f t="shared" si="122"/>
        <v>239</v>
      </c>
      <c r="AR134" s="193">
        <f t="shared" si="123"/>
        <v>201.35726099999999</v>
      </c>
      <c r="AS134" s="95">
        <v>0</v>
      </c>
      <c r="AT134" s="95">
        <v>9336</v>
      </c>
      <c r="AU134" s="95">
        <v>0</v>
      </c>
      <c r="AV134" s="95">
        <f t="shared" si="104"/>
        <v>9336</v>
      </c>
      <c r="AW134" s="95">
        <v>0</v>
      </c>
      <c r="AX134" s="95">
        <v>139</v>
      </c>
      <c r="AY134" s="95">
        <v>0</v>
      </c>
      <c r="AZ134" s="95">
        <f t="shared" si="105"/>
        <v>139</v>
      </c>
      <c r="BA134" s="197">
        <f t="shared" si="106"/>
        <v>117.107361</v>
      </c>
      <c r="BB134" s="94">
        <f t="shared" si="124"/>
        <v>0</v>
      </c>
      <c r="BC134" s="105">
        <f t="shared" si="79"/>
        <v>0</v>
      </c>
      <c r="BD134" s="94">
        <f t="shared" si="125"/>
        <v>100</v>
      </c>
      <c r="BE134" s="94">
        <f t="shared" si="80"/>
        <v>84.249899999999997</v>
      </c>
      <c r="BF134" s="94">
        <f t="shared" si="126"/>
        <v>0</v>
      </c>
      <c r="BG134" s="94">
        <f t="shared" si="81"/>
        <v>0</v>
      </c>
      <c r="BH134" s="94">
        <f t="shared" si="127"/>
        <v>100</v>
      </c>
      <c r="BI134" s="94">
        <f t="shared" si="128"/>
        <v>84.249899999999997</v>
      </c>
      <c r="BJ134" s="186">
        <f t="shared" si="129"/>
        <v>8280.86</v>
      </c>
      <c r="BK134" s="182">
        <f t="shared" si="130"/>
        <v>781.58632230000057</v>
      </c>
      <c r="BL134" s="98">
        <f t="shared" si="131"/>
        <v>927.70000000000073</v>
      </c>
      <c r="BM134" s="99">
        <f t="shared" si="107"/>
        <v>0</v>
      </c>
      <c r="BN134" s="99">
        <f t="shared" si="108"/>
        <v>139</v>
      </c>
      <c r="BO134" s="182"/>
      <c r="BP134" s="182"/>
      <c r="BQ134" s="182">
        <v>0</v>
      </c>
      <c r="BR134" s="182"/>
      <c r="BS134" s="95">
        <v>466.8</v>
      </c>
      <c r="BT134" s="194">
        <v>0.842499</v>
      </c>
      <c r="BU134" s="182">
        <f t="shared" si="100"/>
        <v>393.27853320000003</v>
      </c>
      <c r="BV134" s="95">
        <v>2459.84</v>
      </c>
      <c r="BW134" s="182">
        <v>0.78904799999999997</v>
      </c>
      <c r="BX134" s="182">
        <f t="shared" si="95"/>
        <v>1940.93183232</v>
      </c>
      <c r="BY134" s="95">
        <v>2767.32</v>
      </c>
      <c r="BZ134" s="182">
        <v>0.78904799999999997</v>
      </c>
      <c r="CA134" s="95">
        <f t="shared" si="109"/>
        <v>2183.5483113599998</v>
      </c>
      <c r="CB134" s="95">
        <v>230.61</v>
      </c>
      <c r="CC134" s="182">
        <v>0.842499</v>
      </c>
      <c r="CD134" s="195">
        <f t="shared" si="110"/>
        <v>194.28869439000002</v>
      </c>
      <c r="CE134" s="95">
        <v>1428.59</v>
      </c>
      <c r="CF134" s="182">
        <v>0.78904799999999997</v>
      </c>
      <c r="CG134" s="95"/>
      <c r="CH134" s="95"/>
      <c r="CI134" s="182"/>
      <c r="CJ134" s="95"/>
      <c r="CK134" s="95"/>
      <c r="CL134" s="182"/>
      <c r="CM134" s="95"/>
      <c r="CN134" s="182">
        <f t="shared" si="111"/>
        <v>5493.633693570001</v>
      </c>
      <c r="CO134" s="94"/>
      <c r="CP134" s="182">
        <f t="shared" si="101"/>
        <v>0</v>
      </c>
      <c r="CQ134" s="95">
        <f t="shared" si="112"/>
        <v>1166.7000000000007</v>
      </c>
      <c r="CR134" s="115">
        <f t="shared" si="113"/>
        <v>3272.4300000000003</v>
      </c>
      <c r="CS134" s="113"/>
      <c r="CT134" s="113"/>
      <c r="CU134" s="187"/>
      <c r="CV134" s="187"/>
      <c r="CW134" s="240"/>
    </row>
    <row r="135" spans="1:101" s="51" customFormat="1" ht="19.899999999999999" customHeight="1" x14ac:dyDescent="0.3">
      <c r="A135" s="92" t="s">
        <v>169</v>
      </c>
      <c r="B135" s="49">
        <v>10078058</v>
      </c>
      <c r="C135" s="92" t="s">
        <v>246</v>
      </c>
      <c r="D135" s="93" t="s">
        <v>171</v>
      </c>
      <c r="E135" s="93" t="s">
        <v>207</v>
      </c>
      <c r="F135" s="94">
        <v>7656</v>
      </c>
      <c r="G135" s="182"/>
      <c r="H135" s="95">
        <f t="shared" si="114"/>
        <v>0</v>
      </c>
      <c r="I135" s="93"/>
      <c r="J135" s="96"/>
      <c r="K135" s="49" t="s">
        <v>247</v>
      </c>
      <c r="L135" s="93"/>
      <c r="M135" s="97" t="s">
        <v>146</v>
      </c>
      <c r="N135" s="97" t="s">
        <v>250</v>
      </c>
      <c r="O135" s="183">
        <v>106.11</v>
      </c>
      <c r="P135" s="183">
        <v>0</v>
      </c>
      <c r="Q135" s="183">
        <v>0</v>
      </c>
      <c r="R135" s="131"/>
      <c r="S135" s="183">
        <v>0</v>
      </c>
      <c r="T135" s="183">
        <v>0</v>
      </c>
      <c r="U135" s="183">
        <v>16.149999999999999</v>
      </c>
      <c r="V135" s="183">
        <v>0</v>
      </c>
      <c r="W135" s="183">
        <v>0</v>
      </c>
      <c r="X135" s="183"/>
      <c r="Y135" s="183"/>
      <c r="Z135" s="183"/>
      <c r="AA135" s="183"/>
      <c r="AB135" s="184">
        <v>0.89959500000000003</v>
      </c>
      <c r="AC135" s="184">
        <v>0.89959500000000003</v>
      </c>
      <c r="AD135" s="95">
        <v>0</v>
      </c>
      <c r="AE135" s="95">
        <v>10687.85</v>
      </c>
      <c r="AF135" s="95">
        <v>0</v>
      </c>
      <c r="AG135" s="95">
        <f t="shared" si="115"/>
        <v>10687.85</v>
      </c>
      <c r="AH135" s="95">
        <f t="shared" si="116"/>
        <v>9614.7364207500013</v>
      </c>
      <c r="AI135" s="95">
        <f t="shared" si="117"/>
        <v>0</v>
      </c>
      <c r="AJ135" s="95">
        <f t="shared" si="118"/>
        <v>987.85000000000036</v>
      </c>
      <c r="AK135" s="95">
        <f t="shared" si="119"/>
        <v>0</v>
      </c>
      <c r="AL135" s="133">
        <f t="shared" si="120"/>
        <v>987.85000000000036</v>
      </c>
      <c r="AM135" s="199">
        <f t="shared" si="121"/>
        <v>888.66492075000031</v>
      </c>
      <c r="AN135" s="106">
        <v>0</v>
      </c>
      <c r="AO135" s="106">
        <v>212</v>
      </c>
      <c r="AP135" s="106">
        <v>0</v>
      </c>
      <c r="AQ135" s="95">
        <f t="shared" si="122"/>
        <v>212</v>
      </c>
      <c r="AR135" s="183">
        <f t="shared" si="123"/>
        <v>190.71414000000001</v>
      </c>
      <c r="AS135" s="106">
        <v>0</v>
      </c>
      <c r="AT135" s="106">
        <v>9700</v>
      </c>
      <c r="AU135" s="106">
        <v>0</v>
      </c>
      <c r="AV135" s="106">
        <f t="shared" si="104"/>
        <v>9700</v>
      </c>
      <c r="AW135" s="106">
        <v>0</v>
      </c>
      <c r="AX135" s="106">
        <v>112</v>
      </c>
      <c r="AY135" s="106">
        <v>0</v>
      </c>
      <c r="AZ135" s="106">
        <f t="shared" si="105"/>
        <v>112</v>
      </c>
      <c r="BA135" s="197">
        <f t="shared" si="106"/>
        <v>100.75464000000001</v>
      </c>
      <c r="BB135" s="105">
        <f t="shared" si="124"/>
        <v>0</v>
      </c>
      <c r="BC135" s="105">
        <f t="shared" si="79"/>
        <v>0</v>
      </c>
      <c r="BD135" s="105">
        <f t="shared" si="125"/>
        <v>100</v>
      </c>
      <c r="BE135" s="105">
        <f t="shared" si="80"/>
        <v>89.959500000000006</v>
      </c>
      <c r="BF135" s="105">
        <f t="shared" si="126"/>
        <v>0</v>
      </c>
      <c r="BG135" s="105">
        <f t="shared" si="81"/>
        <v>0</v>
      </c>
      <c r="BH135" s="105">
        <f t="shared" si="127"/>
        <v>100</v>
      </c>
      <c r="BI135" s="105">
        <f t="shared" si="128"/>
        <v>89.959500000000006</v>
      </c>
      <c r="BJ135" s="186">
        <f t="shared" si="129"/>
        <v>8716.0600000000013</v>
      </c>
      <c r="BK135" s="182">
        <f t="shared" si="130"/>
        <v>989.41956075000041</v>
      </c>
      <c r="BL135" s="98">
        <f t="shared" si="131"/>
        <v>1099.8500000000004</v>
      </c>
      <c r="BM135" s="99">
        <f t="shared" si="107"/>
        <v>0</v>
      </c>
      <c r="BN135" s="99">
        <f t="shared" si="108"/>
        <v>112</v>
      </c>
      <c r="BO135" s="196"/>
      <c r="BP135" s="196"/>
      <c r="BQ135" s="196">
        <v>0</v>
      </c>
      <c r="BR135" s="196"/>
      <c r="BS135" s="106">
        <v>485</v>
      </c>
      <c r="BT135" s="184">
        <v>0.89959500000000003</v>
      </c>
      <c r="BU135" s="182">
        <f t="shared" si="100"/>
        <v>436.30357500000002</v>
      </c>
      <c r="BV135" s="106">
        <v>2987.52</v>
      </c>
      <c r="BW135" s="196">
        <v>0.86251299999999997</v>
      </c>
      <c r="BX135" s="182">
        <f t="shared" si="95"/>
        <v>2576.7748377600001</v>
      </c>
      <c r="BY135" s="106">
        <v>2511.7600000000002</v>
      </c>
      <c r="BZ135" s="196">
        <v>0.86251299999999997</v>
      </c>
      <c r="CA135" s="95">
        <f t="shared" si="109"/>
        <v>2166.4256528800001</v>
      </c>
      <c r="CB135" s="106">
        <v>280.08</v>
      </c>
      <c r="CC135" s="196">
        <v>0.89959500000000003</v>
      </c>
      <c r="CD135" s="195">
        <f t="shared" si="110"/>
        <v>251.95856760000001</v>
      </c>
      <c r="CE135" s="106">
        <v>1351.85</v>
      </c>
      <c r="CF135" s="196">
        <v>0.86251299999999997</v>
      </c>
      <c r="CG135" s="106"/>
      <c r="CH135" s="106"/>
      <c r="CI135" s="196"/>
      <c r="CJ135" s="106"/>
      <c r="CK135" s="106"/>
      <c r="CL135" s="196"/>
      <c r="CM135" s="106"/>
      <c r="CN135" s="182">
        <f t="shared" si="111"/>
        <v>6420.8821939899999</v>
      </c>
      <c r="CO135" s="105"/>
      <c r="CP135" s="182">
        <f t="shared" si="101"/>
        <v>0</v>
      </c>
      <c r="CQ135" s="95">
        <f t="shared" si="112"/>
        <v>1311.8500000000004</v>
      </c>
      <c r="CR135" s="115">
        <f t="shared" si="113"/>
        <v>3323.6399999999994</v>
      </c>
      <c r="CS135" s="113"/>
      <c r="CT135" s="113"/>
      <c r="CU135" s="187"/>
      <c r="CV135" s="187"/>
      <c r="CW135" s="240"/>
    </row>
    <row r="136" spans="1:101" s="51" customFormat="1" ht="19.899999999999999" customHeight="1" x14ac:dyDescent="0.3">
      <c r="A136" s="103" t="s">
        <v>169</v>
      </c>
      <c r="B136" s="50">
        <v>10078058</v>
      </c>
      <c r="C136" s="103" t="s">
        <v>246</v>
      </c>
      <c r="D136" s="104" t="s">
        <v>171</v>
      </c>
      <c r="E136" s="104" t="s">
        <v>207</v>
      </c>
      <c r="F136" s="105">
        <v>7656</v>
      </c>
      <c r="G136" s="196"/>
      <c r="H136" s="106">
        <f t="shared" si="114"/>
        <v>0</v>
      </c>
      <c r="I136" s="104"/>
      <c r="J136" s="107"/>
      <c r="K136" s="50" t="s">
        <v>247</v>
      </c>
      <c r="L136" s="104"/>
      <c r="M136" s="108" t="s">
        <v>148</v>
      </c>
      <c r="N136" s="108" t="s">
        <v>243</v>
      </c>
      <c r="O136" s="193">
        <v>107.68</v>
      </c>
      <c r="P136" s="193">
        <v>0</v>
      </c>
      <c r="Q136" s="193">
        <v>0</v>
      </c>
      <c r="R136" s="109"/>
      <c r="S136" s="193">
        <v>0</v>
      </c>
      <c r="T136" s="193">
        <v>0</v>
      </c>
      <c r="U136" s="193">
        <v>17.16</v>
      </c>
      <c r="V136" s="193">
        <v>0</v>
      </c>
      <c r="W136" s="193">
        <v>0</v>
      </c>
      <c r="X136" s="193"/>
      <c r="Y136" s="193"/>
      <c r="Z136" s="193"/>
      <c r="AA136" s="193"/>
      <c r="AB136" s="194">
        <v>0.90526499999999999</v>
      </c>
      <c r="AC136" s="194">
        <v>0.90526499999999999</v>
      </c>
      <c r="AD136" s="106">
        <v>0</v>
      </c>
      <c r="AE136" s="118">
        <v>10381.200000000001</v>
      </c>
      <c r="AF136" s="106">
        <v>0</v>
      </c>
      <c r="AG136" s="106">
        <f t="shared" si="115"/>
        <v>10381.200000000001</v>
      </c>
      <c r="AH136" s="106">
        <f t="shared" si="116"/>
        <v>9397.7370179999998</v>
      </c>
      <c r="AI136" s="106">
        <f t="shared" si="117"/>
        <v>0</v>
      </c>
      <c r="AJ136" s="106">
        <f t="shared" si="118"/>
        <v>569.20000000000073</v>
      </c>
      <c r="AK136" s="106">
        <f t="shared" si="119"/>
        <v>0</v>
      </c>
      <c r="AL136" s="132">
        <f t="shared" si="120"/>
        <v>569.20000000000073</v>
      </c>
      <c r="AM136" s="198">
        <f t="shared" si="121"/>
        <v>515.27683800000068</v>
      </c>
      <c r="AN136" s="106">
        <v>0</v>
      </c>
      <c r="AO136" s="106">
        <v>223</v>
      </c>
      <c r="AP136" s="106">
        <v>0</v>
      </c>
      <c r="AQ136" s="106">
        <f t="shared" si="122"/>
        <v>223</v>
      </c>
      <c r="AR136" s="193">
        <f t="shared" si="123"/>
        <v>201.87409500000001</v>
      </c>
      <c r="AS136" s="106">
        <v>0</v>
      </c>
      <c r="AT136" s="106">
        <v>9812</v>
      </c>
      <c r="AU136" s="106">
        <v>0</v>
      </c>
      <c r="AV136" s="106">
        <f t="shared" si="104"/>
        <v>9812</v>
      </c>
      <c r="AW136" s="106">
        <v>0</v>
      </c>
      <c r="AX136" s="106">
        <v>123</v>
      </c>
      <c r="AY136" s="106">
        <v>0</v>
      </c>
      <c r="AZ136" s="106">
        <f t="shared" si="105"/>
        <v>123</v>
      </c>
      <c r="BA136" s="197">
        <f t="shared" si="106"/>
        <v>111.347595</v>
      </c>
      <c r="BB136" s="105">
        <f t="shared" si="124"/>
        <v>0</v>
      </c>
      <c r="BC136" s="105">
        <f t="shared" si="79"/>
        <v>0</v>
      </c>
      <c r="BD136" s="105">
        <f t="shared" si="125"/>
        <v>100</v>
      </c>
      <c r="BE136" s="105">
        <f t="shared" si="80"/>
        <v>90.526499999999999</v>
      </c>
      <c r="BF136" s="105">
        <f t="shared" si="126"/>
        <v>0</v>
      </c>
      <c r="BG136" s="105">
        <f t="shared" si="81"/>
        <v>0</v>
      </c>
      <c r="BH136" s="105">
        <f t="shared" si="127"/>
        <v>100</v>
      </c>
      <c r="BI136" s="105">
        <f t="shared" si="128"/>
        <v>90.526499999999999</v>
      </c>
      <c r="BJ136" s="186">
        <f t="shared" si="129"/>
        <v>7740.9700000000012</v>
      </c>
      <c r="BK136" s="182">
        <f t="shared" si="130"/>
        <v>626.62443300000064</v>
      </c>
      <c r="BL136" s="98">
        <f t="shared" si="131"/>
        <v>692.20000000000073</v>
      </c>
      <c r="BM136" s="99">
        <f t="shared" si="107"/>
        <v>0</v>
      </c>
      <c r="BN136" s="99">
        <f t="shared" si="108"/>
        <v>123</v>
      </c>
      <c r="BO136" s="182"/>
      <c r="BP136" s="182"/>
      <c r="BQ136" s="182">
        <v>0</v>
      </c>
      <c r="BR136" s="182"/>
      <c r="BS136" s="95">
        <v>490.6</v>
      </c>
      <c r="BT136" s="194">
        <v>0.90526499999999999</v>
      </c>
      <c r="BU136" s="182">
        <f t="shared" si="100"/>
        <v>444.12300900000002</v>
      </c>
      <c r="BV136" s="95">
        <v>3104</v>
      </c>
      <c r="BW136" s="182">
        <v>0.90526499999999999</v>
      </c>
      <c r="BX136" s="182">
        <f t="shared" si="95"/>
        <v>2809.94256</v>
      </c>
      <c r="BY136" s="95">
        <v>2538.61</v>
      </c>
      <c r="BZ136" s="182">
        <v>0.90526499999999999</v>
      </c>
      <c r="CA136" s="95">
        <f t="shared" si="109"/>
        <v>2298.1147816500002</v>
      </c>
      <c r="CB136" s="95">
        <v>291</v>
      </c>
      <c r="CC136" s="182">
        <v>0.90526499999999999</v>
      </c>
      <c r="CD136" s="195">
        <f t="shared" si="110"/>
        <v>263.43211500000001</v>
      </c>
      <c r="CE136" s="95">
        <v>624.55999999999995</v>
      </c>
      <c r="CF136" s="182">
        <v>0.90526499999999999</v>
      </c>
      <c r="CG136" s="95"/>
      <c r="CH136" s="95"/>
      <c r="CI136" s="182"/>
      <c r="CJ136" s="95"/>
      <c r="CK136" s="95"/>
      <c r="CL136" s="182"/>
      <c r="CM136" s="95"/>
      <c r="CN136" s="182">
        <f t="shared" si="111"/>
        <v>6442.2368986500005</v>
      </c>
      <c r="CO136" s="105"/>
      <c r="CP136" s="182">
        <f t="shared" si="101"/>
        <v>0</v>
      </c>
      <c r="CQ136" s="95">
        <f t="shared" si="112"/>
        <v>915.20000000000073</v>
      </c>
      <c r="CR136" s="115">
        <f t="shared" si="113"/>
        <v>3264.7899999999995</v>
      </c>
      <c r="CS136" s="113"/>
      <c r="CT136" s="113"/>
      <c r="CU136" s="187"/>
      <c r="CV136" s="187"/>
      <c r="CW136" s="240"/>
    </row>
    <row r="137" spans="1:101" s="51" customFormat="1" ht="19.899999999999999" customHeight="1" x14ac:dyDescent="0.3">
      <c r="A137" s="92" t="s">
        <v>169</v>
      </c>
      <c r="B137" s="49">
        <v>10078058</v>
      </c>
      <c r="C137" s="92" t="s">
        <v>246</v>
      </c>
      <c r="D137" s="93" t="s">
        <v>171</v>
      </c>
      <c r="E137" s="93" t="s">
        <v>207</v>
      </c>
      <c r="F137" s="94">
        <v>7656</v>
      </c>
      <c r="G137" s="182"/>
      <c r="H137" s="95">
        <f t="shared" si="114"/>
        <v>0</v>
      </c>
      <c r="I137" s="93"/>
      <c r="J137" s="96"/>
      <c r="K137" s="49" t="s">
        <v>247</v>
      </c>
      <c r="L137" s="93"/>
      <c r="M137" s="97" t="s">
        <v>150</v>
      </c>
      <c r="N137" s="97" t="s">
        <v>244</v>
      </c>
      <c r="O137" s="183">
        <v>102.84</v>
      </c>
      <c r="P137" s="183">
        <v>0</v>
      </c>
      <c r="Q137" s="183">
        <v>0</v>
      </c>
      <c r="R137" s="131"/>
      <c r="S137" s="183">
        <v>0</v>
      </c>
      <c r="T137" s="183">
        <v>0</v>
      </c>
      <c r="U137" s="183">
        <v>13.58</v>
      </c>
      <c r="V137" s="183">
        <v>0</v>
      </c>
      <c r="W137" s="183">
        <v>0</v>
      </c>
      <c r="X137" s="183"/>
      <c r="Y137" s="183"/>
      <c r="Z137" s="183"/>
      <c r="AA137" s="183"/>
      <c r="AB137" s="184">
        <v>0.89259999999999995</v>
      </c>
      <c r="AC137" s="184">
        <v>0.89259999999999995</v>
      </c>
      <c r="AD137" s="95">
        <v>0</v>
      </c>
      <c r="AE137" s="95">
        <v>8673.7000000000007</v>
      </c>
      <c r="AF137" s="95">
        <v>0</v>
      </c>
      <c r="AG137" s="95">
        <f t="shared" si="115"/>
        <v>8673.7000000000007</v>
      </c>
      <c r="AH137" s="95">
        <f t="shared" si="116"/>
        <v>7742.14462</v>
      </c>
      <c r="AI137" s="95">
        <f t="shared" si="117"/>
        <v>0</v>
      </c>
      <c r="AJ137" s="95">
        <f t="shared" si="118"/>
        <v>731.70000000000073</v>
      </c>
      <c r="AK137" s="95">
        <f t="shared" si="119"/>
        <v>0</v>
      </c>
      <c r="AL137" s="133">
        <f t="shared" si="120"/>
        <v>731.70000000000073</v>
      </c>
      <c r="AM137" s="199">
        <f t="shared" si="121"/>
        <v>653.11542000000065</v>
      </c>
      <c r="AN137" s="106">
        <v>0</v>
      </c>
      <c r="AO137" s="106">
        <v>194</v>
      </c>
      <c r="AP137" s="106">
        <v>0</v>
      </c>
      <c r="AQ137" s="95">
        <f t="shared" si="122"/>
        <v>194</v>
      </c>
      <c r="AR137" s="183">
        <f t="shared" si="123"/>
        <v>173.1644</v>
      </c>
      <c r="AS137" s="106">
        <v>0</v>
      </c>
      <c r="AT137" s="106">
        <v>7942</v>
      </c>
      <c r="AU137" s="106">
        <v>0</v>
      </c>
      <c r="AV137" s="106">
        <f t="shared" si="104"/>
        <v>7942</v>
      </c>
      <c r="AW137" s="106">
        <v>0</v>
      </c>
      <c r="AX137" s="106">
        <v>94</v>
      </c>
      <c r="AY137" s="106">
        <v>0</v>
      </c>
      <c r="AZ137" s="106">
        <f t="shared" si="105"/>
        <v>94</v>
      </c>
      <c r="BA137" s="197">
        <f t="shared" si="106"/>
        <v>83.904399999999995</v>
      </c>
      <c r="BB137" s="105">
        <f t="shared" si="124"/>
        <v>0</v>
      </c>
      <c r="BC137" s="105">
        <f t="shared" si="79"/>
        <v>0</v>
      </c>
      <c r="BD137" s="105">
        <f t="shared" si="125"/>
        <v>100</v>
      </c>
      <c r="BE137" s="105">
        <f t="shared" si="80"/>
        <v>89.259999999999991</v>
      </c>
      <c r="BF137" s="105">
        <f t="shared" si="126"/>
        <v>0</v>
      </c>
      <c r="BG137" s="105">
        <f t="shared" si="81"/>
        <v>0</v>
      </c>
      <c r="BH137" s="105">
        <f t="shared" si="127"/>
        <v>100</v>
      </c>
      <c r="BI137" s="105">
        <f t="shared" si="128"/>
        <v>89.259999999999991</v>
      </c>
      <c r="BJ137" s="186">
        <f t="shared" si="129"/>
        <v>6982.5500000000011</v>
      </c>
      <c r="BK137" s="182">
        <f t="shared" si="130"/>
        <v>737.01982000000066</v>
      </c>
      <c r="BL137" s="98">
        <f t="shared" si="131"/>
        <v>825.70000000000073</v>
      </c>
      <c r="BM137" s="99">
        <f t="shared" si="107"/>
        <v>0</v>
      </c>
      <c r="BN137" s="99">
        <f t="shared" si="108"/>
        <v>94</v>
      </c>
      <c r="BO137" s="182"/>
      <c r="BP137" s="182"/>
      <c r="BQ137" s="182">
        <v>0</v>
      </c>
      <c r="BR137" s="182"/>
      <c r="BS137" s="95">
        <v>397.1</v>
      </c>
      <c r="BT137" s="184">
        <v>0.89259999999999995</v>
      </c>
      <c r="BU137" s="182">
        <f t="shared" si="100"/>
        <v>354.45146</v>
      </c>
      <c r="BV137" s="95">
        <v>3139.84</v>
      </c>
      <c r="BW137" s="182">
        <v>0.89259999999999995</v>
      </c>
      <c r="BX137" s="182">
        <f t="shared" si="95"/>
        <v>2802.6211840000001</v>
      </c>
      <c r="BY137" s="95">
        <v>1157.4100000000001</v>
      </c>
      <c r="BZ137" s="182">
        <v>0.89259999999999995</v>
      </c>
      <c r="CA137" s="95">
        <f t="shared" si="109"/>
        <v>1033.1041660000001</v>
      </c>
      <c r="CB137" s="95">
        <v>190</v>
      </c>
      <c r="CC137" s="182">
        <v>0.89259999999999995</v>
      </c>
      <c r="CD137" s="195">
        <f t="shared" si="110"/>
        <v>169.59399999999999</v>
      </c>
      <c r="CE137" s="95">
        <v>1272.5</v>
      </c>
      <c r="CF137" s="182">
        <v>0.89259999999999995</v>
      </c>
      <c r="CG137" s="95"/>
      <c r="CH137" s="95"/>
      <c r="CI137" s="182"/>
      <c r="CJ137" s="95"/>
      <c r="CK137" s="95"/>
      <c r="CL137" s="182"/>
      <c r="CM137" s="95"/>
      <c r="CN137" s="182">
        <f t="shared" si="111"/>
        <v>5096.7906300000004</v>
      </c>
      <c r="CO137" s="105"/>
      <c r="CP137" s="182">
        <f t="shared" si="101"/>
        <v>0</v>
      </c>
      <c r="CQ137" s="95">
        <f t="shared" si="112"/>
        <v>1019.7000000000007</v>
      </c>
      <c r="CR137" s="115">
        <f t="shared" si="113"/>
        <v>2963.6499999999996</v>
      </c>
      <c r="CS137" s="113"/>
      <c r="CT137" s="113"/>
      <c r="CU137" s="187"/>
      <c r="CV137" s="187"/>
      <c r="CW137" s="240"/>
    </row>
    <row r="138" spans="1:101" s="51" customFormat="1" ht="19.899999999999999" customHeight="1" x14ac:dyDescent="0.3">
      <c r="A138" s="148" t="s">
        <v>169</v>
      </c>
      <c r="B138" s="50">
        <v>10078058</v>
      </c>
      <c r="C138" s="148" t="s">
        <v>246</v>
      </c>
      <c r="D138" s="104" t="s">
        <v>171</v>
      </c>
      <c r="E138" s="104" t="s">
        <v>207</v>
      </c>
      <c r="F138" s="94">
        <v>7656</v>
      </c>
      <c r="G138" s="182"/>
      <c r="H138" s="95">
        <f t="shared" si="114"/>
        <v>0</v>
      </c>
      <c r="I138" s="93"/>
      <c r="J138" s="96"/>
      <c r="K138" s="49" t="s">
        <v>247</v>
      </c>
      <c r="L138" s="93"/>
      <c r="M138" s="97" t="s">
        <v>152</v>
      </c>
      <c r="N138" s="97" t="s">
        <v>245</v>
      </c>
      <c r="O138" s="183">
        <v>108</v>
      </c>
      <c r="P138" s="183">
        <v>0</v>
      </c>
      <c r="Q138" s="183">
        <v>0</v>
      </c>
      <c r="R138" s="131"/>
      <c r="S138" s="183">
        <v>0</v>
      </c>
      <c r="T138" s="183">
        <v>0</v>
      </c>
      <c r="U138" s="183">
        <v>18.98</v>
      </c>
      <c r="V138" s="183">
        <v>0</v>
      </c>
      <c r="W138" s="183">
        <v>0</v>
      </c>
      <c r="X138" s="183"/>
      <c r="Y138" s="183"/>
      <c r="Z138" s="183"/>
      <c r="AA138" s="183"/>
      <c r="AB138" s="184">
        <v>0.89019899999999996</v>
      </c>
      <c r="AC138" s="184">
        <v>0.89019899999999996</v>
      </c>
      <c r="AD138" s="95">
        <v>0</v>
      </c>
      <c r="AE138" s="95">
        <v>7996.9</v>
      </c>
      <c r="AF138" s="95">
        <v>0</v>
      </c>
      <c r="AG138" s="95">
        <f t="shared" si="115"/>
        <v>7996.9</v>
      </c>
      <c r="AH138" s="95">
        <f t="shared" si="116"/>
        <v>7118.8323830999998</v>
      </c>
      <c r="AI138" s="95">
        <f t="shared" si="117"/>
        <v>0</v>
      </c>
      <c r="AJ138" s="95">
        <f t="shared" si="118"/>
        <v>531.89999999999964</v>
      </c>
      <c r="AK138" s="95">
        <f t="shared" si="119"/>
        <v>0</v>
      </c>
      <c r="AL138" s="133">
        <f t="shared" si="120"/>
        <v>531.89999999999964</v>
      </c>
      <c r="AM138" s="199">
        <f t="shared" si="121"/>
        <v>473.49684809999968</v>
      </c>
      <c r="AN138" s="106">
        <v>0</v>
      </c>
      <c r="AO138" s="106">
        <v>213</v>
      </c>
      <c r="AP138" s="106">
        <v>0</v>
      </c>
      <c r="AQ138" s="95">
        <f t="shared" si="122"/>
        <v>213</v>
      </c>
      <c r="AR138" s="183">
        <f t="shared" si="123"/>
        <v>189.61238699999998</v>
      </c>
      <c r="AS138" s="106">
        <v>0</v>
      </c>
      <c r="AT138" s="106">
        <v>7465</v>
      </c>
      <c r="AU138" s="106">
        <v>0</v>
      </c>
      <c r="AV138" s="106">
        <f t="shared" si="104"/>
        <v>7465</v>
      </c>
      <c r="AW138" s="106">
        <v>0</v>
      </c>
      <c r="AX138" s="106">
        <v>1113</v>
      </c>
      <c r="AY138" s="106">
        <v>0</v>
      </c>
      <c r="AZ138" s="106">
        <f t="shared" si="105"/>
        <v>1113</v>
      </c>
      <c r="BA138" s="197">
        <f t="shared" si="106"/>
        <v>990.79148699999996</v>
      </c>
      <c r="BB138" s="105">
        <f t="shared" si="124"/>
        <v>0</v>
      </c>
      <c r="BC138" s="105">
        <f t="shared" si="79"/>
        <v>0</v>
      </c>
      <c r="BD138" s="105">
        <f t="shared" si="125"/>
        <v>-900</v>
      </c>
      <c r="BE138" s="105">
        <f t="shared" si="80"/>
        <v>-801.17909999999995</v>
      </c>
      <c r="BF138" s="105">
        <f t="shared" si="126"/>
        <v>0</v>
      </c>
      <c r="BG138" s="105">
        <f t="shared" si="81"/>
        <v>0</v>
      </c>
      <c r="BH138" s="105">
        <f t="shared" si="127"/>
        <v>-900</v>
      </c>
      <c r="BI138" s="105">
        <f t="shared" si="128"/>
        <v>-801.17909999999995</v>
      </c>
      <c r="BJ138" s="186">
        <f t="shared" si="129"/>
        <v>8628.1899999999987</v>
      </c>
      <c r="BK138" s="182">
        <f t="shared" si="130"/>
        <v>1464.2883350999996</v>
      </c>
      <c r="BL138" s="98">
        <f t="shared" si="131"/>
        <v>1644.8999999999996</v>
      </c>
      <c r="BM138" s="99">
        <f t="shared" si="107"/>
        <v>0</v>
      </c>
      <c r="BN138" s="99">
        <f t="shared" si="108"/>
        <v>1113</v>
      </c>
      <c r="BO138" s="182"/>
      <c r="BP138" s="182"/>
      <c r="BQ138" s="182"/>
      <c r="BR138" s="182"/>
      <c r="BS138" s="95">
        <v>373.25</v>
      </c>
      <c r="BT138" s="184">
        <v>0.89019899999999996</v>
      </c>
      <c r="BU138" s="182">
        <f t="shared" si="100"/>
        <v>332.26677674999996</v>
      </c>
      <c r="BV138" s="95">
        <v>2541.44</v>
      </c>
      <c r="BW138" s="182">
        <v>0.89019899999999996</v>
      </c>
      <c r="BX138" s="182">
        <f t="shared" si="95"/>
        <v>2262.38734656</v>
      </c>
      <c r="BY138" s="95">
        <v>2595.89</v>
      </c>
      <c r="BZ138" s="182">
        <v>0.89019899999999996</v>
      </c>
      <c r="CA138" s="95">
        <f t="shared" si="109"/>
        <v>2310.8586821099998</v>
      </c>
      <c r="CB138" s="95">
        <v>214</v>
      </c>
      <c r="CC138" s="182">
        <v>0.89019899999999996</v>
      </c>
      <c r="CD138" s="195">
        <f t="shared" si="110"/>
        <v>190.50258599999998</v>
      </c>
      <c r="CE138" s="95">
        <v>1258.71</v>
      </c>
      <c r="CF138" s="182">
        <v>0.89019899999999996</v>
      </c>
      <c r="CG138" s="95"/>
      <c r="CH138" s="95"/>
      <c r="CI138" s="182"/>
      <c r="CJ138" s="95"/>
      <c r="CK138" s="95"/>
      <c r="CL138" s="182"/>
      <c r="CM138" s="95"/>
      <c r="CN138" s="182">
        <f t="shared" si="111"/>
        <v>6560.3037265199991</v>
      </c>
      <c r="CO138" s="105"/>
      <c r="CP138" s="182">
        <f t="shared" si="101"/>
        <v>0</v>
      </c>
      <c r="CQ138" s="95">
        <f t="shared" si="112"/>
        <v>1857.8999999999996</v>
      </c>
      <c r="CR138" s="115">
        <f t="shared" si="113"/>
        <v>627.42000000000007</v>
      </c>
      <c r="CS138" s="113"/>
      <c r="CT138" s="113"/>
      <c r="CU138" s="187"/>
      <c r="CV138" s="187"/>
      <c r="CW138" s="240"/>
    </row>
    <row r="139" spans="1:101" s="51" customFormat="1" ht="19.899999999999999" customHeight="1" x14ac:dyDescent="0.3">
      <c r="A139" s="92" t="s">
        <v>169</v>
      </c>
      <c r="B139" s="49">
        <v>10078058</v>
      </c>
      <c r="C139" s="92" t="s">
        <v>246</v>
      </c>
      <c r="D139" s="93" t="s">
        <v>171</v>
      </c>
      <c r="E139" s="93" t="s">
        <v>207</v>
      </c>
      <c r="F139" s="94">
        <v>7656</v>
      </c>
      <c r="G139" s="182"/>
      <c r="H139" s="95">
        <f t="shared" si="114"/>
        <v>0</v>
      </c>
      <c r="I139" s="93"/>
      <c r="J139" s="96"/>
      <c r="K139" s="49" t="s">
        <v>247</v>
      </c>
      <c r="L139" s="93"/>
      <c r="M139" s="97" t="s">
        <v>155</v>
      </c>
      <c r="N139" s="97" t="s">
        <v>251</v>
      </c>
      <c r="O139" s="183">
        <v>114</v>
      </c>
      <c r="P139" s="183">
        <v>0</v>
      </c>
      <c r="Q139" s="183">
        <v>0</v>
      </c>
      <c r="R139" s="131"/>
      <c r="S139" s="183">
        <v>0</v>
      </c>
      <c r="T139" s="183">
        <v>0</v>
      </c>
      <c r="U139" s="183">
        <v>23.18</v>
      </c>
      <c r="V139" s="183">
        <v>0</v>
      </c>
      <c r="W139" s="183">
        <v>0</v>
      </c>
      <c r="X139" s="183"/>
      <c r="Y139" s="183"/>
      <c r="Z139" s="183"/>
      <c r="AA139" s="183"/>
      <c r="AB139" s="184">
        <v>0.90829599999999999</v>
      </c>
      <c r="AC139" s="184">
        <v>0.90829599999999999</v>
      </c>
      <c r="AD139" s="95">
        <v>0</v>
      </c>
      <c r="AE139" s="95">
        <v>8529.82</v>
      </c>
      <c r="AF139" s="95">
        <v>0</v>
      </c>
      <c r="AG139" s="95">
        <f t="shared" si="115"/>
        <v>8529.82</v>
      </c>
      <c r="AH139" s="95">
        <f t="shared" si="116"/>
        <v>7747.6013867199999</v>
      </c>
      <c r="AI139" s="95">
        <f t="shared" si="117"/>
        <v>0</v>
      </c>
      <c r="AJ139" s="95">
        <f t="shared" si="118"/>
        <v>658.81999999999971</v>
      </c>
      <c r="AK139" s="95">
        <f t="shared" si="119"/>
        <v>0</v>
      </c>
      <c r="AL139" s="133">
        <f t="shared" si="120"/>
        <v>658.81999999999971</v>
      </c>
      <c r="AM139" s="199">
        <f t="shared" si="121"/>
        <v>598.40357071999972</v>
      </c>
      <c r="AN139" s="106">
        <v>0</v>
      </c>
      <c r="AO139" s="106">
        <v>232</v>
      </c>
      <c r="AP139" s="106">
        <v>0</v>
      </c>
      <c r="AQ139" s="95">
        <f t="shared" si="122"/>
        <v>232</v>
      </c>
      <c r="AR139" s="183">
        <f t="shared" si="123"/>
        <v>210.724672</v>
      </c>
      <c r="AS139" s="106">
        <v>0</v>
      </c>
      <c r="AT139" s="106">
        <v>7871</v>
      </c>
      <c r="AU139" s="106">
        <v>0</v>
      </c>
      <c r="AV139" s="106">
        <f t="shared" si="104"/>
        <v>7871</v>
      </c>
      <c r="AW139" s="106">
        <v>0</v>
      </c>
      <c r="AX139" s="106">
        <v>132</v>
      </c>
      <c r="AY139" s="106">
        <v>0</v>
      </c>
      <c r="AZ139" s="106">
        <f t="shared" si="105"/>
        <v>132</v>
      </c>
      <c r="BA139" s="197">
        <f t="shared" si="106"/>
        <v>119.895072</v>
      </c>
      <c r="BB139" s="105">
        <f t="shared" si="124"/>
        <v>0</v>
      </c>
      <c r="BC139" s="105">
        <f t="shared" si="79"/>
        <v>0</v>
      </c>
      <c r="BD139" s="105">
        <f t="shared" si="125"/>
        <v>100</v>
      </c>
      <c r="BE139" s="105">
        <f t="shared" si="80"/>
        <v>90.829599999999999</v>
      </c>
      <c r="BF139" s="105">
        <f t="shared" si="126"/>
        <v>0</v>
      </c>
      <c r="BG139" s="105">
        <f t="shared" si="81"/>
        <v>0</v>
      </c>
      <c r="BH139" s="105">
        <f t="shared" si="127"/>
        <v>100</v>
      </c>
      <c r="BI139" s="105">
        <f t="shared" si="128"/>
        <v>90.829599999999999</v>
      </c>
      <c r="BJ139" s="186">
        <f t="shared" si="129"/>
        <v>3933.17</v>
      </c>
      <c r="BK139" s="182">
        <f t="shared" si="130"/>
        <v>718.29864271999975</v>
      </c>
      <c r="BL139" s="98">
        <f t="shared" si="131"/>
        <v>790.81999999999971</v>
      </c>
      <c r="BM139" s="99">
        <f t="shared" si="107"/>
        <v>0</v>
      </c>
      <c r="BN139" s="99">
        <f t="shared" si="108"/>
        <v>132</v>
      </c>
      <c r="BO139" s="182"/>
      <c r="BP139" s="182"/>
      <c r="BQ139" s="182"/>
      <c r="BR139" s="182"/>
      <c r="BS139" s="95">
        <v>393.55</v>
      </c>
      <c r="BT139" s="184">
        <v>0.90829599999999999</v>
      </c>
      <c r="BU139" s="182">
        <f t="shared" si="100"/>
        <v>357.45989079999998</v>
      </c>
      <c r="BV139" s="95">
        <v>2388.8000000000002</v>
      </c>
      <c r="BW139" s="182">
        <v>0.90829599999999999</v>
      </c>
      <c r="BX139" s="182">
        <f t="shared" si="95"/>
        <v>2169.7374847999999</v>
      </c>
      <c r="BY139" s="95"/>
      <c r="BZ139" s="182">
        <v>0.90829599999999999</v>
      </c>
      <c r="CA139" s="95"/>
      <c r="CB139" s="95">
        <v>248</v>
      </c>
      <c r="CC139" s="182">
        <v>0.90829599999999999</v>
      </c>
      <c r="CD139" s="195">
        <f t="shared" si="110"/>
        <v>225.257408</v>
      </c>
      <c r="CE139" s="95">
        <v>112</v>
      </c>
      <c r="CF139" s="182">
        <v>0.90829599999999999</v>
      </c>
      <c r="CG139" s="95"/>
      <c r="CH139" s="95"/>
      <c r="CI139" s="182"/>
      <c r="CJ139" s="95"/>
      <c r="CK139" s="95"/>
      <c r="CL139" s="182"/>
      <c r="CM139" s="95"/>
      <c r="CN139" s="182"/>
      <c r="CO139" s="105"/>
      <c r="CP139" s="182">
        <f t="shared" si="101"/>
        <v>0</v>
      </c>
      <c r="CQ139" s="95"/>
      <c r="CR139" s="115">
        <f t="shared" si="113"/>
        <v>4708.6499999999996</v>
      </c>
      <c r="CS139" s="113"/>
      <c r="CT139" s="113"/>
      <c r="CU139" s="187"/>
      <c r="CV139" s="187"/>
      <c r="CW139" s="240"/>
    </row>
    <row r="140" spans="1:101" s="51" customFormat="1" ht="19.899999999999999" customHeight="1" x14ac:dyDescent="0.3">
      <c r="A140" s="92"/>
      <c r="B140" s="49">
        <v>1230005575</v>
      </c>
      <c r="C140" s="92" t="s">
        <v>252</v>
      </c>
      <c r="D140" s="93" t="s">
        <v>253</v>
      </c>
      <c r="E140" s="93" t="s">
        <v>133</v>
      </c>
      <c r="F140" s="105"/>
      <c r="G140" s="196"/>
      <c r="H140" s="106">
        <f t="shared" si="114"/>
        <v>0</v>
      </c>
      <c r="I140" s="104"/>
      <c r="J140" s="107"/>
      <c r="K140" s="50"/>
      <c r="L140" s="104"/>
      <c r="M140" s="108" t="s">
        <v>135</v>
      </c>
      <c r="N140" s="108" t="s">
        <v>134</v>
      </c>
      <c r="O140" s="193">
        <v>17605.009999999998</v>
      </c>
      <c r="P140" s="193">
        <v>0</v>
      </c>
      <c r="Q140" s="193">
        <v>7326.66</v>
      </c>
      <c r="R140" s="109"/>
      <c r="S140" s="193">
        <v>1548.19</v>
      </c>
      <c r="T140" s="193">
        <v>299.27</v>
      </c>
      <c r="U140" s="193">
        <v>56.4</v>
      </c>
      <c r="V140" s="193">
        <v>0</v>
      </c>
      <c r="W140" s="193">
        <v>0</v>
      </c>
      <c r="X140" s="193"/>
      <c r="Y140" s="193"/>
      <c r="Z140" s="193"/>
      <c r="AA140" s="193"/>
      <c r="AB140" s="194">
        <v>2.45086</v>
      </c>
      <c r="AC140" s="194">
        <v>0.52863000000000004</v>
      </c>
      <c r="AD140" s="106">
        <v>59.64</v>
      </c>
      <c r="AE140" s="118">
        <v>46554.31</v>
      </c>
      <c r="AF140" s="106">
        <v>18.23</v>
      </c>
      <c r="AG140" s="106">
        <f t="shared" si="115"/>
        <v>46632.18</v>
      </c>
      <c r="AH140" s="106">
        <f t="shared" si="116"/>
        <v>24765.811110600003</v>
      </c>
      <c r="AI140" s="106">
        <f t="shared" si="117"/>
        <v>51.45</v>
      </c>
      <c r="AJ140" s="106">
        <f t="shared" si="118"/>
        <v>27202.809999999998</v>
      </c>
      <c r="AK140" s="106">
        <f t="shared" si="119"/>
        <v>18.23</v>
      </c>
      <c r="AL140" s="132">
        <f t="shared" si="120"/>
        <v>27272.489999999998</v>
      </c>
      <c r="AM140" s="198">
        <f t="shared" si="121"/>
        <v>14515.955122199999</v>
      </c>
      <c r="AN140" s="106">
        <v>915.81</v>
      </c>
      <c r="AO140" s="106">
        <v>21829.5</v>
      </c>
      <c r="AP140" s="106">
        <v>9156</v>
      </c>
      <c r="AQ140" s="95">
        <f t="shared" si="122"/>
        <v>31901.31</v>
      </c>
      <c r="AR140" s="183">
        <f t="shared" si="123"/>
        <v>18624.386961600001</v>
      </c>
      <c r="AS140" s="106">
        <v>8.19</v>
      </c>
      <c r="AT140" s="106">
        <v>19351.5</v>
      </c>
      <c r="AU140" s="106">
        <v>0</v>
      </c>
      <c r="AV140" s="106">
        <f t="shared" si="104"/>
        <v>19359.689999999999</v>
      </c>
      <c r="AW140" s="106">
        <v>8.19</v>
      </c>
      <c r="AX140" s="106">
        <v>19351.5</v>
      </c>
      <c r="AY140" s="106">
        <v>0</v>
      </c>
      <c r="AZ140" s="106">
        <f t="shared" si="105"/>
        <v>19359.689999999999</v>
      </c>
      <c r="BA140" s="197">
        <f t="shared" si="106"/>
        <v>10249.855988400001</v>
      </c>
      <c r="BB140" s="105">
        <f t="shared" si="124"/>
        <v>907.61999999999989</v>
      </c>
      <c r="BC140" s="105">
        <f t="shared" si="79"/>
        <v>2224.4495531999996</v>
      </c>
      <c r="BD140" s="105">
        <f t="shared" si="125"/>
        <v>2478</v>
      </c>
      <c r="BE140" s="105">
        <f t="shared" si="80"/>
        <v>1309.94514</v>
      </c>
      <c r="BF140" s="105">
        <f t="shared" si="126"/>
        <v>9156</v>
      </c>
      <c r="BG140" s="105">
        <f t="shared" si="81"/>
        <v>4840.1362800000006</v>
      </c>
      <c r="BH140" s="105">
        <f t="shared" si="127"/>
        <v>12541.619999999999</v>
      </c>
      <c r="BI140" s="105">
        <f t="shared" si="128"/>
        <v>8374.5309732000005</v>
      </c>
      <c r="BJ140" s="186">
        <f t="shared" si="129"/>
        <v>46632.179999999993</v>
      </c>
      <c r="BK140" s="182">
        <f t="shared" si="130"/>
        <v>24765.8111106</v>
      </c>
      <c r="BL140" s="98">
        <f t="shared" si="131"/>
        <v>46632.179999999993</v>
      </c>
      <c r="BM140" s="99">
        <f t="shared" si="107"/>
        <v>8.19</v>
      </c>
      <c r="BN140" s="99">
        <f t="shared" si="108"/>
        <v>19351.5</v>
      </c>
      <c r="BO140" s="196"/>
      <c r="BP140" s="196"/>
      <c r="BQ140" s="196">
        <v>0</v>
      </c>
      <c r="BR140" s="196"/>
      <c r="BS140" s="106">
        <v>0</v>
      </c>
      <c r="BT140" s="196"/>
      <c r="BU140" s="182">
        <f t="shared" si="100"/>
        <v>0</v>
      </c>
      <c r="BV140" s="106">
        <v>0</v>
      </c>
      <c r="BW140" s="196"/>
      <c r="BX140" s="196">
        <v>0</v>
      </c>
      <c r="BY140" s="106"/>
      <c r="BZ140" s="196"/>
      <c r="CA140" s="95">
        <f t="shared" ref="CA140:CA173" si="132">BY140*BZ140</f>
        <v>0</v>
      </c>
      <c r="CB140" s="106"/>
      <c r="CC140" s="196"/>
      <c r="CD140" s="106"/>
      <c r="CE140" s="106"/>
      <c r="CF140" s="196"/>
      <c r="CG140" s="106"/>
      <c r="CH140" s="106"/>
      <c r="CI140" s="196"/>
      <c r="CJ140" s="106"/>
      <c r="CK140" s="106"/>
      <c r="CL140" s="196"/>
      <c r="CM140" s="106"/>
      <c r="CN140" s="182">
        <f t="shared" ref="CN140:CN175" si="133">BK140+BU140+BX140+CA140+CD140+CG140+CJ140+CM140</f>
        <v>24765.8111106</v>
      </c>
      <c r="CO140" s="105">
        <v>0</v>
      </c>
      <c r="CP140" s="182">
        <f t="shared" si="101"/>
        <v>0</v>
      </c>
      <c r="CQ140" s="95">
        <f t="shared" ref="CQ140:CQ175" si="134">AL140+AZ140+AQ140</f>
        <v>78533.489999999991</v>
      </c>
      <c r="CR140" s="115">
        <f t="shared" si="113"/>
        <v>0</v>
      </c>
      <c r="CS140" s="113"/>
      <c r="CT140" s="113"/>
      <c r="CU140" s="187">
        <f t="shared" ref="CU140:CU148" si="135">(BB140* AB140)+(BD140* AC140)+(BF140* AC140)+(S140+T140+U140+V140+W140+X140+Y140+Z140)</f>
        <v>10278.390973200001</v>
      </c>
      <c r="CV140" s="187">
        <f t="shared" ref="CV140:CV148" si="136">CU140-O140</f>
        <v>-7326.6190267999973</v>
      </c>
      <c r="CW140" s="240"/>
    </row>
    <row r="141" spans="1:101" s="51" customFormat="1" ht="19.899999999999999" customHeight="1" x14ac:dyDescent="0.3">
      <c r="A141" s="103"/>
      <c r="B141" s="50">
        <v>1230005575</v>
      </c>
      <c r="C141" s="103" t="s">
        <v>252</v>
      </c>
      <c r="D141" s="104" t="s">
        <v>253</v>
      </c>
      <c r="E141" s="104" t="s">
        <v>133</v>
      </c>
      <c r="F141" s="94"/>
      <c r="G141" s="182"/>
      <c r="H141" s="95">
        <f t="shared" si="114"/>
        <v>0</v>
      </c>
      <c r="I141" s="93"/>
      <c r="J141" s="96"/>
      <c r="K141" s="49"/>
      <c r="L141" s="93"/>
      <c r="M141" s="97" t="s">
        <v>137</v>
      </c>
      <c r="N141" s="97" t="s">
        <v>136</v>
      </c>
      <c r="O141" s="183">
        <v>16682.849999999999</v>
      </c>
      <c r="P141" s="183">
        <v>0</v>
      </c>
      <c r="Q141" s="183">
        <v>7355.49</v>
      </c>
      <c r="R141" s="131"/>
      <c r="S141" s="183">
        <v>449.35</v>
      </c>
      <c r="T141" s="183">
        <v>204.01</v>
      </c>
      <c r="U141" s="183">
        <v>56.4</v>
      </c>
      <c r="V141" s="183">
        <v>0</v>
      </c>
      <c r="W141" s="183">
        <v>0</v>
      </c>
      <c r="X141" s="183"/>
      <c r="Y141" s="183"/>
      <c r="Z141" s="183"/>
      <c r="AA141" s="183"/>
      <c r="AB141" s="184">
        <v>2.4605000000000001</v>
      </c>
      <c r="AC141" s="184">
        <v>0.53071000000000002</v>
      </c>
      <c r="AD141" s="95">
        <v>6.93</v>
      </c>
      <c r="AE141" s="95">
        <v>45142.45</v>
      </c>
      <c r="AF141" s="95">
        <v>17.27</v>
      </c>
      <c r="AG141" s="95">
        <f t="shared" si="115"/>
        <v>45166.649999999994</v>
      </c>
      <c r="AH141" s="95">
        <f t="shared" si="116"/>
        <v>23983.766266199997</v>
      </c>
      <c r="AI141" s="95">
        <f t="shared" si="117"/>
        <v>6.83</v>
      </c>
      <c r="AJ141" s="95">
        <f t="shared" si="118"/>
        <v>24887.949999999997</v>
      </c>
      <c r="AK141" s="95">
        <f t="shared" si="119"/>
        <v>17.27</v>
      </c>
      <c r="AL141" s="133">
        <f t="shared" si="120"/>
        <v>24912.05</v>
      </c>
      <c r="AM141" s="199">
        <f t="shared" si="121"/>
        <v>13234.254521199999</v>
      </c>
      <c r="AN141" s="95">
        <v>589.99</v>
      </c>
      <c r="AO141" s="95">
        <v>24034.5</v>
      </c>
      <c r="AP141" s="95">
        <v>9723</v>
      </c>
      <c r="AQ141" s="106">
        <f t="shared" si="122"/>
        <v>34347.490000000005</v>
      </c>
      <c r="AR141" s="193">
        <f t="shared" si="123"/>
        <v>19367.113220000003</v>
      </c>
      <c r="AS141" s="95">
        <v>0.1</v>
      </c>
      <c r="AT141" s="95">
        <v>20254.5</v>
      </c>
      <c r="AU141" s="95">
        <v>0</v>
      </c>
      <c r="AV141" s="95">
        <f t="shared" si="104"/>
        <v>20254.599999999999</v>
      </c>
      <c r="AW141" s="95">
        <v>0.1</v>
      </c>
      <c r="AX141" s="95">
        <v>20254.5</v>
      </c>
      <c r="AY141" s="95">
        <v>0</v>
      </c>
      <c r="AZ141" s="95">
        <f t="shared" si="105"/>
        <v>20254.599999999999</v>
      </c>
      <c r="BA141" s="197">
        <f t="shared" si="106"/>
        <v>10749.511745</v>
      </c>
      <c r="BB141" s="94">
        <f t="shared" si="124"/>
        <v>589.89</v>
      </c>
      <c r="BC141" s="105">
        <f t="shared" si="79"/>
        <v>1451.4243450000001</v>
      </c>
      <c r="BD141" s="94">
        <f t="shared" si="125"/>
        <v>3780</v>
      </c>
      <c r="BE141" s="94">
        <f t="shared" si="80"/>
        <v>2006.0838000000001</v>
      </c>
      <c r="BF141" s="94">
        <f t="shared" si="126"/>
        <v>9723</v>
      </c>
      <c r="BG141" s="94">
        <f t="shared" si="81"/>
        <v>5160.0933299999997</v>
      </c>
      <c r="BH141" s="94">
        <f t="shared" si="127"/>
        <v>14092.89</v>
      </c>
      <c r="BI141" s="94">
        <f t="shared" si="128"/>
        <v>8617.6014749999995</v>
      </c>
      <c r="BJ141" s="186">
        <f t="shared" si="129"/>
        <v>45166.649999999994</v>
      </c>
      <c r="BK141" s="182">
        <f t="shared" si="130"/>
        <v>23983.7662662</v>
      </c>
      <c r="BL141" s="98">
        <f t="shared" si="131"/>
        <v>45166.649999999994</v>
      </c>
      <c r="BM141" s="99">
        <f t="shared" si="107"/>
        <v>0.1</v>
      </c>
      <c r="BN141" s="99">
        <f t="shared" si="108"/>
        <v>20254.5</v>
      </c>
      <c r="BO141" s="182"/>
      <c r="BP141" s="182"/>
      <c r="BQ141" s="182">
        <v>0</v>
      </c>
      <c r="BR141" s="182"/>
      <c r="BS141" s="95">
        <v>0</v>
      </c>
      <c r="BT141" s="182"/>
      <c r="BU141" s="182">
        <f t="shared" si="100"/>
        <v>0</v>
      </c>
      <c r="BV141" s="95">
        <v>0</v>
      </c>
      <c r="BW141" s="182"/>
      <c r="BX141" s="182">
        <v>0</v>
      </c>
      <c r="BY141" s="95"/>
      <c r="BZ141" s="182"/>
      <c r="CA141" s="95">
        <f t="shared" si="132"/>
        <v>0</v>
      </c>
      <c r="CB141" s="95"/>
      <c r="CC141" s="182"/>
      <c r="CD141" s="95"/>
      <c r="CE141" s="95"/>
      <c r="CF141" s="182"/>
      <c r="CG141" s="95"/>
      <c r="CH141" s="95"/>
      <c r="CI141" s="182"/>
      <c r="CJ141" s="95"/>
      <c r="CK141" s="95"/>
      <c r="CL141" s="182"/>
      <c r="CM141" s="95"/>
      <c r="CN141" s="182">
        <f t="shared" si="133"/>
        <v>23983.7662662</v>
      </c>
      <c r="CO141" s="94">
        <v>0</v>
      </c>
      <c r="CP141" s="182">
        <f t="shared" si="101"/>
        <v>0</v>
      </c>
      <c r="CQ141" s="95">
        <f t="shared" si="134"/>
        <v>79514.14</v>
      </c>
      <c r="CR141" s="115">
        <f t="shared" si="113"/>
        <v>0</v>
      </c>
      <c r="CS141" s="113"/>
      <c r="CT141" s="113"/>
      <c r="CU141" s="187">
        <f t="shared" si="135"/>
        <v>9327.3614749999997</v>
      </c>
      <c r="CV141" s="187">
        <f t="shared" si="136"/>
        <v>-7355.4885249999988</v>
      </c>
      <c r="CW141" s="240"/>
    </row>
    <row r="142" spans="1:101" s="51" customFormat="1" ht="19.899999999999999" customHeight="1" x14ac:dyDescent="0.3">
      <c r="A142" s="92"/>
      <c r="B142" s="49">
        <v>1230005575</v>
      </c>
      <c r="C142" s="92" t="s">
        <v>252</v>
      </c>
      <c r="D142" s="93" t="s">
        <v>253</v>
      </c>
      <c r="E142" s="93" t="s">
        <v>133</v>
      </c>
      <c r="F142" s="105"/>
      <c r="G142" s="196"/>
      <c r="H142" s="106">
        <f t="shared" si="114"/>
        <v>0</v>
      </c>
      <c r="I142" s="104"/>
      <c r="J142" s="107"/>
      <c r="K142" s="50"/>
      <c r="L142" s="104"/>
      <c r="M142" s="108" t="s">
        <v>139</v>
      </c>
      <c r="N142" s="108" t="s">
        <v>138</v>
      </c>
      <c r="O142" s="193">
        <v>17547.490000000002</v>
      </c>
      <c r="P142" s="193">
        <v>0</v>
      </c>
      <c r="Q142" s="193">
        <v>7019.61</v>
      </c>
      <c r="R142" s="109"/>
      <c r="S142" s="193">
        <v>1120.19</v>
      </c>
      <c r="T142" s="193">
        <v>0</v>
      </c>
      <c r="U142" s="193">
        <v>56.4</v>
      </c>
      <c r="V142" s="193">
        <v>0</v>
      </c>
      <c r="W142" s="193">
        <v>0</v>
      </c>
      <c r="X142" s="193"/>
      <c r="Y142" s="193"/>
      <c r="Z142" s="193"/>
      <c r="AA142" s="193"/>
      <c r="AB142" s="194">
        <v>2.3481619999999999</v>
      </c>
      <c r="AC142" s="194">
        <v>0.506494</v>
      </c>
      <c r="AD142" s="106">
        <v>6.72</v>
      </c>
      <c r="AE142" s="118">
        <v>50969.98</v>
      </c>
      <c r="AF142" s="106">
        <v>18.2</v>
      </c>
      <c r="AG142" s="106">
        <f t="shared" si="115"/>
        <v>50994.9</v>
      </c>
      <c r="AH142" s="106">
        <f t="shared" si="116"/>
        <v>25840.986889560001</v>
      </c>
      <c r="AI142" s="106">
        <f t="shared" si="117"/>
        <v>6.72</v>
      </c>
      <c r="AJ142" s="106">
        <f t="shared" si="118"/>
        <v>32489.980000000003</v>
      </c>
      <c r="AK142" s="106">
        <f t="shared" si="119"/>
        <v>18.2</v>
      </c>
      <c r="AL142" s="132">
        <f t="shared" si="120"/>
        <v>32514.900000000005</v>
      </c>
      <c r="AM142" s="198">
        <f t="shared" si="121"/>
        <v>16480.977769560002</v>
      </c>
      <c r="AN142" s="106">
        <v>721.03</v>
      </c>
      <c r="AO142" s="106">
        <v>23688</v>
      </c>
      <c r="AP142" s="106">
        <v>9912</v>
      </c>
      <c r="AQ142" s="95">
        <f t="shared" si="122"/>
        <v>34321.03</v>
      </c>
      <c r="AR142" s="183">
        <f t="shared" si="123"/>
        <v>18711.293646860002</v>
      </c>
      <c r="AS142" s="106">
        <v>0</v>
      </c>
      <c r="AT142" s="106">
        <v>18480</v>
      </c>
      <c r="AU142" s="106">
        <v>0</v>
      </c>
      <c r="AV142" s="106">
        <f t="shared" si="104"/>
        <v>18480</v>
      </c>
      <c r="AW142" s="106">
        <v>0</v>
      </c>
      <c r="AX142" s="106">
        <v>18480</v>
      </c>
      <c r="AY142" s="106">
        <v>0</v>
      </c>
      <c r="AZ142" s="106">
        <f t="shared" si="105"/>
        <v>18480</v>
      </c>
      <c r="BA142" s="197">
        <f t="shared" si="106"/>
        <v>9360.0091200000006</v>
      </c>
      <c r="BB142" s="105">
        <f t="shared" si="124"/>
        <v>721.03</v>
      </c>
      <c r="BC142" s="105">
        <f t="shared" ref="BC142:BC205" si="137">BB142*AB142</f>
        <v>1693.0952468599999</v>
      </c>
      <c r="BD142" s="105">
        <f t="shared" si="125"/>
        <v>5208</v>
      </c>
      <c r="BE142" s="105">
        <f t="shared" ref="BE142:BE205" si="138">BD142*AC142</f>
        <v>2637.8207520000001</v>
      </c>
      <c r="BF142" s="105">
        <f t="shared" si="126"/>
        <v>9912</v>
      </c>
      <c r="BG142" s="105">
        <f t="shared" ref="BG142:BG205" si="139">BF142*AC142</f>
        <v>5020.368528</v>
      </c>
      <c r="BH142" s="105">
        <f t="shared" si="127"/>
        <v>15841.029999999999</v>
      </c>
      <c r="BI142" s="105">
        <f t="shared" si="128"/>
        <v>9351.2845268599995</v>
      </c>
      <c r="BJ142" s="186">
        <f t="shared" si="129"/>
        <v>50994.900000000009</v>
      </c>
      <c r="BK142" s="182">
        <f t="shared" si="130"/>
        <v>25840.986889560005</v>
      </c>
      <c r="BL142" s="98">
        <f t="shared" si="131"/>
        <v>50994.900000000009</v>
      </c>
      <c r="BM142" s="99">
        <f t="shared" si="107"/>
        <v>0</v>
      </c>
      <c r="BN142" s="99">
        <f t="shared" si="108"/>
        <v>18480</v>
      </c>
      <c r="BO142" s="196"/>
      <c r="BP142" s="196"/>
      <c r="BQ142" s="196">
        <v>0</v>
      </c>
      <c r="BR142" s="196"/>
      <c r="BS142" s="106">
        <v>0</v>
      </c>
      <c r="BT142" s="196"/>
      <c r="BU142" s="182">
        <f t="shared" ref="BU142:BU173" si="140">BS142*BT142</f>
        <v>0</v>
      </c>
      <c r="BV142" s="106">
        <v>0</v>
      </c>
      <c r="BW142" s="196"/>
      <c r="BX142" s="196">
        <v>0</v>
      </c>
      <c r="BY142" s="106"/>
      <c r="BZ142" s="196"/>
      <c r="CA142" s="95">
        <f t="shared" si="132"/>
        <v>0</v>
      </c>
      <c r="CB142" s="106"/>
      <c r="CC142" s="196"/>
      <c r="CD142" s="106"/>
      <c r="CE142" s="106"/>
      <c r="CF142" s="196"/>
      <c r="CG142" s="106"/>
      <c r="CH142" s="106"/>
      <c r="CI142" s="196"/>
      <c r="CJ142" s="106"/>
      <c r="CK142" s="106"/>
      <c r="CL142" s="196"/>
      <c r="CM142" s="106"/>
      <c r="CN142" s="182">
        <f t="shared" si="133"/>
        <v>25840.986889560005</v>
      </c>
      <c r="CO142" s="105">
        <v>0</v>
      </c>
      <c r="CP142" s="182">
        <f t="shared" ref="CP142:CP175" si="141">CR142*G142</f>
        <v>0</v>
      </c>
      <c r="CQ142" s="95">
        <f t="shared" si="134"/>
        <v>85315.930000000008</v>
      </c>
      <c r="CR142" s="115">
        <f t="shared" si="113"/>
        <v>0</v>
      </c>
      <c r="CS142" s="113"/>
      <c r="CT142" s="113"/>
      <c r="CU142" s="187">
        <f t="shared" si="135"/>
        <v>10527.87452686</v>
      </c>
      <c r="CV142" s="187">
        <f t="shared" si="136"/>
        <v>-7019.615473140002</v>
      </c>
      <c r="CW142" s="240"/>
    </row>
    <row r="143" spans="1:101" s="51" customFormat="1" ht="19.899999999999999" customHeight="1" x14ac:dyDescent="0.3">
      <c r="A143" s="148"/>
      <c r="B143" s="50">
        <v>1230005575</v>
      </c>
      <c r="C143" s="148" t="s">
        <v>252</v>
      </c>
      <c r="D143" s="104" t="s">
        <v>253</v>
      </c>
      <c r="E143" s="104" t="s">
        <v>133</v>
      </c>
      <c r="F143" s="94"/>
      <c r="G143" s="182"/>
      <c r="H143" s="95">
        <f t="shared" si="114"/>
        <v>0</v>
      </c>
      <c r="I143" s="93"/>
      <c r="J143" s="96"/>
      <c r="K143" s="49"/>
      <c r="L143" s="93"/>
      <c r="M143" s="97" t="s">
        <v>141</v>
      </c>
      <c r="N143" s="97" t="s">
        <v>140</v>
      </c>
      <c r="O143" s="183">
        <v>19135.22</v>
      </c>
      <c r="P143" s="183">
        <v>0</v>
      </c>
      <c r="Q143" s="183">
        <v>7109.1</v>
      </c>
      <c r="R143" s="131"/>
      <c r="S143" s="183">
        <v>14.98</v>
      </c>
      <c r="T143" s="183">
        <v>0</v>
      </c>
      <c r="U143" s="183">
        <v>56.4</v>
      </c>
      <c r="V143" s="183">
        <v>0</v>
      </c>
      <c r="W143" s="183">
        <v>0</v>
      </c>
      <c r="X143" s="183"/>
      <c r="Y143" s="183"/>
      <c r="Z143" s="183"/>
      <c r="AA143" s="183"/>
      <c r="AB143" s="184">
        <v>2.3780990000000002</v>
      </c>
      <c r="AC143" s="184">
        <v>0.51295100000000005</v>
      </c>
      <c r="AD143" s="95">
        <v>6.41</v>
      </c>
      <c r="AE143" s="95">
        <v>41764.49</v>
      </c>
      <c r="AF143" s="95">
        <v>17.41</v>
      </c>
      <c r="AG143" s="95">
        <f t="shared" si="115"/>
        <v>41788.310000000005</v>
      </c>
      <c r="AH143" s="95">
        <f t="shared" si="116"/>
        <v>21447.311001490001</v>
      </c>
      <c r="AI143" s="95">
        <f t="shared" si="117"/>
        <v>6.41</v>
      </c>
      <c r="AJ143" s="95">
        <f t="shared" si="118"/>
        <v>27179.989999999998</v>
      </c>
      <c r="AK143" s="95">
        <f t="shared" si="119"/>
        <v>17.41</v>
      </c>
      <c r="AL143" s="133">
        <f t="shared" si="120"/>
        <v>27203.809999999998</v>
      </c>
      <c r="AM143" s="199">
        <f t="shared" si="121"/>
        <v>13966.17714199</v>
      </c>
      <c r="AN143" s="95">
        <v>701.19</v>
      </c>
      <c r="AO143" s="95">
        <v>25326</v>
      </c>
      <c r="AP143" s="95">
        <v>9313.5</v>
      </c>
      <c r="AQ143" s="106">
        <f t="shared" si="122"/>
        <v>35340.69</v>
      </c>
      <c r="AR143" s="193">
        <f t="shared" si="123"/>
        <v>19435.865402310003</v>
      </c>
      <c r="AS143" s="95">
        <v>0</v>
      </c>
      <c r="AT143" s="95">
        <v>14584.5</v>
      </c>
      <c r="AU143" s="95">
        <v>0</v>
      </c>
      <c r="AV143" s="95">
        <f t="shared" si="104"/>
        <v>14584.5</v>
      </c>
      <c r="AW143" s="95">
        <v>0</v>
      </c>
      <c r="AX143" s="95">
        <v>14584.5</v>
      </c>
      <c r="AY143" s="95">
        <v>0</v>
      </c>
      <c r="AZ143" s="95">
        <f t="shared" si="105"/>
        <v>14584.5</v>
      </c>
      <c r="BA143" s="197">
        <f t="shared" si="106"/>
        <v>7481.1338595000007</v>
      </c>
      <c r="BB143" s="94">
        <f t="shared" si="124"/>
        <v>701.19</v>
      </c>
      <c r="BC143" s="105">
        <f t="shared" si="137"/>
        <v>1667.4992378100003</v>
      </c>
      <c r="BD143" s="94">
        <f t="shared" si="125"/>
        <v>10741.5</v>
      </c>
      <c r="BE143" s="94">
        <f t="shared" si="138"/>
        <v>5509.8631665000003</v>
      </c>
      <c r="BF143" s="94">
        <f t="shared" si="126"/>
        <v>9313.5</v>
      </c>
      <c r="BG143" s="94">
        <f t="shared" si="139"/>
        <v>4777.3691385000002</v>
      </c>
      <c r="BH143" s="94">
        <f t="shared" si="127"/>
        <v>20756.190000000002</v>
      </c>
      <c r="BI143" s="94">
        <f t="shared" si="128"/>
        <v>11954.731542810001</v>
      </c>
      <c r="BJ143" s="186">
        <f t="shared" si="129"/>
        <v>41788.31</v>
      </c>
      <c r="BK143" s="182">
        <f t="shared" si="130"/>
        <v>21447.311001489998</v>
      </c>
      <c r="BL143" s="98">
        <f t="shared" si="131"/>
        <v>41788.31</v>
      </c>
      <c r="BM143" s="99">
        <f t="shared" si="107"/>
        <v>0</v>
      </c>
      <c r="BN143" s="99">
        <f t="shared" si="108"/>
        <v>14584.5</v>
      </c>
      <c r="BO143" s="182"/>
      <c r="BP143" s="182"/>
      <c r="BQ143" s="182">
        <v>0</v>
      </c>
      <c r="BR143" s="182"/>
      <c r="BS143" s="95">
        <v>0</v>
      </c>
      <c r="BT143" s="182"/>
      <c r="BU143" s="182">
        <f t="shared" si="140"/>
        <v>0</v>
      </c>
      <c r="BV143" s="95">
        <v>0</v>
      </c>
      <c r="BW143" s="182"/>
      <c r="BX143" s="182">
        <v>0</v>
      </c>
      <c r="BY143" s="95"/>
      <c r="BZ143" s="182"/>
      <c r="CA143" s="95">
        <f t="shared" si="132"/>
        <v>0</v>
      </c>
      <c r="CB143" s="95"/>
      <c r="CC143" s="182"/>
      <c r="CD143" s="95"/>
      <c r="CE143" s="95"/>
      <c r="CF143" s="182"/>
      <c r="CG143" s="95"/>
      <c r="CH143" s="95"/>
      <c r="CI143" s="182"/>
      <c r="CJ143" s="95"/>
      <c r="CK143" s="95"/>
      <c r="CL143" s="182"/>
      <c r="CM143" s="95"/>
      <c r="CN143" s="182">
        <f t="shared" si="133"/>
        <v>21447.311001489998</v>
      </c>
      <c r="CO143" s="94">
        <v>0</v>
      </c>
      <c r="CP143" s="182">
        <f t="shared" si="141"/>
        <v>0</v>
      </c>
      <c r="CQ143" s="95">
        <f t="shared" si="134"/>
        <v>77129</v>
      </c>
      <c r="CR143" s="115">
        <f t="shared" si="113"/>
        <v>0</v>
      </c>
      <c r="CS143" s="113"/>
      <c r="CT143" s="113"/>
      <c r="CU143" s="187">
        <f t="shared" si="135"/>
        <v>12026.11154281</v>
      </c>
      <c r="CV143" s="187">
        <f t="shared" si="136"/>
        <v>-7109.108457190001</v>
      </c>
      <c r="CW143" s="240"/>
    </row>
    <row r="144" spans="1:101" s="51" customFormat="1" ht="19.899999999999999" customHeight="1" x14ac:dyDescent="0.3">
      <c r="A144" s="92"/>
      <c r="B144" s="49">
        <v>1230005575</v>
      </c>
      <c r="C144" s="92" t="s">
        <v>252</v>
      </c>
      <c r="D144" s="93" t="s">
        <v>253</v>
      </c>
      <c r="E144" s="93" t="s">
        <v>133</v>
      </c>
      <c r="F144" s="105"/>
      <c r="G144" s="196"/>
      <c r="H144" s="106">
        <f t="shared" si="114"/>
        <v>0</v>
      </c>
      <c r="I144" s="104"/>
      <c r="J144" s="107"/>
      <c r="K144" s="50"/>
      <c r="L144" s="104"/>
      <c r="M144" s="108" t="s">
        <v>130</v>
      </c>
      <c r="N144" s="108" t="s">
        <v>142</v>
      </c>
      <c r="O144" s="193">
        <v>15949.73</v>
      </c>
      <c r="P144" s="193">
        <v>0</v>
      </c>
      <c r="Q144" s="193">
        <v>7190.96</v>
      </c>
      <c r="R144" s="109"/>
      <c r="S144" s="193">
        <v>71.959999999999994</v>
      </c>
      <c r="T144" s="193">
        <v>361.48</v>
      </c>
      <c r="U144" s="193">
        <v>56.4</v>
      </c>
      <c r="V144" s="193">
        <v>0</v>
      </c>
      <c r="W144" s="193">
        <v>0</v>
      </c>
      <c r="X144" s="193"/>
      <c r="Y144" s="193"/>
      <c r="Z144" s="193"/>
      <c r="AA144" s="193"/>
      <c r="AB144" s="194">
        <v>2.4054829999999998</v>
      </c>
      <c r="AC144" s="194">
        <v>0.51885800000000004</v>
      </c>
      <c r="AD144" s="106">
        <v>6.31</v>
      </c>
      <c r="AE144" s="118">
        <v>44536.42</v>
      </c>
      <c r="AF144" s="106">
        <v>18.53</v>
      </c>
      <c r="AG144" s="106">
        <f t="shared" si="115"/>
        <v>44561.259999999995</v>
      </c>
      <c r="AH144" s="106">
        <f t="shared" si="116"/>
        <v>23132.870844829999</v>
      </c>
      <c r="AI144" s="106">
        <f t="shared" si="117"/>
        <v>6.31</v>
      </c>
      <c r="AJ144" s="106">
        <f t="shared" si="118"/>
        <v>25510.42</v>
      </c>
      <c r="AK144" s="106">
        <f t="shared" si="119"/>
        <v>18.53</v>
      </c>
      <c r="AL144" s="132">
        <f t="shared" si="120"/>
        <v>25535.26</v>
      </c>
      <c r="AM144" s="198">
        <f t="shared" si="121"/>
        <v>13261.07853683</v>
      </c>
      <c r="AN144" s="106">
        <v>681.24</v>
      </c>
      <c r="AO144" s="106">
        <v>24654</v>
      </c>
      <c r="AP144" s="106">
        <v>7150.5</v>
      </c>
      <c r="AQ144" s="95">
        <f t="shared" si="122"/>
        <v>32485.74</v>
      </c>
      <c r="AR144" s="183">
        <f t="shared" si="123"/>
        <v>18140.730499920002</v>
      </c>
      <c r="AS144" s="106">
        <v>0</v>
      </c>
      <c r="AT144" s="106">
        <v>19026</v>
      </c>
      <c r="AU144" s="106">
        <v>0</v>
      </c>
      <c r="AV144" s="106">
        <f t="shared" si="104"/>
        <v>19026</v>
      </c>
      <c r="AW144" s="106">
        <v>0</v>
      </c>
      <c r="AX144" s="106">
        <v>19026</v>
      </c>
      <c r="AY144" s="106">
        <v>0</v>
      </c>
      <c r="AZ144" s="106">
        <f t="shared" si="105"/>
        <v>19026</v>
      </c>
      <c r="BA144" s="197">
        <f t="shared" si="106"/>
        <v>9871.792308</v>
      </c>
      <c r="BB144" s="105">
        <f t="shared" si="124"/>
        <v>681.24</v>
      </c>
      <c r="BC144" s="105">
        <f t="shared" si="137"/>
        <v>1638.7112389199999</v>
      </c>
      <c r="BD144" s="105">
        <f t="shared" si="125"/>
        <v>5628</v>
      </c>
      <c r="BE144" s="105">
        <f t="shared" si="138"/>
        <v>2920.1328240000003</v>
      </c>
      <c r="BF144" s="105">
        <f t="shared" si="126"/>
        <v>7150.5</v>
      </c>
      <c r="BG144" s="105">
        <f t="shared" si="139"/>
        <v>3710.0941290000005</v>
      </c>
      <c r="BH144" s="105">
        <f t="shared" si="127"/>
        <v>13459.74</v>
      </c>
      <c r="BI144" s="105">
        <f t="shared" si="128"/>
        <v>8268.9381919200005</v>
      </c>
      <c r="BJ144" s="186">
        <f t="shared" si="129"/>
        <v>44561.259999999995</v>
      </c>
      <c r="BK144" s="182">
        <f t="shared" si="130"/>
        <v>23132.870844829999</v>
      </c>
      <c r="BL144" s="98">
        <f t="shared" si="131"/>
        <v>44561.259999999995</v>
      </c>
      <c r="BM144" s="99">
        <f t="shared" si="107"/>
        <v>0</v>
      </c>
      <c r="BN144" s="99">
        <f t="shared" si="108"/>
        <v>19026</v>
      </c>
      <c r="BO144" s="196"/>
      <c r="BP144" s="196"/>
      <c r="BQ144" s="196">
        <v>0</v>
      </c>
      <c r="BR144" s="196"/>
      <c r="BS144" s="106">
        <v>0</v>
      </c>
      <c r="BT144" s="196"/>
      <c r="BU144" s="182">
        <f t="shared" si="140"/>
        <v>0</v>
      </c>
      <c r="BV144" s="106">
        <v>0</v>
      </c>
      <c r="BW144" s="196"/>
      <c r="BX144" s="196">
        <v>0</v>
      </c>
      <c r="BY144" s="106"/>
      <c r="BZ144" s="196"/>
      <c r="CA144" s="95">
        <f t="shared" si="132"/>
        <v>0</v>
      </c>
      <c r="CB144" s="106"/>
      <c r="CC144" s="196"/>
      <c r="CD144" s="106"/>
      <c r="CE144" s="106"/>
      <c r="CF144" s="196"/>
      <c r="CG144" s="106"/>
      <c r="CH144" s="106"/>
      <c r="CI144" s="196"/>
      <c r="CJ144" s="106"/>
      <c r="CK144" s="106"/>
      <c r="CL144" s="196"/>
      <c r="CM144" s="106"/>
      <c r="CN144" s="182">
        <f t="shared" si="133"/>
        <v>23132.870844829999</v>
      </c>
      <c r="CO144" s="105">
        <v>0</v>
      </c>
      <c r="CP144" s="182">
        <f t="shared" si="141"/>
        <v>0</v>
      </c>
      <c r="CQ144" s="95">
        <f t="shared" si="134"/>
        <v>77047</v>
      </c>
      <c r="CR144" s="115">
        <f t="shared" si="113"/>
        <v>0</v>
      </c>
      <c r="CS144" s="113"/>
      <c r="CT144" s="113"/>
      <c r="CU144" s="187">
        <f t="shared" si="135"/>
        <v>8758.7781919200006</v>
      </c>
      <c r="CV144" s="187">
        <f t="shared" si="136"/>
        <v>-7190.951808079999</v>
      </c>
      <c r="CW144" s="240"/>
    </row>
    <row r="145" spans="1:101" s="51" customFormat="1" ht="19.899999999999999" customHeight="1" x14ac:dyDescent="0.3">
      <c r="A145" s="103"/>
      <c r="B145" s="50">
        <v>1230005575</v>
      </c>
      <c r="C145" s="103" t="s">
        <v>252</v>
      </c>
      <c r="D145" s="104" t="s">
        <v>253</v>
      </c>
      <c r="E145" s="104" t="s">
        <v>133</v>
      </c>
      <c r="F145" s="94"/>
      <c r="G145" s="182"/>
      <c r="H145" s="95">
        <f t="shared" si="114"/>
        <v>0</v>
      </c>
      <c r="I145" s="93"/>
      <c r="J145" s="96"/>
      <c r="K145" s="49"/>
      <c r="L145" s="93"/>
      <c r="M145" s="97" t="s">
        <v>144</v>
      </c>
      <c r="N145" s="97" t="s">
        <v>143</v>
      </c>
      <c r="O145" s="183">
        <v>13869.62</v>
      </c>
      <c r="P145" s="183">
        <v>0</v>
      </c>
      <c r="Q145" s="183">
        <v>6998.76</v>
      </c>
      <c r="R145" s="131"/>
      <c r="S145" s="183">
        <v>81.099999999999994</v>
      </c>
      <c r="T145" s="183">
        <v>0</v>
      </c>
      <c r="U145" s="183">
        <v>56.4</v>
      </c>
      <c r="V145" s="183">
        <v>0</v>
      </c>
      <c r="W145" s="183">
        <v>0</v>
      </c>
      <c r="X145" s="183"/>
      <c r="Y145" s="183"/>
      <c r="Z145" s="183"/>
      <c r="AA145" s="183"/>
      <c r="AB145" s="184">
        <v>2.3411900000000001</v>
      </c>
      <c r="AC145" s="184">
        <v>0.50498900000000002</v>
      </c>
      <c r="AD145" s="95">
        <v>5.72</v>
      </c>
      <c r="AE145" s="95">
        <v>37455.290999999997</v>
      </c>
      <c r="AF145" s="95">
        <v>14.98</v>
      </c>
      <c r="AG145" s="95">
        <f t="shared" si="115"/>
        <v>37475.991000000002</v>
      </c>
      <c r="AH145" s="95">
        <f t="shared" si="116"/>
        <v>18935.466288819</v>
      </c>
      <c r="AI145" s="95">
        <f t="shared" si="117"/>
        <v>5.72</v>
      </c>
      <c r="AJ145" s="95">
        <f t="shared" si="118"/>
        <v>18912.290999999997</v>
      </c>
      <c r="AK145" s="95">
        <f t="shared" si="119"/>
        <v>14.98</v>
      </c>
      <c r="AL145" s="133">
        <f t="shared" si="120"/>
        <v>18932.990999999998</v>
      </c>
      <c r="AM145" s="199">
        <f t="shared" si="121"/>
        <v>9571.4552618189991</v>
      </c>
      <c r="AN145" s="95">
        <v>1043.8</v>
      </c>
      <c r="AO145" s="95">
        <v>19887</v>
      </c>
      <c r="AP145" s="95">
        <v>7150.5</v>
      </c>
      <c r="AQ145" s="106">
        <f t="shared" si="122"/>
        <v>28081.3</v>
      </c>
      <c r="AR145" s="193">
        <f t="shared" si="123"/>
        <v>16097.3742095</v>
      </c>
      <c r="AS145" s="95">
        <v>0</v>
      </c>
      <c r="AT145" s="95">
        <v>18543</v>
      </c>
      <c r="AU145" s="95">
        <v>0</v>
      </c>
      <c r="AV145" s="95">
        <f t="shared" si="104"/>
        <v>18543</v>
      </c>
      <c r="AW145" s="95">
        <v>0</v>
      </c>
      <c r="AX145" s="95">
        <v>18543</v>
      </c>
      <c r="AY145" s="95">
        <v>0</v>
      </c>
      <c r="AZ145" s="95">
        <f t="shared" si="105"/>
        <v>18543</v>
      </c>
      <c r="BA145" s="197">
        <f t="shared" si="106"/>
        <v>9364.0110270000005</v>
      </c>
      <c r="BB145" s="94">
        <f t="shared" si="124"/>
        <v>1043.8</v>
      </c>
      <c r="BC145" s="105">
        <f t="shared" si="137"/>
        <v>2443.7341219999998</v>
      </c>
      <c r="BD145" s="94">
        <f t="shared" si="125"/>
        <v>1344</v>
      </c>
      <c r="BE145" s="94">
        <f t="shared" si="138"/>
        <v>678.70521600000006</v>
      </c>
      <c r="BF145" s="94">
        <f t="shared" si="126"/>
        <v>7150.5</v>
      </c>
      <c r="BG145" s="94">
        <f t="shared" si="139"/>
        <v>3610.9238445000001</v>
      </c>
      <c r="BH145" s="94">
        <f t="shared" si="127"/>
        <v>9538.2999999999993</v>
      </c>
      <c r="BI145" s="94">
        <f t="shared" si="128"/>
        <v>6733.3631825000002</v>
      </c>
      <c r="BJ145" s="186">
        <f t="shared" si="129"/>
        <v>37475.990999999995</v>
      </c>
      <c r="BK145" s="182">
        <f t="shared" si="130"/>
        <v>18935.466288818996</v>
      </c>
      <c r="BL145" s="98">
        <f t="shared" si="131"/>
        <v>37475.990999999995</v>
      </c>
      <c r="BM145" s="99">
        <f t="shared" si="107"/>
        <v>0</v>
      </c>
      <c r="BN145" s="99">
        <f t="shared" si="108"/>
        <v>18543</v>
      </c>
      <c r="BO145" s="182"/>
      <c r="BP145" s="182"/>
      <c r="BQ145" s="182">
        <v>0</v>
      </c>
      <c r="BR145" s="182"/>
      <c r="BS145" s="95">
        <v>0</v>
      </c>
      <c r="BT145" s="182"/>
      <c r="BU145" s="182">
        <f t="shared" si="140"/>
        <v>0</v>
      </c>
      <c r="BV145" s="95">
        <v>0</v>
      </c>
      <c r="BW145" s="182"/>
      <c r="BX145" s="182">
        <v>0</v>
      </c>
      <c r="BY145" s="95"/>
      <c r="BZ145" s="182"/>
      <c r="CA145" s="95">
        <f t="shared" si="132"/>
        <v>0</v>
      </c>
      <c r="CB145" s="95"/>
      <c r="CC145" s="182"/>
      <c r="CD145" s="95"/>
      <c r="CE145" s="95"/>
      <c r="CF145" s="182"/>
      <c r="CG145" s="95"/>
      <c r="CH145" s="95"/>
      <c r="CI145" s="182"/>
      <c r="CJ145" s="95"/>
      <c r="CK145" s="95"/>
      <c r="CL145" s="182"/>
      <c r="CM145" s="95"/>
      <c r="CN145" s="182">
        <f t="shared" si="133"/>
        <v>18935.466288818996</v>
      </c>
      <c r="CO145" s="94">
        <v>0</v>
      </c>
      <c r="CP145" s="182">
        <f t="shared" si="141"/>
        <v>0</v>
      </c>
      <c r="CQ145" s="95">
        <f t="shared" si="134"/>
        <v>65557.290999999997</v>
      </c>
      <c r="CR145" s="115">
        <f t="shared" si="113"/>
        <v>0</v>
      </c>
      <c r="CS145" s="113"/>
      <c r="CT145" s="113"/>
      <c r="CU145" s="187">
        <f t="shared" si="135"/>
        <v>6870.8631825000002</v>
      </c>
      <c r="CV145" s="187">
        <f t="shared" si="136"/>
        <v>-6998.7568175000006</v>
      </c>
      <c r="CW145" s="240"/>
    </row>
    <row r="146" spans="1:101" s="51" customFormat="1" ht="19.899999999999999" customHeight="1" x14ac:dyDescent="0.3">
      <c r="A146" s="92"/>
      <c r="B146" s="49">
        <v>1230005575</v>
      </c>
      <c r="C146" s="92" t="s">
        <v>252</v>
      </c>
      <c r="D146" s="93" t="s">
        <v>253</v>
      </c>
      <c r="E146" s="93" t="s">
        <v>133</v>
      </c>
      <c r="F146" s="105"/>
      <c r="G146" s="196"/>
      <c r="H146" s="106">
        <f t="shared" si="114"/>
        <v>0</v>
      </c>
      <c r="I146" s="104"/>
      <c r="J146" s="107"/>
      <c r="K146" s="50"/>
      <c r="L146" s="104"/>
      <c r="M146" s="108" t="s">
        <v>146</v>
      </c>
      <c r="N146" s="108" t="s">
        <v>145</v>
      </c>
      <c r="O146" s="193">
        <v>13092.97</v>
      </c>
      <c r="P146" s="193">
        <v>0</v>
      </c>
      <c r="Q146" s="193">
        <v>7145.72</v>
      </c>
      <c r="R146" s="109"/>
      <c r="S146" s="193">
        <v>293.93</v>
      </c>
      <c r="T146" s="193">
        <v>0</v>
      </c>
      <c r="U146" s="193">
        <v>56.4</v>
      </c>
      <c r="V146" s="193">
        <v>0</v>
      </c>
      <c r="W146" s="193">
        <v>0</v>
      </c>
      <c r="X146" s="193"/>
      <c r="Y146" s="193"/>
      <c r="Z146" s="193"/>
      <c r="AA146" s="193"/>
      <c r="AB146" s="194">
        <v>2.3903490000000001</v>
      </c>
      <c r="AC146" s="194">
        <v>0.515594</v>
      </c>
      <c r="AD146" s="106">
        <v>8.1199999999999992</v>
      </c>
      <c r="AE146" s="118">
        <v>43492.74</v>
      </c>
      <c r="AF146" s="106">
        <v>15.38</v>
      </c>
      <c r="AG146" s="106">
        <f t="shared" si="115"/>
        <v>43516.24</v>
      </c>
      <c r="AH146" s="106">
        <f t="shared" si="116"/>
        <v>22451.935257159999</v>
      </c>
      <c r="AI146" s="106">
        <f t="shared" si="117"/>
        <v>8.1199999999999992</v>
      </c>
      <c r="AJ146" s="106">
        <f t="shared" si="118"/>
        <v>22702.739999999998</v>
      </c>
      <c r="AK146" s="106">
        <f t="shared" si="119"/>
        <v>15.38</v>
      </c>
      <c r="AL146" s="132">
        <f t="shared" si="120"/>
        <v>22726.239999999998</v>
      </c>
      <c r="AM146" s="198">
        <f t="shared" si="121"/>
        <v>11732.735997159998</v>
      </c>
      <c r="AN146" s="106">
        <v>776.47</v>
      </c>
      <c r="AO146" s="106">
        <v>19540.5</v>
      </c>
      <c r="AP146" s="106">
        <v>8505</v>
      </c>
      <c r="AQ146" s="95">
        <f t="shared" si="122"/>
        <v>28821.97</v>
      </c>
      <c r="AR146" s="183">
        <f t="shared" si="123"/>
        <v>16316.12581503</v>
      </c>
      <c r="AS146" s="106">
        <v>0</v>
      </c>
      <c r="AT146" s="106">
        <v>20790</v>
      </c>
      <c r="AU146" s="106">
        <v>0</v>
      </c>
      <c r="AV146" s="106">
        <f t="shared" si="104"/>
        <v>20790</v>
      </c>
      <c r="AW146" s="106">
        <v>0</v>
      </c>
      <c r="AX146" s="106">
        <v>19540.5</v>
      </c>
      <c r="AY146" s="106">
        <v>1249.5</v>
      </c>
      <c r="AZ146" s="106">
        <f t="shared" si="105"/>
        <v>20790</v>
      </c>
      <c r="BA146" s="197">
        <f t="shared" si="106"/>
        <v>10719.199259999999</v>
      </c>
      <c r="BB146" s="105">
        <f t="shared" si="124"/>
        <v>776.47</v>
      </c>
      <c r="BC146" s="105">
        <f t="shared" si="137"/>
        <v>1856.0342880300002</v>
      </c>
      <c r="BD146" s="105">
        <f t="shared" si="125"/>
        <v>0</v>
      </c>
      <c r="BE146" s="105">
        <f t="shared" si="138"/>
        <v>0</v>
      </c>
      <c r="BF146" s="105">
        <f t="shared" si="126"/>
        <v>7255.5</v>
      </c>
      <c r="BG146" s="105">
        <f t="shared" si="139"/>
        <v>3740.8922670000002</v>
      </c>
      <c r="BH146" s="105">
        <f t="shared" si="127"/>
        <v>8031.97</v>
      </c>
      <c r="BI146" s="105">
        <f t="shared" si="128"/>
        <v>5596.9265550300006</v>
      </c>
      <c r="BJ146" s="186">
        <f t="shared" si="129"/>
        <v>43516.24</v>
      </c>
      <c r="BK146" s="182">
        <f t="shared" si="130"/>
        <v>22451.935257159999</v>
      </c>
      <c r="BL146" s="98">
        <f t="shared" si="131"/>
        <v>43516.24</v>
      </c>
      <c r="BM146" s="99">
        <f t="shared" si="107"/>
        <v>0</v>
      </c>
      <c r="BN146" s="99">
        <f t="shared" si="108"/>
        <v>20790</v>
      </c>
      <c r="BO146" s="196"/>
      <c r="BP146" s="196"/>
      <c r="BQ146" s="196">
        <v>0</v>
      </c>
      <c r="BR146" s="196"/>
      <c r="BS146" s="106">
        <v>0</v>
      </c>
      <c r="BT146" s="196"/>
      <c r="BU146" s="182">
        <f t="shared" si="140"/>
        <v>0</v>
      </c>
      <c r="BV146" s="106">
        <v>0</v>
      </c>
      <c r="BW146" s="196"/>
      <c r="BX146" s="196">
        <v>0</v>
      </c>
      <c r="BY146" s="106"/>
      <c r="BZ146" s="196"/>
      <c r="CA146" s="95">
        <f t="shared" si="132"/>
        <v>0</v>
      </c>
      <c r="CB146" s="106"/>
      <c r="CC146" s="196"/>
      <c r="CD146" s="106"/>
      <c r="CE146" s="106"/>
      <c r="CF146" s="196"/>
      <c r="CG146" s="106"/>
      <c r="CH146" s="106"/>
      <c r="CI146" s="196"/>
      <c r="CJ146" s="106"/>
      <c r="CK146" s="106"/>
      <c r="CL146" s="196"/>
      <c r="CM146" s="106"/>
      <c r="CN146" s="182">
        <f t="shared" si="133"/>
        <v>22451.935257159999</v>
      </c>
      <c r="CO146" s="105">
        <v>0</v>
      </c>
      <c r="CP146" s="182">
        <f t="shared" si="141"/>
        <v>0</v>
      </c>
      <c r="CQ146" s="95">
        <f t="shared" si="134"/>
        <v>72338.209999999992</v>
      </c>
      <c r="CR146" s="115">
        <f t="shared" si="113"/>
        <v>0</v>
      </c>
      <c r="CS146" s="113"/>
      <c r="CT146" s="113"/>
      <c r="CU146" s="187">
        <f t="shared" si="135"/>
        <v>5947.2565550300005</v>
      </c>
      <c r="CV146" s="187">
        <f t="shared" si="136"/>
        <v>-7145.7134449699988</v>
      </c>
      <c r="CW146" s="240"/>
    </row>
    <row r="147" spans="1:101" s="51" customFormat="1" ht="19.899999999999999" customHeight="1" x14ac:dyDescent="0.3">
      <c r="A147" s="148"/>
      <c r="B147" s="50">
        <v>1230005575</v>
      </c>
      <c r="C147" s="148" t="s">
        <v>252</v>
      </c>
      <c r="D147" s="104" t="s">
        <v>253</v>
      </c>
      <c r="E147" s="104" t="s">
        <v>133</v>
      </c>
      <c r="F147" s="94"/>
      <c r="G147" s="182"/>
      <c r="H147" s="95">
        <f t="shared" si="114"/>
        <v>0</v>
      </c>
      <c r="I147" s="93"/>
      <c r="J147" s="96"/>
      <c r="K147" s="49"/>
      <c r="L147" s="93"/>
      <c r="M147" s="97" t="s">
        <v>148</v>
      </c>
      <c r="N147" s="97" t="s">
        <v>147</v>
      </c>
      <c r="O147" s="183">
        <v>12241.69</v>
      </c>
      <c r="P147" s="183">
        <v>0</v>
      </c>
      <c r="Q147" s="183">
        <v>7485.99</v>
      </c>
      <c r="R147" s="131"/>
      <c r="S147" s="183">
        <v>140.18</v>
      </c>
      <c r="T147" s="183">
        <v>0</v>
      </c>
      <c r="U147" s="183">
        <v>56.4</v>
      </c>
      <c r="V147" s="183">
        <v>0</v>
      </c>
      <c r="W147" s="183">
        <v>0</v>
      </c>
      <c r="X147" s="183"/>
      <c r="Y147" s="183"/>
      <c r="Z147" s="183"/>
      <c r="AA147" s="183"/>
      <c r="AB147" s="184">
        <v>2.4557060000000002</v>
      </c>
      <c r="AC147" s="184">
        <v>0.501162</v>
      </c>
      <c r="AD147" s="95">
        <v>24.43</v>
      </c>
      <c r="AE147" s="95">
        <v>53370.83</v>
      </c>
      <c r="AF147" s="95">
        <v>13.71</v>
      </c>
      <c r="AG147" s="95">
        <f t="shared" si="115"/>
        <v>53408.97</v>
      </c>
      <c r="AH147" s="95">
        <f t="shared" si="116"/>
        <v>26814.29573306</v>
      </c>
      <c r="AI147" s="95">
        <f t="shared" si="117"/>
        <v>24.22</v>
      </c>
      <c r="AJ147" s="95">
        <f t="shared" si="118"/>
        <v>29735.33</v>
      </c>
      <c r="AK147" s="95">
        <f t="shared" si="119"/>
        <v>13.71</v>
      </c>
      <c r="AL147" s="133">
        <f t="shared" si="120"/>
        <v>29773.260000000002</v>
      </c>
      <c r="AM147" s="199">
        <f t="shared" si="121"/>
        <v>14968.5655838</v>
      </c>
      <c r="AN147" s="95">
        <v>768.18</v>
      </c>
      <c r="AO147" s="95">
        <v>20548.5</v>
      </c>
      <c r="AP147" s="95">
        <v>8421</v>
      </c>
      <c r="AQ147" s="106">
        <f t="shared" si="122"/>
        <v>29737.68</v>
      </c>
      <c r="AR147" s="193">
        <f t="shared" si="123"/>
        <v>16404.836794080002</v>
      </c>
      <c r="AS147" s="95">
        <v>0.21</v>
      </c>
      <c r="AT147" s="95">
        <v>23635.5</v>
      </c>
      <c r="AU147" s="95">
        <v>0</v>
      </c>
      <c r="AV147" s="95">
        <f t="shared" si="104"/>
        <v>23635.71</v>
      </c>
      <c r="AW147" s="95">
        <v>0.21</v>
      </c>
      <c r="AX147" s="95">
        <v>20548.5</v>
      </c>
      <c r="AY147" s="95">
        <v>3087</v>
      </c>
      <c r="AZ147" s="95">
        <f t="shared" si="105"/>
        <v>23635.71</v>
      </c>
      <c r="BA147" s="197">
        <f t="shared" si="106"/>
        <v>11845.73014926</v>
      </c>
      <c r="BB147" s="94">
        <f t="shared" si="124"/>
        <v>767.96999999999991</v>
      </c>
      <c r="BC147" s="105">
        <f t="shared" si="137"/>
        <v>1885.9085368199999</v>
      </c>
      <c r="BD147" s="94">
        <f t="shared" si="125"/>
        <v>0</v>
      </c>
      <c r="BE147" s="94">
        <f t="shared" si="138"/>
        <v>0</v>
      </c>
      <c r="BF147" s="94">
        <f t="shared" si="126"/>
        <v>5334</v>
      </c>
      <c r="BG147" s="94">
        <f t="shared" si="139"/>
        <v>2673.198108</v>
      </c>
      <c r="BH147" s="94">
        <f t="shared" si="127"/>
        <v>6101.97</v>
      </c>
      <c r="BI147" s="94">
        <f t="shared" si="128"/>
        <v>4559.1066448199999</v>
      </c>
      <c r="BJ147" s="186">
        <f t="shared" si="129"/>
        <v>53408.97</v>
      </c>
      <c r="BK147" s="182">
        <f t="shared" si="130"/>
        <v>26814.29573306</v>
      </c>
      <c r="BL147" s="98">
        <f t="shared" si="131"/>
        <v>53408.97</v>
      </c>
      <c r="BM147" s="99">
        <f t="shared" si="107"/>
        <v>0.21</v>
      </c>
      <c r="BN147" s="99">
        <f t="shared" si="108"/>
        <v>23635.5</v>
      </c>
      <c r="BO147" s="182"/>
      <c r="BP147" s="182"/>
      <c r="BQ147" s="182">
        <v>0</v>
      </c>
      <c r="BR147" s="182"/>
      <c r="BS147" s="95">
        <v>0</v>
      </c>
      <c r="BT147" s="182"/>
      <c r="BU147" s="182">
        <f t="shared" si="140"/>
        <v>0</v>
      </c>
      <c r="BV147" s="95">
        <v>0</v>
      </c>
      <c r="BW147" s="182"/>
      <c r="BX147" s="182">
        <v>0</v>
      </c>
      <c r="BY147" s="95"/>
      <c r="BZ147" s="182"/>
      <c r="CA147" s="95">
        <f t="shared" si="132"/>
        <v>0</v>
      </c>
      <c r="CB147" s="95"/>
      <c r="CC147" s="182"/>
      <c r="CD147" s="95"/>
      <c r="CE147" s="95"/>
      <c r="CF147" s="182"/>
      <c r="CG147" s="95"/>
      <c r="CH147" s="95"/>
      <c r="CI147" s="182"/>
      <c r="CJ147" s="95"/>
      <c r="CK147" s="95"/>
      <c r="CL147" s="182"/>
      <c r="CM147" s="95"/>
      <c r="CN147" s="182">
        <f t="shared" si="133"/>
        <v>26814.29573306</v>
      </c>
      <c r="CO147" s="94">
        <v>0</v>
      </c>
      <c r="CP147" s="182">
        <f t="shared" si="141"/>
        <v>0</v>
      </c>
      <c r="CQ147" s="95">
        <f t="shared" si="134"/>
        <v>83146.649999999994</v>
      </c>
      <c r="CR147" s="115">
        <f t="shared" si="113"/>
        <v>0</v>
      </c>
      <c r="CS147" s="113"/>
      <c r="CT147" s="113"/>
      <c r="CU147" s="187">
        <f t="shared" si="135"/>
        <v>4755.6866448199999</v>
      </c>
      <c r="CV147" s="187">
        <f t="shared" si="136"/>
        <v>-7486.0033551800007</v>
      </c>
      <c r="CW147" s="240"/>
    </row>
    <row r="148" spans="1:101" s="51" customFormat="1" ht="19.899999999999999" customHeight="1" x14ac:dyDescent="0.3">
      <c r="A148" s="92"/>
      <c r="B148" s="49">
        <v>1230005575</v>
      </c>
      <c r="C148" s="92" t="s">
        <v>252</v>
      </c>
      <c r="D148" s="93" t="s">
        <v>253</v>
      </c>
      <c r="E148" s="93" t="s">
        <v>133</v>
      </c>
      <c r="F148" s="105"/>
      <c r="G148" s="196"/>
      <c r="H148" s="106">
        <f t="shared" si="114"/>
        <v>0</v>
      </c>
      <c r="I148" s="104"/>
      <c r="J148" s="107"/>
      <c r="K148" s="50"/>
      <c r="L148" s="104"/>
      <c r="M148" s="108" t="s">
        <v>150</v>
      </c>
      <c r="N148" s="108" t="s">
        <v>149</v>
      </c>
      <c r="O148" s="193">
        <v>8297.09</v>
      </c>
      <c r="P148" s="193">
        <v>0</v>
      </c>
      <c r="Q148" s="193">
        <v>7999.75</v>
      </c>
      <c r="R148" s="109"/>
      <c r="S148" s="193">
        <v>15.11</v>
      </c>
      <c r="T148" s="193">
        <v>273.77</v>
      </c>
      <c r="U148" s="193">
        <v>8.4600000000000009</v>
      </c>
      <c r="V148" s="193">
        <v>0</v>
      </c>
      <c r="W148" s="193">
        <v>0</v>
      </c>
      <c r="X148" s="193"/>
      <c r="Y148" s="193"/>
      <c r="Z148" s="193"/>
      <c r="AA148" s="193"/>
      <c r="AB148" s="194">
        <v>2.538583</v>
      </c>
      <c r="AC148" s="194">
        <v>0.46666299999999999</v>
      </c>
      <c r="AD148" s="106">
        <v>64.739999999999995</v>
      </c>
      <c r="AE148" s="118">
        <v>56483.66</v>
      </c>
      <c r="AF148" s="106">
        <v>30.6</v>
      </c>
      <c r="AG148" s="106">
        <f t="shared" si="115"/>
        <v>56579</v>
      </c>
      <c r="AH148" s="106">
        <f t="shared" si="116"/>
        <v>26537.461977800001</v>
      </c>
      <c r="AI148" s="106">
        <f t="shared" si="117"/>
        <v>63.379999999999995</v>
      </c>
      <c r="AJ148" s="106">
        <f t="shared" si="118"/>
        <v>29320.160000000003</v>
      </c>
      <c r="AK148" s="106">
        <f t="shared" si="119"/>
        <v>30.6</v>
      </c>
      <c r="AL148" s="132">
        <f t="shared" si="120"/>
        <v>29414.140000000003</v>
      </c>
      <c r="AM148" s="198">
        <f t="shared" si="121"/>
        <v>13857.809104420001</v>
      </c>
      <c r="AN148" s="106">
        <v>651.21</v>
      </c>
      <c r="AO148" s="106">
        <v>14658</v>
      </c>
      <c r="AP148" s="106">
        <v>5775</v>
      </c>
      <c r="AQ148" s="95">
        <f t="shared" si="122"/>
        <v>21084.21</v>
      </c>
      <c r="AR148" s="183">
        <f t="shared" si="123"/>
        <v>11188.47571443</v>
      </c>
      <c r="AS148" s="106">
        <v>1.36</v>
      </c>
      <c r="AT148" s="106">
        <v>27163.5</v>
      </c>
      <c r="AU148" s="106">
        <v>0</v>
      </c>
      <c r="AV148" s="106">
        <f t="shared" si="104"/>
        <v>27164.86</v>
      </c>
      <c r="AW148" s="106">
        <v>651.21</v>
      </c>
      <c r="AX148" s="106">
        <v>14658</v>
      </c>
      <c r="AY148" s="106">
        <v>5775</v>
      </c>
      <c r="AZ148" s="106">
        <f t="shared" si="105"/>
        <v>21084.21</v>
      </c>
      <c r="BA148" s="197">
        <f t="shared" si="106"/>
        <v>11188.47571443</v>
      </c>
      <c r="BB148" s="105">
        <f t="shared" si="124"/>
        <v>0</v>
      </c>
      <c r="BC148" s="105">
        <f t="shared" si="137"/>
        <v>0</v>
      </c>
      <c r="BD148" s="105">
        <f t="shared" si="125"/>
        <v>0</v>
      </c>
      <c r="BE148" s="105">
        <f t="shared" si="138"/>
        <v>0</v>
      </c>
      <c r="BF148" s="105">
        <f t="shared" si="126"/>
        <v>0</v>
      </c>
      <c r="BG148" s="105">
        <f t="shared" si="139"/>
        <v>0</v>
      </c>
      <c r="BH148" s="105">
        <f t="shared" si="127"/>
        <v>0</v>
      </c>
      <c r="BI148" s="105">
        <f t="shared" si="128"/>
        <v>0</v>
      </c>
      <c r="BJ148" s="186">
        <f t="shared" si="129"/>
        <v>50498.350000000006</v>
      </c>
      <c r="BK148" s="182">
        <f t="shared" si="130"/>
        <v>25046.284818850003</v>
      </c>
      <c r="BL148" s="98">
        <f t="shared" si="131"/>
        <v>50498.350000000006</v>
      </c>
      <c r="BM148" s="99">
        <f t="shared" si="107"/>
        <v>651.21</v>
      </c>
      <c r="BN148" s="99">
        <f t="shared" si="108"/>
        <v>20433</v>
      </c>
      <c r="BO148" s="196"/>
      <c r="BP148" s="196"/>
      <c r="BQ148" s="196">
        <v>0</v>
      </c>
      <c r="BR148" s="196"/>
      <c r="BS148" s="106">
        <v>0</v>
      </c>
      <c r="BT148" s="196"/>
      <c r="BU148" s="182">
        <f t="shared" si="140"/>
        <v>0</v>
      </c>
      <c r="BV148" s="106">
        <v>0</v>
      </c>
      <c r="BW148" s="196"/>
      <c r="BX148" s="196">
        <v>0</v>
      </c>
      <c r="BY148" s="106"/>
      <c r="BZ148" s="196"/>
      <c r="CA148" s="95">
        <f t="shared" si="132"/>
        <v>0</v>
      </c>
      <c r="CB148" s="106"/>
      <c r="CC148" s="196"/>
      <c r="CD148" s="106"/>
      <c r="CE148" s="106"/>
      <c r="CF148" s="196"/>
      <c r="CG148" s="106"/>
      <c r="CH148" s="106"/>
      <c r="CI148" s="196"/>
      <c r="CJ148" s="106"/>
      <c r="CK148" s="106"/>
      <c r="CL148" s="196"/>
      <c r="CM148" s="106"/>
      <c r="CN148" s="182">
        <f t="shared" si="133"/>
        <v>25046.284818850003</v>
      </c>
      <c r="CO148" s="105">
        <v>0</v>
      </c>
      <c r="CP148" s="182">
        <f t="shared" si="141"/>
        <v>0</v>
      </c>
      <c r="CQ148" s="95">
        <f t="shared" si="134"/>
        <v>71582.559999999998</v>
      </c>
      <c r="CR148" s="115">
        <f t="shared" si="113"/>
        <v>6080.6500000000015</v>
      </c>
      <c r="CS148" s="113"/>
      <c r="CT148" s="113"/>
      <c r="CU148" s="187">
        <f t="shared" si="135"/>
        <v>297.33999999999997</v>
      </c>
      <c r="CV148" s="187">
        <f t="shared" si="136"/>
        <v>-7999.75</v>
      </c>
      <c r="CW148" s="240"/>
    </row>
    <row r="149" spans="1:101" s="51" customFormat="1" ht="19.899999999999999" customHeight="1" x14ac:dyDescent="0.3">
      <c r="A149" s="103"/>
      <c r="B149" s="50"/>
      <c r="C149" s="103" t="s">
        <v>254</v>
      </c>
      <c r="D149" s="104" t="s">
        <v>255</v>
      </c>
      <c r="E149" s="104"/>
      <c r="F149" s="94">
        <v>2921</v>
      </c>
      <c r="G149" s="182">
        <v>0.86</v>
      </c>
      <c r="H149" s="95">
        <f t="shared" si="114"/>
        <v>2512.06</v>
      </c>
      <c r="I149" s="93"/>
      <c r="J149" s="96" t="s">
        <v>256</v>
      </c>
      <c r="K149" s="49" t="s">
        <v>257</v>
      </c>
      <c r="L149" s="93"/>
      <c r="M149" s="97" t="s">
        <v>258</v>
      </c>
      <c r="N149" s="97" t="s">
        <v>259</v>
      </c>
      <c r="O149" s="183"/>
      <c r="P149" s="183"/>
      <c r="Q149" s="183"/>
      <c r="R149" s="131"/>
      <c r="S149" s="183"/>
      <c r="T149" s="183"/>
      <c r="U149" s="183"/>
      <c r="V149" s="183"/>
      <c r="W149" s="183"/>
      <c r="X149" s="183"/>
      <c r="Y149" s="183"/>
      <c r="Z149" s="183"/>
      <c r="AA149" s="183"/>
      <c r="AB149" s="184">
        <v>0.91627000000000003</v>
      </c>
      <c r="AC149" s="184">
        <v>0.91627000000000003</v>
      </c>
      <c r="AD149" s="95"/>
      <c r="AE149" s="95"/>
      <c r="AF149" s="95"/>
      <c r="AG149" s="95"/>
      <c r="AH149" s="95"/>
      <c r="AI149" s="95">
        <f t="shared" si="117"/>
        <v>0</v>
      </c>
      <c r="AJ149" s="95">
        <f t="shared" si="118"/>
        <v>0</v>
      </c>
      <c r="AK149" s="95">
        <f t="shared" si="119"/>
        <v>0</v>
      </c>
      <c r="AL149" s="133">
        <f t="shared" si="120"/>
        <v>0</v>
      </c>
      <c r="AM149" s="199">
        <f t="shared" si="121"/>
        <v>0</v>
      </c>
      <c r="AN149" s="106">
        <v>0</v>
      </c>
      <c r="AO149" s="106">
        <v>4262</v>
      </c>
      <c r="AP149" s="106">
        <v>0</v>
      </c>
      <c r="AQ149" s="95">
        <f t="shared" si="122"/>
        <v>4262</v>
      </c>
      <c r="AR149" s="183">
        <f t="shared" si="123"/>
        <v>3905.1427400000002</v>
      </c>
      <c r="AS149" s="106">
        <v>0</v>
      </c>
      <c r="AT149" s="106">
        <v>0</v>
      </c>
      <c r="AU149" s="106">
        <v>0</v>
      </c>
      <c r="AV149" s="106">
        <f t="shared" si="104"/>
        <v>0</v>
      </c>
      <c r="AW149" s="106">
        <v>0</v>
      </c>
      <c r="AX149" s="106">
        <v>0</v>
      </c>
      <c r="AY149" s="106">
        <v>0</v>
      </c>
      <c r="AZ149" s="106">
        <f t="shared" si="105"/>
        <v>0</v>
      </c>
      <c r="BA149" s="197">
        <f t="shared" si="106"/>
        <v>0</v>
      </c>
      <c r="BB149" s="105">
        <f t="shared" si="124"/>
        <v>0</v>
      </c>
      <c r="BC149" s="105">
        <f t="shared" si="137"/>
        <v>0</v>
      </c>
      <c r="BD149" s="105">
        <f t="shared" si="125"/>
        <v>4262</v>
      </c>
      <c r="BE149" s="105">
        <f t="shared" si="138"/>
        <v>3905.1427400000002</v>
      </c>
      <c r="BF149" s="105">
        <f t="shared" si="126"/>
        <v>0</v>
      </c>
      <c r="BG149" s="105">
        <f t="shared" si="139"/>
        <v>0</v>
      </c>
      <c r="BH149" s="105">
        <f t="shared" si="127"/>
        <v>4262</v>
      </c>
      <c r="BI149" s="105">
        <f t="shared" si="128"/>
        <v>3905.1427400000002</v>
      </c>
      <c r="BJ149" s="186">
        <f t="shared" si="129"/>
        <v>0</v>
      </c>
      <c r="BK149" s="182">
        <f t="shared" si="130"/>
        <v>0</v>
      </c>
      <c r="BL149" s="98">
        <f t="shared" si="131"/>
        <v>0</v>
      </c>
      <c r="BM149" s="99"/>
      <c r="BN149" s="99"/>
      <c r="BO149" s="196"/>
      <c r="BP149" s="196"/>
      <c r="BQ149" s="196"/>
      <c r="BR149" s="196"/>
      <c r="BS149" s="106"/>
      <c r="BT149" s="196"/>
      <c r="BU149" s="182">
        <f t="shared" si="140"/>
        <v>0</v>
      </c>
      <c r="BV149" s="106"/>
      <c r="BW149" s="196"/>
      <c r="BX149" s="196"/>
      <c r="BY149" s="106"/>
      <c r="BZ149" s="196"/>
      <c r="CA149" s="95">
        <f t="shared" si="132"/>
        <v>0</v>
      </c>
      <c r="CB149" s="106"/>
      <c r="CC149" s="196"/>
      <c r="CD149" s="106"/>
      <c r="CE149" s="106"/>
      <c r="CF149" s="196"/>
      <c r="CG149" s="106"/>
      <c r="CH149" s="106"/>
      <c r="CI149" s="196"/>
      <c r="CJ149" s="106"/>
      <c r="CK149" s="106"/>
      <c r="CL149" s="196"/>
      <c r="CM149" s="106"/>
      <c r="CN149" s="182">
        <f t="shared" si="133"/>
        <v>0</v>
      </c>
      <c r="CO149" s="105">
        <v>0</v>
      </c>
      <c r="CP149" s="182">
        <f t="shared" si="141"/>
        <v>0</v>
      </c>
      <c r="CQ149" s="95">
        <f t="shared" si="134"/>
        <v>4262</v>
      </c>
      <c r="CR149" s="115">
        <f t="shared" si="113"/>
        <v>0</v>
      </c>
      <c r="CS149" s="113"/>
      <c r="CT149" s="113"/>
      <c r="CU149" s="187"/>
      <c r="CV149" s="187"/>
      <c r="CW149" s="240"/>
    </row>
    <row r="150" spans="1:101" s="51" customFormat="1" ht="19.899999999999999" customHeight="1" x14ac:dyDescent="0.3">
      <c r="A150" s="92"/>
      <c r="B150" s="49"/>
      <c r="C150" s="92" t="s">
        <v>254</v>
      </c>
      <c r="D150" s="93" t="s">
        <v>255</v>
      </c>
      <c r="E150" s="93"/>
      <c r="F150" s="105">
        <v>2921</v>
      </c>
      <c r="G150" s="196">
        <v>0.86</v>
      </c>
      <c r="H150" s="106">
        <f t="shared" si="114"/>
        <v>2512.06</v>
      </c>
      <c r="I150" s="104"/>
      <c r="J150" s="107" t="s">
        <v>256</v>
      </c>
      <c r="K150" s="50" t="s">
        <v>257</v>
      </c>
      <c r="L150" s="104"/>
      <c r="M150" s="108" t="s">
        <v>172</v>
      </c>
      <c r="N150" s="108" t="s">
        <v>260</v>
      </c>
      <c r="O150" s="193"/>
      <c r="P150" s="193"/>
      <c r="Q150" s="193"/>
      <c r="R150" s="109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4">
        <v>0.93049999999999999</v>
      </c>
      <c r="AC150" s="194">
        <v>0.93049999999999999</v>
      </c>
      <c r="AD150" s="106"/>
      <c r="AE150" s="118"/>
      <c r="AF150" s="106"/>
      <c r="AG150" s="106"/>
      <c r="AH150" s="106"/>
      <c r="AI150" s="106">
        <f t="shared" si="117"/>
        <v>0</v>
      </c>
      <c r="AJ150" s="106">
        <f t="shared" si="118"/>
        <v>0</v>
      </c>
      <c r="AK150" s="106">
        <f t="shared" si="119"/>
        <v>0</v>
      </c>
      <c r="AL150" s="132">
        <f t="shared" si="120"/>
        <v>0</v>
      </c>
      <c r="AM150" s="198">
        <f t="shared" si="121"/>
        <v>0</v>
      </c>
      <c r="AN150" s="95">
        <v>0</v>
      </c>
      <c r="AO150" s="95">
        <v>2495</v>
      </c>
      <c r="AP150" s="95">
        <v>0</v>
      </c>
      <c r="AQ150" s="106">
        <f t="shared" si="122"/>
        <v>2495</v>
      </c>
      <c r="AR150" s="193">
        <f t="shared" si="123"/>
        <v>2321.5974999999999</v>
      </c>
      <c r="AS150" s="95">
        <v>0</v>
      </c>
      <c r="AT150" s="95">
        <v>0</v>
      </c>
      <c r="AU150" s="95">
        <v>0</v>
      </c>
      <c r="AV150" s="95">
        <f t="shared" si="104"/>
        <v>0</v>
      </c>
      <c r="AW150" s="95">
        <v>0</v>
      </c>
      <c r="AX150" s="95">
        <v>0</v>
      </c>
      <c r="AY150" s="95">
        <v>0</v>
      </c>
      <c r="AZ150" s="95">
        <f t="shared" si="105"/>
        <v>0</v>
      </c>
      <c r="BA150" s="197">
        <f t="shared" si="106"/>
        <v>0</v>
      </c>
      <c r="BB150" s="94">
        <f t="shared" si="124"/>
        <v>0</v>
      </c>
      <c r="BC150" s="105">
        <f t="shared" si="137"/>
        <v>0</v>
      </c>
      <c r="BD150" s="94">
        <f t="shared" si="125"/>
        <v>2495</v>
      </c>
      <c r="BE150" s="94">
        <f t="shared" si="138"/>
        <v>2321.5974999999999</v>
      </c>
      <c r="BF150" s="94">
        <f t="shared" si="126"/>
        <v>0</v>
      </c>
      <c r="BG150" s="94">
        <f t="shared" si="139"/>
        <v>0</v>
      </c>
      <c r="BH150" s="94">
        <f t="shared" si="127"/>
        <v>2495</v>
      </c>
      <c r="BI150" s="94">
        <f t="shared" si="128"/>
        <v>2321.5974999999999</v>
      </c>
      <c r="BJ150" s="186">
        <f t="shared" si="129"/>
        <v>0</v>
      </c>
      <c r="BK150" s="182">
        <f t="shared" si="130"/>
        <v>0</v>
      </c>
      <c r="BL150" s="98">
        <f t="shared" si="131"/>
        <v>0</v>
      </c>
      <c r="BM150" s="99"/>
      <c r="BN150" s="99"/>
      <c r="BO150" s="182"/>
      <c r="BP150" s="182"/>
      <c r="BQ150" s="182"/>
      <c r="BR150" s="182"/>
      <c r="BS150" s="95"/>
      <c r="BT150" s="182"/>
      <c r="BU150" s="182">
        <f t="shared" si="140"/>
        <v>0</v>
      </c>
      <c r="BV150" s="95"/>
      <c r="BW150" s="182"/>
      <c r="BX150" s="182"/>
      <c r="BY150" s="95"/>
      <c r="BZ150" s="182"/>
      <c r="CA150" s="95">
        <f t="shared" si="132"/>
        <v>0</v>
      </c>
      <c r="CB150" s="95"/>
      <c r="CC150" s="182"/>
      <c r="CD150" s="95"/>
      <c r="CE150" s="95"/>
      <c r="CF150" s="182"/>
      <c r="CG150" s="95"/>
      <c r="CH150" s="95"/>
      <c r="CI150" s="182"/>
      <c r="CJ150" s="95"/>
      <c r="CK150" s="95"/>
      <c r="CL150" s="182"/>
      <c r="CM150" s="95"/>
      <c r="CN150" s="182">
        <f t="shared" si="133"/>
        <v>0</v>
      </c>
      <c r="CO150" s="94">
        <v>0</v>
      </c>
      <c r="CP150" s="182">
        <f t="shared" si="141"/>
        <v>0</v>
      </c>
      <c r="CQ150" s="95">
        <f t="shared" si="134"/>
        <v>2495</v>
      </c>
      <c r="CR150" s="115">
        <f t="shared" si="113"/>
        <v>0</v>
      </c>
      <c r="CS150" s="113"/>
      <c r="CT150" s="113"/>
      <c r="CU150" s="187"/>
      <c r="CV150" s="187"/>
      <c r="CW150" s="240"/>
    </row>
    <row r="151" spans="1:101" s="51" customFormat="1" ht="19.899999999999999" customHeight="1" x14ac:dyDescent="0.3">
      <c r="A151" s="148"/>
      <c r="B151" s="50"/>
      <c r="C151" s="148" t="s">
        <v>254</v>
      </c>
      <c r="D151" s="104" t="s">
        <v>255</v>
      </c>
      <c r="E151" s="104"/>
      <c r="F151" s="94">
        <v>2921</v>
      </c>
      <c r="G151" s="182">
        <v>0.86</v>
      </c>
      <c r="H151" s="95">
        <f t="shared" si="114"/>
        <v>2512.06</v>
      </c>
      <c r="I151" s="93"/>
      <c r="J151" s="96" t="s">
        <v>256</v>
      </c>
      <c r="K151" s="49" t="s">
        <v>257</v>
      </c>
      <c r="L151" s="93"/>
      <c r="M151" s="97" t="s">
        <v>261</v>
      </c>
      <c r="N151" s="97" t="s">
        <v>262</v>
      </c>
      <c r="O151" s="183"/>
      <c r="P151" s="183"/>
      <c r="Q151" s="183"/>
      <c r="R151" s="131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4">
        <v>0.96543000000000001</v>
      </c>
      <c r="AC151" s="184">
        <v>0.96543000000000001</v>
      </c>
      <c r="AD151" s="95"/>
      <c r="AE151" s="95"/>
      <c r="AF151" s="95"/>
      <c r="AG151" s="95"/>
      <c r="AH151" s="95"/>
      <c r="AI151" s="95">
        <f t="shared" si="117"/>
        <v>0</v>
      </c>
      <c r="AJ151" s="95">
        <f t="shared" si="118"/>
        <v>0</v>
      </c>
      <c r="AK151" s="95">
        <f t="shared" si="119"/>
        <v>0</v>
      </c>
      <c r="AL151" s="133">
        <f t="shared" si="120"/>
        <v>0</v>
      </c>
      <c r="AM151" s="199">
        <f t="shared" si="121"/>
        <v>0</v>
      </c>
      <c r="AN151" s="106">
        <v>0</v>
      </c>
      <c r="AO151" s="106">
        <v>3091</v>
      </c>
      <c r="AP151" s="106">
        <v>0</v>
      </c>
      <c r="AQ151" s="95">
        <f t="shared" si="122"/>
        <v>3091</v>
      </c>
      <c r="AR151" s="183">
        <f t="shared" si="123"/>
        <v>2984.1441300000001</v>
      </c>
      <c r="AS151" s="106">
        <v>0</v>
      </c>
      <c r="AT151" s="106">
        <v>0</v>
      </c>
      <c r="AU151" s="106">
        <v>0</v>
      </c>
      <c r="AV151" s="106">
        <f t="shared" si="104"/>
        <v>0</v>
      </c>
      <c r="AW151" s="106">
        <v>0</v>
      </c>
      <c r="AX151" s="106">
        <v>0</v>
      </c>
      <c r="AY151" s="106">
        <v>0</v>
      </c>
      <c r="AZ151" s="106">
        <f t="shared" si="105"/>
        <v>0</v>
      </c>
      <c r="BA151" s="197">
        <f t="shared" si="106"/>
        <v>0</v>
      </c>
      <c r="BB151" s="105">
        <f t="shared" si="124"/>
        <v>0</v>
      </c>
      <c r="BC151" s="105">
        <f t="shared" si="137"/>
        <v>0</v>
      </c>
      <c r="BD151" s="105">
        <f t="shared" si="125"/>
        <v>3091</v>
      </c>
      <c r="BE151" s="105">
        <f t="shared" si="138"/>
        <v>2984.1441300000001</v>
      </c>
      <c r="BF151" s="105">
        <f t="shared" si="126"/>
        <v>0</v>
      </c>
      <c r="BG151" s="105">
        <f t="shared" si="139"/>
        <v>0</v>
      </c>
      <c r="BH151" s="105">
        <f t="shared" si="127"/>
        <v>3091</v>
      </c>
      <c r="BI151" s="105">
        <f t="shared" si="128"/>
        <v>2984.1441300000001</v>
      </c>
      <c r="BJ151" s="186">
        <f t="shared" si="129"/>
        <v>0</v>
      </c>
      <c r="BK151" s="182">
        <f t="shared" si="130"/>
        <v>0</v>
      </c>
      <c r="BL151" s="98">
        <f t="shared" si="131"/>
        <v>0</v>
      </c>
      <c r="BM151" s="99"/>
      <c r="BN151" s="99"/>
      <c r="BO151" s="196"/>
      <c r="BP151" s="196"/>
      <c r="BQ151" s="196"/>
      <c r="BR151" s="196"/>
      <c r="BS151" s="106"/>
      <c r="BT151" s="196"/>
      <c r="BU151" s="182">
        <f t="shared" si="140"/>
        <v>0</v>
      </c>
      <c r="BV151" s="106"/>
      <c r="BW151" s="196"/>
      <c r="BX151" s="196"/>
      <c r="BY151" s="106"/>
      <c r="BZ151" s="196"/>
      <c r="CA151" s="95">
        <f t="shared" si="132"/>
        <v>0</v>
      </c>
      <c r="CB151" s="106"/>
      <c r="CC151" s="196"/>
      <c r="CD151" s="106"/>
      <c r="CE151" s="106"/>
      <c r="CF151" s="196"/>
      <c r="CG151" s="106"/>
      <c r="CH151" s="106"/>
      <c r="CI151" s="196"/>
      <c r="CJ151" s="106"/>
      <c r="CK151" s="106"/>
      <c r="CL151" s="196"/>
      <c r="CM151" s="106"/>
      <c r="CN151" s="182">
        <f t="shared" si="133"/>
        <v>0</v>
      </c>
      <c r="CO151" s="105">
        <v>0</v>
      </c>
      <c r="CP151" s="182">
        <f t="shared" si="141"/>
        <v>0</v>
      </c>
      <c r="CQ151" s="95">
        <f t="shared" si="134"/>
        <v>3091</v>
      </c>
      <c r="CR151" s="115">
        <f t="shared" si="113"/>
        <v>0</v>
      </c>
      <c r="CS151" s="113"/>
      <c r="CT151" s="113"/>
      <c r="CU151" s="187"/>
      <c r="CV151" s="187"/>
      <c r="CW151" s="240"/>
    </row>
    <row r="152" spans="1:101" s="51" customFormat="1" ht="19.899999999999999" customHeight="1" x14ac:dyDescent="0.3">
      <c r="A152" s="92"/>
      <c r="B152" s="49"/>
      <c r="C152" s="92" t="s">
        <v>254</v>
      </c>
      <c r="D152" s="93" t="s">
        <v>255</v>
      </c>
      <c r="E152" s="93"/>
      <c r="F152" s="105">
        <v>2921</v>
      </c>
      <c r="G152" s="196">
        <v>0.86</v>
      </c>
      <c r="H152" s="106">
        <f t="shared" si="114"/>
        <v>2512.06</v>
      </c>
      <c r="I152" s="104"/>
      <c r="J152" s="107" t="s">
        <v>256</v>
      </c>
      <c r="K152" s="50" t="s">
        <v>257</v>
      </c>
      <c r="L152" s="104"/>
      <c r="M152" s="108" t="s">
        <v>263</v>
      </c>
      <c r="N152" s="108" t="s">
        <v>264</v>
      </c>
      <c r="O152" s="193"/>
      <c r="P152" s="193"/>
      <c r="Q152" s="193"/>
      <c r="R152" s="109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4">
        <v>0.93796000000000002</v>
      </c>
      <c r="AC152" s="194">
        <v>0.93796000000000002</v>
      </c>
      <c r="AD152" s="106"/>
      <c r="AE152" s="118"/>
      <c r="AF152" s="106"/>
      <c r="AG152" s="106"/>
      <c r="AH152" s="106"/>
      <c r="AI152" s="106">
        <f t="shared" si="117"/>
        <v>0</v>
      </c>
      <c r="AJ152" s="106">
        <f t="shared" si="118"/>
        <v>0</v>
      </c>
      <c r="AK152" s="106">
        <f t="shared" si="119"/>
        <v>0</v>
      </c>
      <c r="AL152" s="132">
        <f t="shared" si="120"/>
        <v>0</v>
      </c>
      <c r="AM152" s="198">
        <f t="shared" si="121"/>
        <v>0</v>
      </c>
      <c r="AN152" s="95">
        <v>0</v>
      </c>
      <c r="AO152" s="95">
        <v>3276</v>
      </c>
      <c r="AP152" s="95">
        <v>0</v>
      </c>
      <c r="AQ152" s="106">
        <f t="shared" si="122"/>
        <v>3276</v>
      </c>
      <c r="AR152" s="193">
        <f t="shared" si="123"/>
        <v>3072.7569600000002</v>
      </c>
      <c r="AS152" s="95">
        <v>0</v>
      </c>
      <c r="AT152" s="95">
        <v>0</v>
      </c>
      <c r="AU152" s="95">
        <v>0</v>
      </c>
      <c r="AV152" s="95">
        <f t="shared" si="104"/>
        <v>0</v>
      </c>
      <c r="AW152" s="95">
        <v>0</v>
      </c>
      <c r="AX152" s="95">
        <v>0</v>
      </c>
      <c r="AY152" s="95">
        <v>0</v>
      </c>
      <c r="AZ152" s="95">
        <f t="shared" si="105"/>
        <v>0</v>
      </c>
      <c r="BA152" s="197">
        <f t="shared" si="106"/>
        <v>0</v>
      </c>
      <c r="BB152" s="94">
        <f t="shared" si="124"/>
        <v>0</v>
      </c>
      <c r="BC152" s="105">
        <f t="shared" si="137"/>
        <v>0</v>
      </c>
      <c r="BD152" s="94">
        <f t="shared" si="125"/>
        <v>3276</v>
      </c>
      <c r="BE152" s="94">
        <f t="shared" si="138"/>
        <v>3072.7569600000002</v>
      </c>
      <c r="BF152" s="94">
        <f t="shared" si="126"/>
        <v>0</v>
      </c>
      <c r="BG152" s="94">
        <f t="shared" si="139"/>
        <v>0</v>
      </c>
      <c r="BH152" s="94">
        <f t="shared" si="127"/>
        <v>3276</v>
      </c>
      <c r="BI152" s="94">
        <f t="shared" si="128"/>
        <v>3072.7569600000002</v>
      </c>
      <c r="BJ152" s="186">
        <f t="shared" si="129"/>
        <v>0</v>
      </c>
      <c r="BK152" s="182">
        <f t="shared" si="130"/>
        <v>0</v>
      </c>
      <c r="BL152" s="98">
        <f t="shared" si="131"/>
        <v>0</v>
      </c>
      <c r="BM152" s="99"/>
      <c r="BN152" s="99"/>
      <c r="BO152" s="182"/>
      <c r="BP152" s="182"/>
      <c r="BQ152" s="182"/>
      <c r="BR152" s="182"/>
      <c r="BS152" s="95"/>
      <c r="BT152" s="182"/>
      <c r="BU152" s="182">
        <f t="shared" si="140"/>
        <v>0</v>
      </c>
      <c r="BV152" s="95"/>
      <c r="BW152" s="182"/>
      <c r="BX152" s="182"/>
      <c r="BY152" s="95"/>
      <c r="BZ152" s="182"/>
      <c r="CA152" s="95">
        <f t="shared" si="132"/>
        <v>0</v>
      </c>
      <c r="CB152" s="95"/>
      <c r="CC152" s="182"/>
      <c r="CD152" s="95"/>
      <c r="CE152" s="95"/>
      <c r="CF152" s="182"/>
      <c r="CG152" s="95"/>
      <c r="CH152" s="95"/>
      <c r="CI152" s="182"/>
      <c r="CJ152" s="95"/>
      <c r="CK152" s="95"/>
      <c r="CL152" s="182"/>
      <c r="CM152" s="95"/>
      <c r="CN152" s="182">
        <f t="shared" si="133"/>
        <v>0</v>
      </c>
      <c r="CO152" s="94">
        <v>0</v>
      </c>
      <c r="CP152" s="182">
        <f t="shared" si="141"/>
        <v>0</v>
      </c>
      <c r="CQ152" s="95">
        <f t="shared" si="134"/>
        <v>3276</v>
      </c>
      <c r="CR152" s="115">
        <f t="shared" si="113"/>
        <v>0</v>
      </c>
      <c r="CS152" s="113"/>
      <c r="CT152" s="113"/>
      <c r="CU152" s="187"/>
      <c r="CV152" s="187"/>
      <c r="CW152" s="240"/>
    </row>
    <row r="153" spans="1:101" s="51" customFormat="1" ht="19.899999999999999" customHeight="1" x14ac:dyDescent="0.3">
      <c r="A153" s="103"/>
      <c r="B153" s="50"/>
      <c r="C153" s="103" t="s">
        <v>254</v>
      </c>
      <c r="D153" s="104" t="s">
        <v>255</v>
      </c>
      <c r="E153" s="104"/>
      <c r="F153" s="94">
        <v>2921</v>
      </c>
      <c r="G153" s="182">
        <v>0.86</v>
      </c>
      <c r="H153" s="95">
        <f t="shared" si="114"/>
        <v>2512.06</v>
      </c>
      <c r="I153" s="93"/>
      <c r="J153" s="96" t="s">
        <v>256</v>
      </c>
      <c r="K153" s="49" t="s">
        <v>257</v>
      </c>
      <c r="L153" s="93"/>
      <c r="M153" s="97" t="s">
        <v>265</v>
      </c>
      <c r="N153" s="97" t="s">
        <v>266</v>
      </c>
      <c r="O153" s="183"/>
      <c r="P153" s="183"/>
      <c r="Q153" s="183"/>
      <c r="R153" s="131"/>
      <c r="S153" s="183"/>
      <c r="T153" s="183"/>
      <c r="U153" s="183"/>
      <c r="V153" s="183"/>
      <c r="W153" s="183"/>
      <c r="X153" s="183"/>
      <c r="Y153" s="183"/>
      <c r="Z153" s="183"/>
      <c r="AA153" s="183"/>
      <c r="AB153" s="184">
        <v>0.93413999999999997</v>
      </c>
      <c r="AC153" s="184">
        <v>0.93413999999999997</v>
      </c>
      <c r="AD153" s="95"/>
      <c r="AE153" s="95"/>
      <c r="AF153" s="95"/>
      <c r="AG153" s="95"/>
      <c r="AH153" s="95"/>
      <c r="AI153" s="95">
        <f t="shared" si="117"/>
        <v>0</v>
      </c>
      <c r="AJ153" s="95">
        <f t="shared" si="118"/>
        <v>0</v>
      </c>
      <c r="AK153" s="95">
        <f t="shared" si="119"/>
        <v>0</v>
      </c>
      <c r="AL153" s="133">
        <f t="shared" si="120"/>
        <v>0</v>
      </c>
      <c r="AM153" s="199">
        <f t="shared" si="121"/>
        <v>0</v>
      </c>
      <c r="AN153" s="106">
        <v>0</v>
      </c>
      <c r="AO153" s="106">
        <v>3300</v>
      </c>
      <c r="AP153" s="106">
        <v>0</v>
      </c>
      <c r="AQ153" s="95">
        <f t="shared" si="122"/>
        <v>3300</v>
      </c>
      <c r="AR153" s="183">
        <f t="shared" si="123"/>
        <v>3082.6619999999998</v>
      </c>
      <c r="AS153" s="106">
        <v>0</v>
      </c>
      <c r="AT153" s="106">
        <v>0</v>
      </c>
      <c r="AU153" s="106">
        <v>0</v>
      </c>
      <c r="AV153" s="106">
        <f t="shared" si="104"/>
        <v>0</v>
      </c>
      <c r="AW153" s="106">
        <v>0</v>
      </c>
      <c r="AX153" s="106">
        <v>0</v>
      </c>
      <c r="AY153" s="106">
        <v>0</v>
      </c>
      <c r="AZ153" s="106">
        <f t="shared" si="105"/>
        <v>0</v>
      </c>
      <c r="BA153" s="197">
        <f t="shared" si="106"/>
        <v>0</v>
      </c>
      <c r="BB153" s="105">
        <f t="shared" si="124"/>
        <v>0</v>
      </c>
      <c r="BC153" s="105">
        <f t="shared" si="137"/>
        <v>0</v>
      </c>
      <c r="BD153" s="105">
        <f t="shared" si="125"/>
        <v>3300</v>
      </c>
      <c r="BE153" s="105">
        <f t="shared" si="138"/>
        <v>3082.6619999999998</v>
      </c>
      <c r="BF153" s="105">
        <f t="shared" si="126"/>
        <v>0</v>
      </c>
      <c r="BG153" s="105">
        <f t="shared" si="139"/>
        <v>0</v>
      </c>
      <c r="BH153" s="105">
        <f t="shared" si="127"/>
        <v>3300</v>
      </c>
      <c r="BI153" s="105">
        <f t="shared" si="128"/>
        <v>3082.6619999999998</v>
      </c>
      <c r="BJ153" s="186">
        <f t="shared" si="129"/>
        <v>0</v>
      </c>
      <c r="BK153" s="182">
        <f t="shared" si="130"/>
        <v>0</v>
      </c>
      <c r="BL153" s="98">
        <f t="shared" si="131"/>
        <v>0</v>
      </c>
      <c r="BM153" s="99"/>
      <c r="BN153" s="99"/>
      <c r="BO153" s="196"/>
      <c r="BP153" s="196"/>
      <c r="BQ153" s="196"/>
      <c r="BR153" s="196"/>
      <c r="BS153" s="106"/>
      <c r="BT153" s="196"/>
      <c r="BU153" s="182">
        <f t="shared" si="140"/>
        <v>0</v>
      </c>
      <c r="BV153" s="106"/>
      <c r="BW153" s="196"/>
      <c r="BX153" s="196"/>
      <c r="BY153" s="106"/>
      <c r="BZ153" s="196"/>
      <c r="CA153" s="95">
        <f t="shared" si="132"/>
        <v>0</v>
      </c>
      <c r="CB153" s="106"/>
      <c r="CC153" s="196"/>
      <c r="CD153" s="106"/>
      <c r="CE153" s="106"/>
      <c r="CF153" s="196"/>
      <c r="CG153" s="106"/>
      <c r="CH153" s="106"/>
      <c r="CI153" s="196"/>
      <c r="CJ153" s="106"/>
      <c r="CK153" s="106"/>
      <c r="CL153" s="196"/>
      <c r="CM153" s="106"/>
      <c r="CN153" s="182">
        <f t="shared" si="133"/>
        <v>0</v>
      </c>
      <c r="CO153" s="105">
        <v>0</v>
      </c>
      <c r="CP153" s="182">
        <f t="shared" si="141"/>
        <v>0</v>
      </c>
      <c r="CQ153" s="95">
        <f t="shared" si="134"/>
        <v>3300</v>
      </c>
      <c r="CR153" s="115">
        <f t="shared" si="113"/>
        <v>0</v>
      </c>
      <c r="CS153" s="113"/>
      <c r="CT153" s="113"/>
      <c r="CU153" s="187"/>
      <c r="CV153" s="187"/>
      <c r="CW153" s="240"/>
    </row>
    <row r="154" spans="1:101" s="51" customFormat="1" ht="19.899999999999999" customHeight="1" x14ac:dyDescent="0.3">
      <c r="A154" s="92"/>
      <c r="B154" s="49"/>
      <c r="C154" s="92" t="s">
        <v>254</v>
      </c>
      <c r="D154" s="93" t="s">
        <v>255</v>
      </c>
      <c r="E154" s="93"/>
      <c r="F154" s="105">
        <v>2921</v>
      </c>
      <c r="G154" s="196">
        <v>0.86</v>
      </c>
      <c r="H154" s="106">
        <f t="shared" si="114"/>
        <v>2512.06</v>
      </c>
      <c r="I154" s="104"/>
      <c r="J154" s="107" t="s">
        <v>256</v>
      </c>
      <c r="K154" s="50" t="s">
        <v>257</v>
      </c>
      <c r="L154" s="104"/>
      <c r="M154" s="108" t="s">
        <v>267</v>
      </c>
      <c r="N154" s="108" t="s">
        <v>268</v>
      </c>
      <c r="O154" s="193"/>
      <c r="P154" s="193"/>
      <c r="Q154" s="193"/>
      <c r="R154" s="109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4">
        <v>0.95326</v>
      </c>
      <c r="AC154" s="194">
        <v>0.95326</v>
      </c>
      <c r="AD154" s="106"/>
      <c r="AE154" s="118"/>
      <c r="AF154" s="106"/>
      <c r="AG154" s="106"/>
      <c r="AH154" s="106"/>
      <c r="AI154" s="106">
        <f t="shared" si="117"/>
        <v>0</v>
      </c>
      <c r="AJ154" s="106">
        <f t="shared" si="118"/>
        <v>0</v>
      </c>
      <c r="AK154" s="106">
        <f t="shared" si="119"/>
        <v>0</v>
      </c>
      <c r="AL154" s="132">
        <f t="shared" si="120"/>
        <v>0</v>
      </c>
      <c r="AM154" s="198">
        <f t="shared" si="121"/>
        <v>0</v>
      </c>
      <c r="AN154" s="95">
        <v>0</v>
      </c>
      <c r="AO154" s="95">
        <v>2597</v>
      </c>
      <c r="AP154" s="95">
        <v>0</v>
      </c>
      <c r="AQ154" s="106">
        <f t="shared" si="122"/>
        <v>2597</v>
      </c>
      <c r="AR154" s="193">
        <f t="shared" si="123"/>
        <v>2475.6162199999999</v>
      </c>
      <c r="AS154" s="95">
        <v>0</v>
      </c>
      <c r="AT154" s="95">
        <v>0</v>
      </c>
      <c r="AU154" s="95">
        <v>0</v>
      </c>
      <c r="AV154" s="95">
        <f t="shared" si="104"/>
        <v>0</v>
      </c>
      <c r="AW154" s="95">
        <v>0</v>
      </c>
      <c r="AX154" s="95">
        <v>0</v>
      </c>
      <c r="AY154" s="95">
        <v>0</v>
      </c>
      <c r="AZ154" s="95">
        <f t="shared" si="105"/>
        <v>0</v>
      </c>
      <c r="BA154" s="197">
        <f t="shared" si="106"/>
        <v>0</v>
      </c>
      <c r="BB154" s="94">
        <f t="shared" si="124"/>
        <v>0</v>
      </c>
      <c r="BC154" s="105">
        <f t="shared" si="137"/>
        <v>0</v>
      </c>
      <c r="BD154" s="94">
        <f t="shared" si="125"/>
        <v>2597</v>
      </c>
      <c r="BE154" s="94">
        <f t="shared" si="138"/>
        <v>2475.6162199999999</v>
      </c>
      <c r="BF154" s="94">
        <f t="shared" si="126"/>
        <v>0</v>
      </c>
      <c r="BG154" s="94">
        <f t="shared" si="139"/>
        <v>0</v>
      </c>
      <c r="BH154" s="94">
        <f t="shared" si="127"/>
        <v>2597</v>
      </c>
      <c r="BI154" s="94">
        <f t="shared" si="128"/>
        <v>2475.6162199999999</v>
      </c>
      <c r="BJ154" s="186">
        <f t="shared" si="129"/>
        <v>0</v>
      </c>
      <c r="BK154" s="182">
        <f t="shared" si="130"/>
        <v>0</v>
      </c>
      <c r="BL154" s="98">
        <f t="shared" si="131"/>
        <v>0</v>
      </c>
      <c r="BM154" s="99"/>
      <c r="BN154" s="99"/>
      <c r="BO154" s="182"/>
      <c r="BP154" s="182"/>
      <c r="BQ154" s="182"/>
      <c r="BR154" s="182"/>
      <c r="BS154" s="95"/>
      <c r="BT154" s="182"/>
      <c r="BU154" s="182">
        <f t="shared" si="140"/>
        <v>0</v>
      </c>
      <c r="BV154" s="95"/>
      <c r="BW154" s="182"/>
      <c r="BX154" s="182"/>
      <c r="BY154" s="95"/>
      <c r="BZ154" s="182"/>
      <c r="CA154" s="95">
        <f t="shared" si="132"/>
        <v>0</v>
      </c>
      <c r="CB154" s="95"/>
      <c r="CC154" s="182"/>
      <c r="CD154" s="95"/>
      <c r="CE154" s="95"/>
      <c r="CF154" s="182"/>
      <c r="CG154" s="95"/>
      <c r="CH154" s="95"/>
      <c r="CI154" s="182"/>
      <c r="CJ154" s="95"/>
      <c r="CK154" s="95"/>
      <c r="CL154" s="182"/>
      <c r="CM154" s="95"/>
      <c r="CN154" s="182">
        <f t="shared" si="133"/>
        <v>0</v>
      </c>
      <c r="CO154" s="94">
        <v>0</v>
      </c>
      <c r="CP154" s="182">
        <f t="shared" si="141"/>
        <v>0</v>
      </c>
      <c r="CQ154" s="95">
        <f t="shared" si="134"/>
        <v>2597</v>
      </c>
      <c r="CR154" s="115">
        <f t="shared" si="113"/>
        <v>0</v>
      </c>
      <c r="CS154" s="113"/>
      <c r="CT154" s="113"/>
      <c r="CU154" s="187"/>
      <c r="CV154" s="187"/>
      <c r="CW154" s="240"/>
    </row>
    <row r="155" spans="1:101" s="51" customFormat="1" ht="19.899999999999999" customHeight="1" x14ac:dyDescent="0.3">
      <c r="A155" s="148"/>
      <c r="B155" s="50"/>
      <c r="C155" s="148" t="s">
        <v>254</v>
      </c>
      <c r="D155" s="104" t="s">
        <v>255</v>
      </c>
      <c r="E155" s="104"/>
      <c r="F155" s="94">
        <v>2921</v>
      </c>
      <c r="G155" s="182">
        <v>0.86</v>
      </c>
      <c r="H155" s="95">
        <f t="shared" si="114"/>
        <v>2512.06</v>
      </c>
      <c r="I155" s="93"/>
      <c r="J155" s="96" t="s">
        <v>256</v>
      </c>
      <c r="K155" s="49" t="s">
        <v>257</v>
      </c>
      <c r="L155" s="93"/>
      <c r="M155" s="97" t="s">
        <v>269</v>
      </c>
      <c r="N155" s="97" t="s">
        <v>270</v>
      </c>
      <c r="O155" s="183"/>
      <c r="P155" s="183"/>
      <c r="Q155" s="183"/>
      <c r="R155" s="131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4">
        <v>0.79652000000000001</v>
      </c>
      <c r="AC155" s="184">
        <v>0.79652000000000001</v>
      </c>
      <c r="AD155" s="95"/>
      <c r="AE155" s="95"/>
      <c r="AF155" s="95"/>
      <c r="AG155" s="95"/>
      <c r="AH155" s="95"/>
      <c r="AI155" s="95">
        <f t="shared" si="117"/>
        <v>0</v>
      </c>
      <c r="AJ155" s="95">
        <f t="shared" si="118"/>
        <v>0</v>
      </c>
      <c r="AK155" s="95">
        <f t="shared" si="119"/>
        <v>0</v>
      </c>
      <c r="AL155" s="133">
        <f t="shared" si="120"/>
        <v>0</v>
      </c>
      <c r="AM155" s="199">
        <f t="shared" si="121"/>
        <v>0</v>
      </c>
      <c r="AN155" s="106">
        <v>0</v>
      </c>
      <c r="AO155" s="106">
        <v>3381</v>
      </c>
      <c r="AP155" s="106">
        <v>0</v>
      </c>
      <c r="AQ155" s="95">
        <f t="shared" si="122"/>
        <v>3381</v>
      </c>
      <c r="AR155" s="183">
        <f t="shared" si="123"/>
        <v>2693.0341199999998</v>
      </c>
      <c r="AS155" s="106">
        <v>0</v>
      </c>
      <c r="AT155" s="106">
        <v>0</v>
      </c>
      <c r="AU155" s="106">
        <v>0</v>
      </c>
      <c r="AV155" s="106">
        <f t="shared" si="104"/>
        <v>0</v>
      </c>
      <c r="AW155" s="106">
        <v>0</v>
      </c>
      <c r="AX155" s="106">
        <v>0</v>
      </c>
      <c r="AY155" s="106">
        <v>0</v>
      </c>
      <c r="AZ155" s="106">
        <f t="shared" si="105"/>
        <v>0</v>
      </c>
      <c r="BA155" s="197">
        <f t="shared" si="106"/>
        <v>0</v>
      </c>
      <c r="BB155" s="105">
        <f t="shared" si="124"/>
        <v>0</v>
      </c>
      <c r="BC155" s="105">
        <f t="shared" si="137"/>
        <v>0</v>
      </c>
      <c r="BD155" s="105">
        <f t="shared" si="125"/>
        <v>3381</v>
      </c>
      <c r="BE155" s="105">
        <f t="shared" si="138"/>
        <v>2693.0341199999998</v>
      </c>
      <c r="BF155" s="105">
        <f t="shared" si="126"/>
        <v>0</v>
      </c>
      <c r="BG155" s="105">
        <f t="shared" si="139"/>
        <v>0</v>
      </c>
      <c r="BH155" s="105">
        <f t="shared" si="127"/>
        <v>3381</v>
      </c>
      <c r="BI155" s="105">
        <f t="shared" si="128"/>
        <v>2693.0341199999998</v>
      </c>
      <c r="BJ155" s="186">
        <f t="shared" si="129"/>
        <v>0</v>
      </c>
      <c r="BK155" s="182">
        <f t="shared" si="130"/>
        <v>0</v>
      </c>
      <c r="BL155" s="98">
        <f t="shared" si="131"/>
        <v>0</v>
      </c>
      <c r="BM155" s="99"/>
      <c r="BN155" s="99"/>
      <c r="BO155" s="196"/>
      <c r="BP155" s="196"/>
      <c r="BQ155" s="196"/>
      <c r="BR155" s="196"/>
      <c r="BS155" s="106"/>
      <c r="BT155" s="196"/>
      <c r="BU155" s="182">
        <f t="shared" si="140"/>
        <v>0</v>
      </c>
      <c r="BV155" s="106"/>
      <c r="BW155" s="196"/>
      <c r="BX155" s="196"/>
      <c r="BY155" s="106"/>
      <c r="BZ155" s="196"/>
      <c r="CA155" s="95">
        <f t="shared" si="132"/>
        <v>0</v>
      </c>
      <c r="CB155" s="106"/>
      <c r="CC155" s="196"/>
      <c r="CD155" s="106"/>
      <c r="CE155" s="106"/>
      <c r="CF155" s="196"/>
      <c r="CG155" s="106"/>
      <c r="CH155" s="106"/>
      <c r="CI155" s="196"/>
      <c r="CJ155" s="106"/>
      <c r="CK155" s="106"/>
      <c r="CL155" s="196"/>
      <c r="CM155" s="106"/>
      <c r="CN155" s="182">
        <f t="shared" si="133"/>
        <v>0</v>
      </c>
      <c r="CO155" s="105">
        <v>0</v>
      </c>
      <c r="CP155" s="182">
        <f t="shared" si="141"/>
        <v>0</v>
      </c>
      <c r="CQ155" s="95">
        <f t="shared" si="134"/>
        <v>3381</v>
      </c>
      <c r="CR155" s="115">
        <f t="shared" si="113"/>
        <v>0</v>
      </c>
      <c r="CS155" s="113"/>
      <c r="CT155" s="113"/>
      <c r="CU155" s="187"/>
      <c r="CV155" s="187"/>
      <c r="CW155" s="240"/>
    </row>
    <row r="156" spans="1:101" s="51" customFormat="1" ht="19.899999999999999" customHeight="1" x14ac:dyDescent="0.3">
      <c r="A156" s="92"/>
      <c r="B156" s="49"/>
      <c r="C156" s="92" t="s">
        <v>254</v>
      </c>
      <c r="D156" s="93" t="s">
        <v>255</v>
      </c>
      <c r="E156" s="93"/>
      <c r="F156" s="105">
        <v>2921</v>
      </c>
      <c r="G156" s="196">
        <v>0.86</v>
      </c>
      <c r="H156" s="106">
        <f t="shared" si="114"/>
        <v>2512.06</v>
      </c>
      <c r="I156" s="104"/>
      <c r="J156" s="107" t="s">
        <v>256</v>
      </c>
      <c r="K156" s="50" t="s">
        <v>257</v>
      </c>
      <c r="L156" s="104"/>
      <c r="M156" s="108" t="s">
        <v>271</v>
      </c>
      <c r="N156" s="108" t="s">
        <v>272</v>
      </c>
      <c r="O156" s="193"/>
      <c r="P156" s="193"/>
      <c r="Q156" s="193"/>
      <c r="R156" s="109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4">
        <v>0.80661000000000005</v>
      </c>
      <c r="AC156" s="194">
        <v>0.80661000000000005</v>
      </c>
      <c r="AD156" s="106"/>
      <c r="AE156" s="118"/>
      <c r="AF156" s="106"/>
      <c r="AG156" s="106"/>
      <c r="AH156" s="106"/>
      <c r="AI156" s="106">
        <f t="shared" si="117"/>
        <v>0</v>
      </c>
      <c r="AJ156" s="106">
        <f t="shared" si="118"/>
        <v>0</v>
      </c>
      <c r="AK156" s="106">
        <f t="shared" si="119"/>
        <v>0</v>
      </c>
      <c r="AL156" s="132">
        <f t="shared" si="120"/>
        <v>0</v>
      </c>
      <c r="AM156" s="198">
        <f t="shared" si="121"/>
        <v>0</v>
      </c>
      <c r="AN156" s="95">
        <v>0</v>
      </c>
      <c r="AO156" s="95">
        <v>2855</v>
      </c>
      <c r="AP156" s="95">
        <v>0</v>
      </c>
      <c r="AQ156" s="106">
        <f t="shared" si="122"/>
        <v>2855</v>
      </c>
      <c r="AR156" s="193">
        <f t="shared" si="123"/>
        <v>2302.8715500000003</v>
      </c>
      <c r="AS156" s="95">
        <v>0</v>
      </c>
      <c r="AT156" s="95">
        <v>0</v>
      </c>
      <c r="AU156" s="95">
        <v>0</v>
      </c>
      <c r="AV156" s="95">
        <f t="shared" si="104"/>
        <v>0</v>
      </c>
      <c r="AW156" s="95">
        <v>0</v>
      </c>
      <c r="AX156" s="95">
        <v>0</v>
      </c>
      <c r="AY156" s="95">
        <v>0</v>
      </c>
      <c r="AZ156" s="95">
        <f t="shared" si="105"/>
        <v>0</v>
      </c>
      <c r="BA156" s="197">
        <f t="shared" si="106"/>
        <v>0</v>
      </c>
      <c r="BB156" s="94">
        <f t="shared" si="124"/>
        <v>0</v>
      </c>
      <c r="BC156" s="105">
        <f t="shared" si="137"/>
        <v>0</v>
      </c>
      <c r="BD156" s="94">
        <f t="shared" si="125"/>
        <v>2855</v>
      </c>
      <c r="BE156" s="94">
        <f t="shared" si="138"/>
        <v>2302.8715500000003</v>
      </c>
      <c r="BF156" s="94">
        <f t="shared" si="126"/>
        <v>0</v>
      </c>
      <c r="BG156" s="94">
        <f t="shared" si="139"/>
        <v>0</v>
      </c>
      <c r="BH156" s="94">
        <f t="shared" si="127"/>
        <v>2855</v>
      </c>
      <c r="BI156" s="94">
        <f t="shared" si="128"/>
        <v>2302.8715500000003</v>
      </c>
      <c r="BJ156" s="186">
        <f t="shared" si="129"/>
        <v>0</v>
      </c>
      <c r="BK156" s="182">
        <f t="shared" si="130"/>
        <v>0</v>
      </c>
      <c r="BL156" s="98">
        <f t="shared" si="131"/>
        <v>0</v>
      </c>
      <c r="BM156" s="99"/>
      <c r="BN156" s="99"/>
      <c r="BO156" s="182"/>
      <c r="BP156" s="182"/>
      <c r="BQ156" s="182"/>
      <c r="BR156" s="182"/>
      <c r="BS156" s="95"/>
      <c r="BT156" s="182"/>
      <c r="BU156" s="182">
        <f t="shared" si="140"/>
        <v>0</v>
      </c>
      <c r="BV156" s="95"/>
      <c r="BW156" s="182"/>
      <c r="BX156" s="182"/>
      <c r="BY156" s="95"/>
      <c r="BZ156" s="182"/>
      <c r="CA156" s="95">
        <f t="shared" si="132"/>
        <v>0</v>
      </c>
      <c r="CB156" s="95"/>
      <c r="CC156" s="182"/>
      <c r="CD156" s="95"/>
      <c r="CE156" s="95"/>
      <c r="CF156" s="182"/>
      <c r="CG156" s="95"/>
      <c r="CH156" s="95"/>
      <c r="CI156" s="182"/>
      <c r="CJ156" s="95"/>
      <c r="CK156" s="95"/>
      <c r="CL156" s="182"/>
      <c r="CM156" s="95"/>
      <c r="CN156" s="182">
        <f t="shared" si="133"/>
        <v>0</v>
      </c>
      <c r="CO156" s="94">
        <v>0</v>
      </c>
      <c r="CP156" s="182">
        <f t="shared" si="141"/>
        <v>0</v>
      </c>
      <c r="CQ156" s="95">
        <f t="shared" si="134"/>
        <v>2855</v>
      </c>
      <c r="CR156" s="115">
        <f t="shared" si="113"/>
        <v>0</v>
      </c>
      <c r="CS156" s="113"/>
      <c r="CT156" s="113"/>
      <c r="CU156" s="187"/>
      <c r="CV156" s="187"/>
      <c r="CW156" s="240"/>
    </row>
    <row r="157" spans="1:101" s="51" customFormat="1" ht="19.899999999999999" customHeight="1" x14ac:dyDescent="0.3">
      <c r="A157" s="103"/>
      <c r="B157" s="50"/>
      <c r="C157" s="103" t="s">
        <v>254</v>
      </c>
      <c r="D157" s="104" t="s">
        <v>255</v>
      </c>
      <c r="E157" s="104"/>
      <c r="F157" s="94">
        <v>2921</v>
      </c>
      <c r="G157" s="182">
        <v>0.86</v>
      </c>
      <c r="H157" s="95">
        <f t="shared" si="114"/>
        <v>2512.06</v>
      </c>
      <c r="I157" s="93"/>
      <c r="J157" s="96" t="s">
        <v>256</v>
      </c>
      <c r="K157" s="49" t="s">
        <v>257</v>
      </c>
      <c r="L157" s="93"/>
      <c r="M157" s="97" t="s">
        <v>207</v>
      </c>
      <c r="N157" s="97" t="s">
        <v>273</v>
      </c>
      <c r="O157" s="183"/>
      <c r="P157" s="183"/>
      <c r="Q157" s="183"/>
      <c r="R157" s="131"/>
      <c r="S157" s="183"/>
      <c r="T157" s="183"/>
      <c r="U157" s="183"/>
      <c r="V157" s="183"/>
      <c r="W157" s="183"/>
      <c r="X157" s="183"/>
      <c r="Y157" s="183"/>
      <c r="Z157" s="183"/>
      <c r="AA157" s="183"/>
      <c r="AB157" s="184">
        <v>0.80717000000000005</v>
      </c>
      <c r="AC157" s="184">
        <v>0.80717000000000005</v>
      </c>
      <c r="AD157" s="95"/>
      <c r="AE157" s="95"/>
      <c r="AF157" s="95"/>
      <c r="AG157" s="95"/>
      <c r="AH157" s="95"/>
      <c r="AI157" s="95">
        <f t="shared" si="117"/>
        <v>0</v>
      </c>
      <c r="AJ157" s="95">
        <f t="shared" si="118"/>
        <v>0</v>
      </c>
      <c r="AK157" s="95">
        <f t="shared" si="119"/>
        <v>0</v>
      </c>
      <c r="AL157" s="133">
        <f t="shared" si="120"/>
        <v>0</v>
      </c>
      <c r="AM157" s="199">
        <f t="shared" si="121"/>
        <v>0</v>
      </c>
      <c r="AN157" s="106">
        <v>0</v>
      </c>
      <c r="AO157" s="106">
        <v>3316</v>
      </c>
      <c r="AP157" s="106">
        <v>0</v>
      </c>
      <c r="AQ157" s="95">
        <f t="shared" si="122"/>
        <v>3316</v>
      </c>
      <c r="AR157" s="183">
        <f t="shared" si="123"/>
        <v>2676.5757200000003</v>
      </c>
      <c r="AS157" s="106">
        <v>0</v>
      </c>
      <c r="AT157" s="106">
        <v>0</v>
      </c>
      <c r="AU157" s="106">
        <v>0</v>
      </c>
      <c r="AV157" s="106">
        <f t="shared" ref="AV157:AV188" si="142">SUM(AS157:AU157)</f>
        <v>0</v>
      </c>
      <c r="AW157" s="106">
        <v>0</v>
      </c>
      <c r="AX157" s="106">
        <v>0</v>
      </c>
      <c r="AY157" s="106">
        <v>0</v>
      </c>
      <c r="AZ157" s="106">
        <f t="shared" ref="AZ157:AZ188" si="143">SUM(AW157:AY157)</f>
        <v>0</v>
      </c>
      <c r="BA157" s="197">
        <f t="shared" ref="BA157:BA188" si="144">(AW157*AB157)+((AX157+AY157)*AC157)</f>
        <v>0</v>
      </c>
      <c r="BB157" s="105">
        <f t="shared" si="124"/>
        <v>0</v>
      </c>
      <c r="BC157" s="105">
        <f t="shared" si="137"/>
        <v>0</v>
      </c>
      <c r="BD157" s="105">
        <f t="shared" si="125"/>
        <v>3316</v>
      </c>
      <c r="BE157" s="105">
        <f t="shared" si="138"/>
        <v>2676.5757200000003</v>
      </c>
      <c r="BF157" s="105">
        <f t="shared" si="126"/>
        <v>0</v>
      </c>
      <c r="BG157" s="105">
        <f t="shared" si="139"/>
        <v>0</v>
      </c>
      <c r="BH157" s="105">
        <f t="shared" si="127"/>
        <v>3316</v>
      </c>
      <c r="BI157" s="105">
        <f t="shared" si="128"/>
        <v>2676.5757200000003</v>
      </c>
      <c r="BJ157" s="186">
        <f t="shared" si="129"/>
        <v>0</v>
      </c>
      <c r="BK157" s="182">
        <f t="shared" si="130"/>
        <v>0</v>
      </c>
      <c r="BL157" s="98">
        <f t="shared" si="131"/>
        <v>0</v>
      </c>
      <c r="BM157" s="99"/>
      <c r="BN157" s="99"/>
      <c r="BO157" s="196"/>
      <c r="BP157" s="196"/>
      <c r="BQ157" s="196"/>
      <c r="BR157" s="196"/>
      <c r="BS157" s="106"/>
      <c r="BT157" s="196"/>
      <c r="BU157" s="182">
        <f t="shared" si="140"/>
        <v>0</v>
      </c>
      <c r="BV157" s="106"/>
      <c r="BW157" s="196"/>
      <c r="BX157" s="196"/>
      <c r="BY157" s="106"/>
      <c r="BZ157" s="196"/>
      <c r="CA157" s="95">
        <f t="shared" si="132"/>
        <v>0</v>
      </c>
      <c r="CB157" s="106"/>
      <c r="CC157" s="196"/>
      <c r="CD157" s="106"/>
      <c r="CE157" s="106"/>
      <c r="CF157" s="196"/>
      <c r="CG157" s="106"/>
      <c r="CH157" s="106"/>
      <c r="CI157" s="196"/>
      <c r="CJ157" s="106"/>
      <c r="CK157" s="106"/>
      <c r="CL157" s="196"/>
      <c r="CM157" s="106"/>
      <c r="CN157" s="182">
        <f t="shared" si="133"/>
        <v>0</v>
      </c>
      <c r="CO157" s="105">
        <v>0</v>
      </c>
      <c r="CP157" s="182">
        <f t="shared" si="141"/>
        <v>0</v>
      </c>
      <c r="CQ157" s="95">
        <f t="shared" si="134"/>
        <v>3316</v>
      </c>
      <c r="CR157" s="115">
        <f t="shared" ref="CR157:CR175" si="145">AV157-AZ157-BS157-BV157-BY157-CB157</f>
        <v>0</v>
      </c>
      <c r="CS157" s="113"/>
      <c r="CT157" s="113"/>
      <c r="CU157" s="187"/>
      <c r="CV157" s="187"/>
      <c r="CW157" s="240"/>
    </row>
    <row r="158" spans="1:101" s="51" customFormat="1" ht="19.899999999999999" customHeight="1" x14ac:dyDescent="0.3">
      <c r="A158" s="92"/>
      <c r="B158" s="49"/>
      <c r="C158" s="92" t="s">
        <v>254</v>
      </c>
      <c r="D158" s="93" t="s">
        <v>255</v>
      </c>
      <c r="E158" s="93"/>
      <c r="F158" s="105">
        <v>2921</v>
      </c>
      <c r="G158" s="196">
        <v>0.86</v>
      </c>
      <c r="H158" s="106">
        <f t="shared" si="114"/>
        <v>2512.06</v>
      </c>
      <c r="I158" s="104"/>
      <c r="J158" s="107" t="s">
        <v>256</v>
      </c>
      <c r="K158" s="50" t="s">
        <v>257</v>
      </c>
      <c r="L158" s="104"/>
      <c r="M158" s="108" t="s">
        <v>173</v>
      </c>
      <c r="N158" s="108" t="s">
        <v>274</v>
      </c>
      <c r="O158" s="193"/>
      <c r="P158" s="193"/>
      <c r="Q158" s="193"/>
      <c r="R158" s="109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4">
        <v>0.79605000000000004</v>
      </c>
      <c r="AC158" s="194">
        <v>0.79605000000000004</v>
      </c>
      <c r="AD158" s="106"/>
      <c r="AE158" s="118"/>
      <c r="AF158" s="106"/>
      <c r="AG158" s="106"/>
      <c r="AH158" s="106"/>
      <c r="AI158" s="106">
        <f t="shared" si="117"/>
        <v>0</v>
      </c>
      <c r="AJ158" s="106">
        <f t="shared" si="118"/>
        <v>0</v>
      </c>
      <c r="AK158" s="106">
        <f t="shared" si="119"/>
        <v>0</v>
      </c>
      <c r="AL158" s="132">
        <f t="shared" si="120"/>
        <v>0</v>
      </c>
      <c r="AM158" s="198">
        <f t="shared" si="121"/>
        <v>0</v>
      </c>
      <c r="AN158" s="95">
        <v>0</v>
      </c>
      <c r="AO158" s="95">
        <v>3998</v>
      </c>
      <c r="AP158" s="95">
        <v>0</v>
      </c>
      <c r="AQ158" s="106">
        <f t="shared" si="122"/>
        <v>3998</v>
      </c>
      <c r="AR158" s="193">
        <f t="shared" si="123"/>
        <v>3182.6079</v>
      </c>
      <c r="AS158" s="95">
        <v>0</v>
      </c>
      <c r="AT158" s="95">
        <v>0</v>
      </c>
      <c r="AU158" s="95">
        <v>0</v>
      </c>
      <c r="AV158" s="95">
        <f t="shared" si="142"/>
        <v>0</v>
      </c>
      <c r="AW158" s="95">
        <v>0</v>
      </c>
      <c r="AX158" s="95">
        <v>0</v>
      </c>
      <c r="AY158" s="95">
        <v>0</v>
      </c>
      <c r="AZ158" s="95">
        <f t="shared" si="143"/>
        <v>0</v>
      </c>
      <c r="BA158" s="197">
        <f t="shared" si="144"/>
        <v>0</v>
      </c>
      <c r="BB158" s="94">
        <f t="shared" si="124"/>
        <v>0</v>
      </c>
      <c r="BC158" s="105">
        <f t="shared" si="137"/>
        <v>0</v>
      </c>
      <c r="BD158" s="94">
        <f t="shared" si="125"/>
        <v>3998</v>
      </c>
      <c r="BE158" s="94">
        <f t="shared" si="138"/>
        <v>3182.6079</v>
      </c>
      <c r="BF158" s="94">
        <f t="shared" si="126"/>
        <v>0</v>
      </c>
      <c r="BG158" s="94">
        <f t="shared" si="139"/>
        <v>0</v>
      </c>
      <c r="BH158" s="94">
        <f t="shared" si="127"/>
        <v>3998</v>
      </c>
      <c r="BI158" s="94">
        <f t="shared" si="128"/>
        <v>3182.6079</v>
      </c>
      <c r="BJ158" s="186">
        <f t="shared" si="129"/>
        <v>0</v>
      </c>
      <c r="BK158" s="182">
        <f t="shared" si="130"/>
        <v>0</v>
      </c>
      <c r="BL158" s="98">
        <f t="shared" si="131"/>
        <v>0</v>
      </c>
      <c r="BM158" s="99"/>
      <c r="BN158" s="99"/>
      <c r="BO158" s="182"/>
      <c r="BP158" s="182"/>
      <c r="BQ158" s="182"/>
      <c r="BR158" s="182"/>
      <c r="BS158" s="95"/>
      <c r="BT158" s="182"/>
      <c r="BU158" s="182">
        <f t="shared" si="140"/>
        <v>0</v>
      </c>
      <c r="BV158" s="95"/>
      <c r="BW158" s="182"/>
      <c r="BX158" s="182"/>
      <c r="BY158" s="95"/>
      <c r="BZ158" s="182"/>
      <c r="CA158" s="95">
        <f t="shared" si="132"/>
        <v>0</v>
      </c>
      <c r="CB158" s="95"/>
      <c r="CC158" s="182"/>
      <c r="CD158" s="95"/>
      <c r="CE158" s="95"/>
      <c r="CF158" s="182"/>
      <c r="CG158" s="95"/>
      <c r="CH158" s="95"/>
      <c r="CI158" s="182"/>
      <c r="CJ158" s="95"/>
      <c r="CK158" s="95"/>
      <c r="CL158" s="182"/>
      <c r="CM158" s="95"/>
      <c r="CN158" s="182">
        <f t="shared" si="133"/>
        <v>0</v>
      </c>
      <c r="CO158" s="94">
        <v>0</v>
      </c>
      <c r="CP158" s="182">
        <f t="shared" si="141"/>
        <v>0</v>
      </c>
      <c r="CQ158" s="95">
        <f t="shared" si="134"/>
        <v>3998</v>
      </c>
      <c r="CR158" s="115">
        <f t="shared" si="145"/>
        <v>0</v>
      </c>
      <c r="CS158" s="113"/>
      <c r="CT158" s="113"/>
      <c r="CU158" s="187"/>
      <c r="CV158" s="187"/>
      <c r="CW158" s="240"/>
    </row>
    <row r="159" spans="1:101" s="51" customFormat="1" ht="19.899999999999999" customHeight="1" x14ac:dyDescent="0.3">
      <c r="A159" s="148"/>
      <c r="B159" s="50"/>
      <c r="C159" s="148" t="s">
        <v>254</v>
      </c>
      <c r="D159" s="104" t="s">
        <v>255</v>
      </c>
      <c r="E159" s="104"/>
      <c r="F159" s="94">
        <v>2921</v>
      </c>
      <c r="G159" s="182">
        <v>0.86</v>
      </c>
      <c r="H159" s="95">
        <f t="shared" si="114"/>
        <v>2512.06</v>
      </c>
      <c r="I159" s="93"/>
      <c r="J159" s="96" t="s">
        <v>256</v>
      </c>
      <c r="K159" s="49" t="s">
        <v>257</v>
      </c>
      <c r="L159" s="93"/>
      <c r="M159" s="97" t="s">
        <v>129</v>
      </c>
      <c r="N159" s="97" t="s">
        <v>275</v>
      </c>
      <c r="O159" s="183"/>
      <c r="P159" s="183"/>
      <c r="Q159" s="183"/>
      <c r="R159" s="131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4">
        <v>0.84872000000000003</v>
      </c>
      <c r="AC159" s="184">
        <v>0.84872000000000003</v>
      </c>
      <c r="AD159" s="95"/>
      <c r="AE159" s="95"/>
      <c r="AF159" s="95"/>
      <c r="AG159" s="95"/>
      <c r="AH159" s="95"/>
      <c r="AI159" s="95">
        <f t="shared" si="117"/>
        <v>0</v>
      </c>
      <c r="AJ159" s="95">
        <f t="shared" si="118"/>
        <v>0</v>
      </c>
      <c r="AK159" s="95">
        <f t="shared" si="119"/>
        <v>0</v>
      </c>
      <c r="AL159" s="133">
        <f t="shared" si="120"/>
        <v>0</v>
      </c>
      <c r="AM159" s="199">
        <f t="shared" si="121"/>
        <v>0</v>
      </c>
      <c r="AN159" s="106">
        <v>0</v>
      </c>
      <c r="AO159" s="106">
        <v>3088</v>
      </c>
      <c r="AP159" s="106">
        <v>0</v>
      </c>
      <c r="AQ159" s="95">
        <f t="shared" si="122"/>
        <v>3088</v>
      </c>
      <c r="AR159" s="183">
        <f t="shared" si="123"/>
        <v>2620.8473600000002</v>
      </c>
      <c r="AS159" s="106">
        <v>0</v>
      </c>
      <c r="AT159" s="106">
        <v>0</v>
      </c>
      <c r="AU159" s="106">
        <v>0</v>
      </c>
      <c r="AV159" s="106">
        <f t="shared" si="142"/>
        <v>0</v>
      </c>
      <c r="AW159" s="106">
        <v>0</v>
      </c>
      <c r="AX159" s="106">
        <v>0</v>
      </c>
      <c r="AY159" s="106">
        <v>0</v>
      </c>
      <c r="AZ159" s="106">
        <f t="shared" si="143"/>
        <v>0</v>
      </c>
      <c r="BA159" s="197">
        <f t="shared" si="144"/>
        <v>0</v>
      </c>
      <c r="BB159" s="105">
        <f t="shared" si="124"/>
        <v>0</v>
      </c>
      <c r="BC159" s="105">
        <f t="shared" si="137"/>
        <v>0</v>
      </c>
      <c r="BD159" s="105">
        <f t="shared" si="125"/>
        <v>3088</v>
      </c>
      <c r="BE159" s="105">
        <f t="shared" si="138"/>
        <v>2620.8473600000002</v>
      </c>
      <c r="BF159" s="105">
        <f t="shared" si="126"/>
        <v>0</v>
      </c>
      <c r="BG159" s="105">
        <f t="shared" si="139"/>
        <v>0</v>
      </c>
      <c r="BH159" s="105">
        <f t="shared" si="127"/>
        <v>3088</v>
      </c>
      <c r="BI159" s="105">
        <f t="shared" si="128"/>
        <v>2620.8473600000002</v>
      </c>
      <c r="BJ159" s="186">
        <f t="shared" si="129"/>
        <v>0</v>
      </c>
      <c r="BK159" s="182">
        <f t="shared" si="130"/>
        <v>0</v>
      </c>
      <c r="BL159" s="98">
        <f t="shared" si="131"/>
        <v>0</v>
      </c>
      <c r="BM159" s="99"/>
      <c r="BN159" s="99"/>
      <c r="BO159" s="196"/>
      <c r="BP159" s="196"/>
      <c r="BQ159" s="196"/>
      <c r="BR159" s="196"/>
      <c r="BS159" s="106"/>
      <c r="BT159" s="196"/>
      <c r="BU159" s="182">
        <f t="shared" si="140"/>
        <v>0</v>
      </c>
      <c r="BV159" s="106"/>
      <c r="BW159" s="196"/>
      <c r="BX159" s="196"/>
      <c r="BY159" s="106"/>
      <c r="BZ159" s="196"/>
      <c r="CA159" s="95">
        <f t="shared" si="132"/>
        <v>0</v>
      </c>
      <c r="CB159" s="106"/>
      <c r="CC159" s="196"/>
      <c r="CD159" s="106"/>
      <c r="CE159" s="106"/>
      <c r="CF159" s="196"/>
      <c r="CG159" s="106"/>
      <c r="CH159" s="106"/>
      <c r="CI159" s="196"/>
      <c r="CJ159" s="106"/>
      <c r="CK159" s="106"/>
      <c r="CL159" s="196"/>
      <c r="CM159" s="106"/>
      <c r="CN159" s="182">
        <f t="shared" si="133"/>
        <v>0</v>
      </c>
      <c r="CO159" s="105">
        <v>0</v>
      </c>
      <c r="CP159" s="182">
        <f t="shared" si="141"/>
        <v>0</v>
      </c>
      <c r="CQ159" s="95">
        <f t="shared" si="134"/>
        <v>3088</v>
      </c>
      <c r="CR159" s="115">
        <f t="shared" si="145"/>
        <v>0</v>
      </c>
      <c r="CS159" s="113"/>
      <c r="CT159" s="113"/>
      <c r="CU159" s="187"/>
      <c r="CV159" s="187"/>
      <c r="CW159" s="240"/>
    </row>
    <row r="160" spans="1:101" s="51" customFormat="1" ht="19.899999999999999" customHeight="1" x14ac:dyDescent="0.3">
      <c r="A160" s="92"/>
      <c r="B160" s="49"/>
      <c r="C160" s="92" t="s">
        <v>254</v>
      </c>
      <c r="D160" s="93" t="s">
        <v>255</v>
      </c>
      <c r="E160" s="93"/>
      <c r="F160" s="105">
        <v>2921</v>
      </c>
      <c r="G160" s="196">
        <v>0.86</v>
      </c>
      <c r="H160" s="106">
        <f t="shared" si="114"/>
        <v>2512.06</v>
      </c>
      <c r="I160" s="104"/>
      <c r="J160" s="107" t="s">
        <v>256</v>
      </c>
      <c r="K160" s="50" t="s">
        <v>257</v>
      </c>
      <c r="L160" s="104"/>
      <c r="M160" s="108" t="s">
        <v>159</v>
      </c>
      <c r="N160" s="108" t="s">
        <v>276</v>
      </c>
      <c r="O160" s="193"/>
      <c r="P160" s="193"/>
      <c r="Q160" s="193"/>
      <c r="R160" s="109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4">
        <v>0.86012999999999995</v>
      </c>
      <c r="AC160" s="194">
        <v>0.86012999999999995</v>
      </c>
      <c r="AD160" s="106"/>
      <c r="AE160" s="118"/>
      <c r="AF160" s="106"/>
      <c r="AG160" s="106"/>
      <c r="AH160" s="106"/>
      <c r="AI160" s="106">
        <f t="shared" si="117"/>
        <v>0</v>
      </c>
      <c r="AJ160" s="106">
        <f t="shared" si="118"/>
        <v>0</v>
      </c>
      <c r="AK160" s="106">
        <f t="shared" si="119"/>
        <v>0</v>
      </c>
      <c r="AL160" s="132">
        <f t="shared" si="120"/>
        <v>0</v>
      </c>
      <c r="AM160" s="198">
        <f t="shared" si="121"/>
        <v>0</v>
      </c>
      <c r="AN160" s="95">
        <v>0</v>
      </c>
      <c r="AO160" s="95">
        <v>2664</v>
      </c>
      <c r="AP160" s="95">
        <v>0</v>
      </c>
      <c r="AQ160" s="106">
        <f t="shared" si="122"/>
        <v>2664</v>
      </c>
      <c r="AR160" s="193">
        <f t="shared" si="123"/>
        <v>2291.3863200000001</v>
      </c>
      <c r="AS160" s="95">
        <v>0</v>
      </c>
      <c r="AT160" s="95">
        <v>0</v>
      </c>
      <c r="AU160" s="95">
        <v>0</v>
      </c>
      <c r="AV160" s="95">
        <f t="shared" si="142"/>
        <v>0</v>
      </c>
      <c r="AW160" s="95">
        <v>0</v>
      </c>
      <c r="AX160" s="95">
        <v>0</v>
      </c>
      <c r="AY160" s="95">
        <v>0</v>
      </c>
      <c r="AZ160" s="95">
        <f t="shared" si="143"/>
        <v>0</v>
      </c>
      <c r="BA160" s="197">
        <f t="shared" si="144"/>
        <v>0</v>
      </c>
      <c r="BB160" s="94">
        <f t="shared" si="124"/>
        <v>0</v>
      </c>
      <c r="BC160" s="105">
        <f t="shared" si="137"/>
        <v>0</v>
      </c>
      <c r="BD160" s="94">
        <f t="shared" si="125"/>
        <v>2664</v>
      </c>
      <c r="BE160" s="94">
        <f t="shared" si="138"/>
        <v>2291.3863200000001</v>
      </c>
      <c r="BF160" s="94">
        <f t="shared" si="126"/>
        <v>0</v>
      </c>
      <c r="BG160" s="94">
        <f t="shared" si="139"/>
        <v>0</v>
      </c>
      <c r="BH160" s="94">
        <f t="shared" si="127"/>
        <v>2664</v>
      </c>
      <c r="BI160" s="94">
        <f t="shared" si="128"/>
        <v>2291.3863200000001</v>
      </c>
      <c r="BJ160" s="186">
        <f t="shared" si="129"/>
        <v>0</v>
      </c>
      <c r="BK160" s="182">
        <f t="shared" si="130"/>
        <v>0</v>
      </c>
      <c r="BL160" s="98">
        <f t="shared" si="131"/>
        <v>0</v>
      </c>
      <c r="BM160" s="99"/>
      <c r="BN160" s="99"/>
      <c r="BO160" s="182"/>
      <c r="BP160" s="182"/>
      <c r="BQ160" s="182"/>
      <c r="BR160" s="182"/>
      <c r="BS160" s="95"/>
      <c r="BT160" s="182"/>
      <c r="BU160" s="182">
        <f t="shared" si="140"/>
        <v>0</v>
      </c>
      <c r="BV160" s="95"/>
      <c r="BW160" s="182"/>
      <c r="BX160" s="182"/>
      <c r="BY160" s="95"/>
      <c r="BZ160" s="182"/>
      <c r="CA160" s="95">
        <f t="shared" si="132"/>
        <v>0</v>
      </c>
      <c r="CB160" s="95"/>
      <c r="CC160" s="182"/>
      <c r="CD160" s="95"/>
      <c r="CE160" s="95"/>
      <c r="CF160" s="182"/>
      <c r="CG160" s="95"/>
      <c r="CH160" s="95"/>
      <c r="CI160" s="182"/>
      <c r="CJ160" s="95"/>
      <c r="CK160" s="95"/>
      <c r="CL160" s="182"/>
      <c r="CM160" s="95"/>
      <c r="CN160" s="182">
        <f t="shared" si="133"/>
        <v>0</v>
      </c>
      <c r="CO160" s="94">
        <v>0</v>
      </c>
      <c r="CP160" s="182">
        <f t="shared" si="141"/>
        <v>0</v>
      </c>
      <c r="CQ160" s="95">
        <f t="shared" si="134"/>
        <v>2664</v>
      </c>
      <c r="CR160" s="115">
        <f t="shared" si="145"/>
        <v>0</v>
      </c>
      <c r="CS160" s="113"/>
      <c r="CT160" s="113"/>
      <c r="CU160" s="187"/>
      <c r="CV160" s="187"/>
      <c r="CW160" s="240"/>
    </row>
    <row r="161" spans="1:101" s="51" customFormat="1" ht="19.899999999999999" customHeight="1" x14ac:dyDescent="0.3">
      <c r="A161" s="103"/>
      <c r="B161" s="50"/>
      <c r="C161" s="103" t="s">
        <v>254</v>
      </c>
      <c r="D161" s="104" t="s">
        <v>255</v>
      </c>
      <c r="E161" s="104"/>
      <c r="F161" s="94">
        <v>2921</v>
      </c>
      <c r="G161" s="182">
        <v>0.86</v>
      </c>
      <c r="H161" s="95">
        <f t="shared" si="114"/>
        <v>2512.06</v>
      </c>
      <c r="I161" s="93"/>
      <c r="J161" s="96" t="s">
        <v>256</v>
      </c>
      <c r="K161" s="49" t="s">
        <v>257</v>
      </c>
      <c r="L161" s="93"/>
      <c r="M161" s="97" t="s">
        <v>163</v>
      </c>
      <c r="N161" s="97" t="s">
        <v>277</v>
      </c>
      <c r="O161" s="183"/>
      <c r="P161" s="183"/>
      <c r="Q161" s="183"/>
      <c r="R161" s="131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4">
        <v>0.83287</v>
      </c>
      <c r="AC161" s="184">
        <v>0.83287</v>
      </c>
      <c r="AD161" s="95"/>
      <c r="AE161" s="95"/>
      <c r="AF161" s="95"/>
      <c r="AG161" s="95"/>
      <c r="AH161" s="95"/>
      <c r="AI161" s="95">
        <f t="shared" si="117"/>
        <v>0</v>
      </c>
      <c r="AJ161" s="95">
        <f t="shared" si="118"/>
        <v>0</v>
      </c>
      <c r="AK161" s="95">
        <f t="shared" si="119"/>
        <v>0</v>
      </c>
      <c r="AL161" s="133">
        <f t="shared" si="120"/>
        <v>0</v>
      </c>
      <c r="AM161" s="199">
        <f t="shared" si="121"/>
        <v>0</v>
      </c>
      <c r="AN161" s="106">
        <v>0</v>
      </c>
      <c r="AO161" s="106">
        <v>2371</v>
      </c>
      <c r="AP161" s="106">
        <v>0</v>
      </c>
      <c r="AQ161" s="95">
        <f t="shared" si="122"/>
        <v>2371</v>
      </c>
      <c r="AR161" s="183">
        <f t="shared" si="123"/>
        <v>1974.73477</v>
      </c>
      <c r="AS161" s="106">
        <v>0</v>
      </c>
      <c r="AT161" s="106">
        <v>0</v>
      </c>
      <c r="AU161" s="106">
        <v>0</v>
      </c>
      <c r="AV161" s="106">
        <f t="shared" si="142"/>
        <v>0</v>
      </c>
      <c r="AW161" s="106">
        <v>0</v>
      </c>
      <c r="AX161" s="106">
        <v>0</v>
      </c>
      <c r="AY161" s="106">
        <v>0</v>
      </c>
      <c r="AZ161" s="106">
        <f t="shared" si="143"/>
        <v>0</v>
      </c>
      <c r="BA161" s="197">
        <f t="shared" si="144"/>
        <v>0</v>
      </c>
      <c r="BB161" s="105">
        <f t="shared" si="124"/>
        <v>0</v>
      </c>
      <c r="BC161" s="105">
        <f t="shared" si="137"/>
        <v>0</v>
      </c>
      <c r="BD161" s="105">
        <f t="shared" si="125"/>
        <v>2371</v>
      </c>
      <c r="BE161" s="105">
        <f t="shared" si="138"/>
        <v>1974.73477</v>
      </c>
      <c r="BF161" s="105">
        <f t="shared" si="126"/>
        <v>0</v>
      </c>
      <c r="BG161" s="105">
        <f t="shared" si="139"/>
        <v>0</v>
      </c>
      <c r="BH161" s="105">
        <f t="shared" si="127"/>
        <v>2371</v>
      </c>
      <c r="BI161" s="105">
        <f t="shared" si="128"/>
        <v>1974.73477</v>
      </c>
      <c r="BJ161" s="186">
        <f t="shared" si="129"/>
        <v>0</v>
      </c>
      <c r="BK161" s="182">
        <f t="shared" si="130"/>
        <v>0</v>
      </c>
      <c r="BL161" s="98">
        <f t="shared" si="131"/>
        <v>0</v>
      </c>
      <c r="BM161" s="99"/>
      <c r="BN161" s="99"/>
      <c r="BO161" s="196"/>
      <c r="BP161" s="196"/>
      <c r="BQ161" s="196"/>
      <c r="BR161" s="196"/>
      <c r="BS161" s="106"/>
      <c r="BT161" s="196"/>
      <c r="BU161" s="182">
        <f t="shared" si="140"/>
        <v>0</v>
      </c>
      <c r="BV161" s="106"/>
      <c r="BW161" s="196"/>
      <c r="BX161" s="196"/>
      <c r="BY161" s="106"/>
      <c r="BZ161" s="196"/>
      <c r="CA161" s="95">
        <f t="shared" si="132"/>
        <v>0</v>
      </c>
      <c r="CB161" s="106"/>
      <c r="CC161" s="196"/>
      <c r="CD161" s="106"/>
      <c r="CE161" s="106"/>
      <c r="CF161" s="196"/>
      <c r="CG161" s="106"/>
      <c r="CH161" s="106"/>
      <c r="CI161" s="196"/>
      <c r="CJ161" s="106"/>
      <c r="CK161" s="106"/>
      <c r="CL161" s="196"/>
      <c r="CM161" s="106"/>
      <c r="CN161" s="182">
        <f t="shared" si="133"/>
        <v>0</v>
      </c>
      <c r="CO161" s="105">
        <v>0</v>
      </c>
      <c r="CP161" s="182">
        <f t="shared" si="141"/>
        <v>0</v>
      </c>
      <c r="CQ161" s="95">
        <f t="shared" si="134"/>
        <v>2371</v>
      </c>
      <c r="CR161" s="115">
        <f t="shared" si="145"/>
        <v>0</v>
      </c>
      <c r="CS161" s="113"/>
      <c r="CT161" s="113"/>
      <c r="CU161" s="187"/>
      <c r="CV161" s="187"/>
      <c r="CW161" s="240"/>
    </row>
    <row r="162" spans="1:101" s="51" customFormat="1" ht="19.899999999999999" customHeight="1" x14ac:dyDescent="0.3">
      <c r="A162" s="92"/>
      <c r="B162" s="49"/>
      <c r="C162" s="92" t="s">
        <v>254</v>
      </c>
      <c r="D162" s="93" t="s">
        <v>255</v>
      </c>
      <c r="E162" s="93"/>
      <c r="F162" s="105">
        <v>2921</v>
      </c>
      <c r="G162" s="196">
        <v>0.86</v>
      </c>
      <c r="H162" s="106">
        <f t="shared" si="114"/>
        <v>2512.06</v>
      </c>
      <c r="I162" s="104"/>
      <c r="J162" s="107" t="s">
        <v>256</v>
      </c>
      <c r="K162" s="50" t="s">
        <v>257</v>
      </c>
      <c r="L162" s="104"/>
      <c r="M162" s="108" t="s">
        <v>165</v>
      </c>
      <c r="N162" s="108" t="s">
        <v>212</v>
      </c>
      <c r="O162" s="193"/>
      <c r="P162" s="193"/>
      <c r="Q162" s="193"/>
      <c r="R162" s="109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4">
        <v>0.83218999999999999</v>
      </c>
      <c r="AC162" s="194">
        <v>0.83218999999999999</v>
      </c>
      <c r="AD162" s="106"/>
      <c r="AE162" s="118"/>
      <c r="AF162" s="106"/>
      <c r="AG162" s="106"/>
      <c r="AH162" s="106"/>
      <c r="AI162" s="106">
        <f t="shared" si="117"/>
        <v>0</v>
      </c>
      <c r="AJ162" s="106">
        <f t="shared" si="118"/>
        <v>0</v>
      </c>
      <c r="AK162" s="106">
        <f t="shared" si="119"/>
        <v>0</v>
      </c>
      <c r="AL162" s="132">
        <f t="shared" si="120"/>
        <v>0</v>
      </c>
      <c r="AM162" s="198">
        <f t="shared" si="121"/>
        <v>0</v>
      </c>
      <c r="AN162" s="95">
        <v>0</v>
      </c>
      <c r="AO162" s="95">
        <v>756</v>
      </c>
      <c r="AP162" s="95">
        <v>0</v>
      </c>
      <c r="AQ162" s="106">
        <f t="shared" si="122"/>
        <v>756</v>
      </c>
      <c r="AR162" s="193">
        <f t="shared" si="123"/>
        <v>629.13563999999997</v>
      </c>
      <c r="AS162" s="95">
        <v>0</v>
      </c>
      <c r="AT162" s="95">
        <v>0</v>
      </c>
      <c r="AU162" s="95">
        <v>0</v>
      </c>
      <c r="AV162" s="95">
        <f t="shared" si="142"/>
        <v>0</v>
      </c>
      <c r="AW162" s="95">
        <v>0</v>
      </c>
      <c r="AX162" s="95">
        <v>0</v>
      </c>
      <c r="AY162" s="95">
        <v>0</v>
      </c>
      <c r="AZ162" s="95">
        <f t="shared" si="143"/>
        <v>0</v>
      </c>
      <c r="BA162" s="197">
        <f t="shared" si="144"/>
        <v>0</v>
      </c>
      <c r="BB162" s="94">
        <f t="shared" si="124"/>
        <v>0</v>
      </c>
      <c r="BC162" s="105">
        <f t="shared" si="137"/>
        <v>0</v>
      </c>
      <c r="BD162" s="94">
        <f t="shared" si="125"/>
        <v>756</v>
      </c>
      <c r="BE162" s="94">
        <f t="shared" si="138"/>
        <v>629.13563999999997</v>
      </c>
      <c r="BF162" s="94">
        <f t="shared" si="126"/>
        <v>0</v>
      </c>
      <c r="BG162" s="94">
        <f t="shared" si="139"/>
        <v>0</v>
      </c>
      <c r="BH162" s="94">
        <f t="shared" si="127"/>
        <v>756</v>
      </c>
      <c r="BI162" s="94">
        <f t="shared" si="128"/>
        <v>629.13563999999997</v>
      </c>
      <c r="BJ162" s="186">
        <f t="shared" si="129"/>
        <v>0</v>
      </c>
      <c r="BK162" s="182">
        <f t="shared" si="130"/>
        <v>0</v>
      </c>
      <c r="BL162" s="98">
        <f t="shared" si="131"/>
        <v>0</v>
      </c>
      <c r="BM162" s="99"/>
      <c r="BN162" s="99"/>
      <c r="BO162" s="182"/>
      <c r="BP162" s="182"/>
      <c r="BQ162" s="182"/>
      <c r="BR162" s="182"/>
      <c r="BS162" s="95"/>
      <c r="BT162" s="182"/>
      <c r="BU162" s="182">
        <f t="shared" si="140"/>
        <v>0</v>
      </c>
      <c r="BV162" s="95"/>
      <c r="BW162" s="182"/>
      <c r="BX162" s="182"/>
      <c r="BY162" s="95"/>
      <c r="BZ162" s="182"/>
      <c r="CA162" s="95">
        <f t="shared" si="132"/>
        <v>0</v>
      </c>
      <c r="CB162" s="95"/>
      <c r="CC162" s="182"/>
      <c r="CD162" s="95"/>
      <c r="CE162" s="95"/>
      <c r="CF162" s="182"/>
      <c r="CG162" s="95"/>
      <c r="CH162" s="95"/>
      <c r="CI162" s="182"/>
      <c r="CJ162" s="95"/>
      <c r="CK162" s="95"/>
      <c r="CL162" s="182"/>
      <c r="CM162" s="95"/>
      <c r="CN162" s="182">
        <f t="shared" si="133"/>
        <v>0</v>
      </c>
      <c r="CO162" s="94">
        <v>0</v>
      </c>
      <c r="CP162" s="182">
        <f t="shared" si="141"/>
        <v>0</v>
      </c>
      <c r="CQ162" s="95">
        <f t="shared" si="134"/>
        <v>756</v>
      </c>
      <c r="CR162" s="115">
        <f t="shared" si="145"/>
        <v>0</v>
      </c>
      <c r="CS162" s="113"/>
      <c r="CT162" s="113"/>
      <c r="CU162" s="187"/>
      <c r="CV162" s="187"/>
      <c r="CW162" s="240"/>
    </row>
    <row r="163" spans="1:101" s="51" customFormat="1" ht="19.899999999999999" customHeight="1" x14ac:dyDescent="0.3">
      <c r="A163" s="148"/>
      <c r="B163" s="50"/>
      <c r="C163" s="148" t="s">
        <v>254</v>
      </c>
      <c r="D163" s="104" t="s">
        <v>255</v>
      </c>
      <c r="E163" s="104"/>
      <c r="F163" s="94">
        <v>2921</v>
      </c>
      <c r="G163" s="182">
        <v>0.86</v>
      </c>
      <c r="H163" s="95">
        <f t="shared" si="114"/>
        <v>2512.06</v>
      </c>
      <c r="I163" s="93"/>
      <c r="J163" s="96" t="s">
        <v>256</v>
      </c>
      <c r="K163" s="49" t="s">
        <v>257</v>
      </c>
      <c r="L163" s="93"/>
      <c r="M163" s="97" t="s">
        <v>133</v>
      </c>
      <c r="N163" s="97" t="s">
        <v>213</v>
      </c>
      <c r="O163" s="183"/>
      <c r="P163" s="183"/>
      <c r="Q163" s="183"/>
      <c r="R163" s="131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4">
        <v>0.86587000000000003</v>
      </c>
      <c r="AC163" s="184">
        <v>0.86587000000000003</v>
      </c>
      <c r="AD163" s="95"/>
      <c r="AE163" s="95"/>
      <c r="AF163" s="95"/>
      <c r="AG163" s="95"/>
      <c r="AH163" s="95"/>
      <c r="AI163" s="95">
        <f t="shared" si="117"/>
        <v>0</v>
      </c>
      <c r="AJ163" s="95">
        <f t="shared" si="118"/>
        <v>0</v>
      </c>
      <c r="AK163" s="95">
        <f t="shared" si="119"/>
        <v>0</v>
      </c>
      <c r="AL163" s="133">
        <f t="shared" si="120"/>
        <v>0</v>
      </c>
      <c r="AM163" s="199">
        <f t="shared" si="121"/>
        <v>0</v>
      </c>
      <c r="AN163" s="106">
        <v>0</v>
      </c>
      <c r="AO163" s="106">
        <v>940</v>
      </c>
      <c r="AP163" s="106">
        <v>0</v>
      </c>
      <c r="AQ163" s="95">
        <f t="shared" si="122"/>
        <v>940</v>
      </c>
      <c r="AR163" s="183">
        <f t="shared" si="123"/>
        <v>813.91780000000006</v>
      </c>
      <c r="AS163" s="106">
        <v>0</v>
      </c>
      <c r="AT163" s="106">
        <v>0</v>
      </c>
      <c r="AU163" s="106">
        <v>0</v>
      </c>
      <c r="AV163" s="106">
        <f t="shared" si="142"/>
        <v>0</v>
      </c>
      <c r="AW163" s="106">
        <v>0</v>
      </c>
      <c r="AX163" s="106">
        <v>0</v>
      </c>
      <c r="AY163" s="106">
        <v>0</v>
      </c>
      <c r="AZ163" s="106">
        <f t="shared" si="143"/>
        <v>0</v>
      </c>
      <c r="BA163" s="197">
        <f t="shared" si="144"/>
        <v>0</v>
      </c>
      <c r="BB163" s="105">
        <f t="shared" si="124"/>
        <v>0</v>
      </c>
      <c r="BC163" s="105">
        <f t="shared" si="137"/>
        <v>0</v>
      </c>
      <c r="BD163" s="105">
        <f t="shared" si="125"/>
        <v>940</v>
      </c>
      <c r="BE163" s="105">
        <f t="shared" si="138"/>
        <v>813.91780000000006</v>
      </c>
      <c r="BF163" s="105">
        <f t="shared" si="126"/>
        <v>0</v>
      </c>
      <c r="BG163" s="105">
        <f t="shared" si="139"/>
        <v>0</v>
      </c>
      <c r="BH163" s="105">
        <f t="shared" si="127"/>
        <v>940</v>
      </c>
      <c r="BI163" s="105">
        <f t="shared" si="128"/>
        <v>813.91780000000006</v>
      </c>
      <c r="BJ163" s="186">
        <f t="shared" si="129"/>
        <v>0</v>
      </c>
      <c r="BK163" s="182">
        <f t="shared" si="130"/>
        <v>0</v>
      </c>
      <c r="BL163" s="98">
        <f t="shared" si="131"/>
        <v>0</v>
      </c>
      <c r="BM163" s="99"/>
      <c r="BN163" s="99"/>
      <c r="BO163" s="196"/>
      <c r="BP163" s="196"/>
      <c r="BQ163" s="196"/>
      <c r="BR163" s="196"/>
      <c r="BS163" s="106"/>
      <c r="BT163" s="196"/>
      <c r="BU163" s="182">
        <f t="shared" si="140"/>
        <v>0</v>
      </c>
      <c r="BV163" s="106"/>
      <c r="BW163" s="196"/>
      <c r="BX163" s="196"/>
      <c r="BY163" s="106"/>
      <c r="BZ163" s="196"/>
      <c r="CA163" s="95">
        <f t="shared" si="132"/>
        <v>0</v>
      </c>
      <c r="CB163" s="106"/>
      <c r="CC163" s="196"/>
      <c r="CD163" s="106"/>
      <c r="CE163" s="106"/>
      <c r="CF163" s="196"/>
      <c r="CG163" s="106"/>
      <c r="CH163" s="106"/>
      <c r="CI163" s="196"/>
      <c r="CJ163" s="106"/>
      <c r="CK163" s="106"/>
      <c r="CL163" s="196"/>
      <c r="CM163" s="106"/>
      <c r="CN163" s="182">
        <f t="shared" si="133"/>
        <v>0</v>
      </c>
      <c r="CO163" s="105">
        <v>0</v>
      </c>
      <c r="CP163" s="182">
        <f t="shared" si="141"/>
        <v>0</v>
      </c>
      <c r="CQ163" s="95">
        <f t="shared" si="134"/>
        <v>940</v>
      </c>
      <c r="CR163" s="115">
        <f t="shared" si="145"/>
        <v>0</v>
      </c>
      <c r="CS163" s="113"/>
      <c r="CT163" s="113"/>
      <c r="CU163" s="187"/>
      <c r="CV163" s="187"/>
      <c r="CW163" s="240"/>
    </row>
    <row r="164" spans="1:101" s="51" customFormat="1" ht="19.899999999999999" customHeight="1" x14ac:dyDescent="0.3">
      <c r="A164" s="92"/>
      <c r="B164" s="49"/>
      <c r="C164" s="92" t="s">
        <v>254</v>
      </c>
      <c r="D164" s="93" t="s">
        <v>255</v>
      </c>
      <c r="E164" s="93"/>
      <c r="F164" s="105">
        <v>2921</v>
      </c>
      <c r="G164" s="196">
        <v>0.86</v>
      </c>
      <c r="H164" s="106">
        <f t="shared" si="114"/>
        <v>2512.06</v>
      </c>
      <c r="I164" s="104"/>
      <c r="J164" s="107" t="s">
        <v>256</v>
      </c>
      <c r="K164" s="50" t="s">
        <v>257</v>
      </c>
      <c r="L164" s="104"/>
      <c r="M164" s="108" t="s">
        <v>135</v>
      </c>
      <c r="N164" s="108" t="s">
        <v>214</v>
      </c>
      <c r="O164" s="193"/>
      <c r="P164" s="193"/>
      <c r="Q164" s="193"/>
      <c r="R164" s="109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4">
        <v>0.86063999999999996</v>
      </c>
      <c r="AC164" s="194">
        <v>0.86063999999999996</v>
      </c>
      <c r="AD164" s="106"/>
      <c r="AE164" s="118"/>
      <c r="AF164" s="106"/>
      <c r="AG164" s="106"/>
      <c r="AH164" s="106"/>
      <c r="AI164" s="106">
        <f t="shared" si="117"/>
        <v>0</v>
      </c>
      <c r="AJ164" s="106">
        <f t="shared" si="118"/>
        <v>0</v>
      </c>
      <c r="AK164" s="106">
        <f t="shared" si="119"/>
        <v>0</v>
      </c>
      <c r="AL164" s="132">
        <f t="shared" si="120"/>
        <v>0</v>
      </c>
      <c r="AM164" s="198">
        <f t="shared" si="121"/>
        <v>0</v>
      </c>
      <c r="AN164" s="95">
        <v>0</v>
      </c>
      <c r="AO164" s="95">
        <v>1140</v>
      </c>
      <c r="AP164" s="95">
        <v>0</v>
      </c>
      <c r="AQ164" s="106">
        <f t="shared" si="122"/>
        <v>1140</v>
      </c>
      <c r="AR164" s="193">
        <f t="shared" si="123"/>
        <v>981.12959999999998</v>
      </c>
      <c r="AS164" s="95">
        <v>0</v>
      </c>
      <c r="AT164" s="95">
        <v>0</v>
      </c>
      <c r="AU164" s="95">
        <v>0</v>
      </c>
      <c r="AV164" s="95">
        <f t="shared" si="142"/>
        <v>0</v>
      </c>
      <c r="AW164" s="95">
        <v>0</v>
      </c>
      <c r="AX164" s="95">
        <v>0</v>
      </c>
      <c r="AY164" s="95">
        <v>0</v>
      </c>
      <c r="AZ164" s="95">
        <f t="shared" si="143"/>
        <v>0</v>
      </c>
      <c r="BA164" s="197">
        <f t="shared" si="144"/>
        <v>0</v>
      </c>
      <c r="BB164" s="94">
        <f t="shared" si="124"/>
        <v>0</v>
      </c>
      <c r="BC164" s="105">
        <f t="shared" si="137"/>
        <v>0</v>
      </c>
      <c r="BD164" s="94">
        <f t="shared" si="125"/>
        <v>1140</v>
      </c>
      <c r="BE164" s="94">
        <f t="shared" si="138"/>
        <v>981.12959999999998</v>
      </c>
      <c r="BF164" s="94">
        <f t="shared" si="126"/>
        <v>0</v>
      </c>
      <c r="BG164" s="94">
        <f t="shared" si="139"/>
        <v>0</v>
      </c>
      <c r="BH164" s="94">
        <f t="shared" si="127"/>
        <v>1140</v>
      </c>
      <c r="BI164" s="94">
        <f t="shared" si="128"/>
        <v>981.12959999999998</v>
      </c>
      <c r="BJ164" s="186">
        <f t="shared" si="129"/>
        <v>0</v>
      </c>
      <c r="BK164" s="182">
        <f t="shared" si="130"/>
        <v>0</v>
      </c>
      <c r="BL164" s="98">
        <f t="shared" si="131"/>
        <v>0</v>
      </c>
      <c r="BM164" s="99"/>
      <c r="BN164" s="99"/>
      <c r="BO164" s="182"/>
      <c r="BP164" s="182"/>
      <c r="BQ164" s="182"/>
      <c r="BR164" s="182"/>
      <c r="BS164" s="95"/>
      <c r="BT164" s="182"/>
      <c r="BU164" s="182">
        <f t="shared" si="140"/>
        <v>0</v>
      </c>
      <c r="BV164" s="95"/>
      <c r="BW164" s="182"/>
      <c r="BX164" s="182"/>
      <c r="BY164" s="95"/>
      <c r="BZ164" s="182"/>
      <c r="CA164" s="95">
        <f t="shared" si="132"/>
        <v>0</v>
      </c>
      <c r="CB164" s="95"/>
      <c r="CC164" s="182"/>
      <c r="CD164" s="95"/>
      <c r="CE164" s="95"/>
      <c r="CF164" s="182"/>
      <c r="CG164" s="95"/>
      <c r="CH164" s="95"/>
      <c r="CI164" s="182"/>
      <c r="CJ164" s="95"/>
      <c r="CK164" s="95"/>
      <c r="CL164" s="182"/>
      <c r="CM164" s="95"/>
      <c r="CN164" s="182">
        <f t="shared" si="133"/>
        <v>0</v>
      </c>
      <c r="CO164" s="94">
        <v>0</v>
      </c>
      <c r="CP164" s="182">
        <f t="shared" si="141"/>
        <v>0</v>
      </c>
      <c r="CQ164" s="95">
        <f t="shared" si="134"/>
        <v>1140</v>
      </c>
      <c r="CR164" s="115">
        <f t="shared" si="145"/>
        <v>0</v>
      </c>
      <c r="CS164" s="113"/>
      <c r="CT164" s="113"/>
      <c r="CU164" s="187"/>
      <c r="CV164" s="187"/>
      <c r="CW164" s="240"/>
    </row>
    <row r="165" spans="1:101" s="51" customFormat="1" ht="19.899999999999999" customHeight="1" x14ac:dyDescent="0.3">
      <c r="A165" s="103"/>
      <c r="B165" s="50"/>
      <c r="C165" s="103" t="s">
        <v>254</v>
      </c>
      <c r="D165" s="104" t="s">
        <v>255</v>
      </c>
      <c r="E165" s="104"/>
      <c r="F165" s="94">
        <v>2921</v>
      </c>
      <c r="G165" s="182">
        <v>0.86</v>
      </c>
      <c r="H165" s="95">
        <f t="shared" si="114"/>
        <v>2512.06</v>
      </c>
      <c r="I165" s="93"/>
      <c r="J165" s="96" t="s">
        <v>256</v>
      </c>
      <c r="K165" s="49" t="s">
        <v>257</v>
      </c>
      <c r="L165" s="93"/>
      <c r="M165" s="97" t="s">
        <v>137</v>
      </c>
      <c r="N165" s="97" t="s">
        <v>215</v>
      </c>
      <c r="O165" s="183"/>
      <c r="P165" s="183"/>
      <c r="Q165" s="183"/>
      <c r="R165" s="131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4">
        <v>0.86404199999999998</v>
      </c>
      <c r="AC165" s="184">
        <v>0.86404199999999998</v>
      </c>
      <c r="AD165" s="95"/>
      <c r="AE165" s="95"/>
      <c r="AF165" s="95"/>
      <c r="AG165" s="95"/>
      <c r="AH165" s="95"/>
      <c r="AI165" s="95">
        <f t="shared" si="117"/>
        <v>0</v>
      </c>
      <c r="AJ165" s="95">
        <f t="shared" si="118"/>
        <v>0</v>
      </c>
      <c r="AK165" s="95">
        <f t="shared" si="119"/>
        <v>0</v>
      </c>
      <c r="AL165" s="133">
        <f t="shared" si="120"/>
        <v>0</v>
      </c>
      <c r="AM165" s="199">
        <f t="shared" si="121"/>
        <v>0</v>
      </c>
      <c r="AN165" s="106">
        <v>0</v>
      </c>
      <c r="AO165" s="106">
        <v>1284</v>
      </c>
      <c r="AP165" s="106">
        <v>0</v>
      </c>
      <c r="AQ165" s="95">
        <f t="shared" si="122"/>
        <v>1284</v>
      </c>
      <c r="AR165" s="183">
        <f t="shared" si="123"/>
        <v>1109.429928</v>
      </c>
      <c r="AS165" s="106">
        <v>0</v>
      </c>
      <c r="AT165" s="106">
        <v>0</v>
      </c>
      <c r="AU165" s="106">
        <v>0</v>
      </c>
      <c r="AV165" s="106">
        <f t="shared" si="142"/>
        <v>0</v>
      </c>
      <c r="AW165" s="106">
        <v>0</v>
      </c>
      <c r="AX165" s="106">
        <v>0</v>
      </c>
      <c r="AY165" s="106">
        <v>0</v>
      </c>
      <c r="AZ165" s="106">
        <f t="shared" si="143"/>
        <v>0</v>
      </c>
      <c r="BA165" s="197">
        <f t="shared" si="144"/>
        <v>0</v>
      </c>
      <c r="BB165" s="105">
        <f t="shared" si="124"/>
        <v>0</v>
      </c>
      <c r="BC165" s="105">
        <f t="shared" si="137"/>
        <v>0</v>
      </c>
      <c r="BD165" s="105">
        <f t="shared" si="125"/>
        <v>1284</v>
      </c>
      <c r="BE165" s="105">
        <f t="shared" si="138"/>
        <v>1109.429928</v>
      </c>
      <c r="BF165" s="105">
        <f t="shared" si="126"/>
        <v>0</v>
      </c>
      <c r="BG165" s="105">
        <f t="shared" si="139"/>
        <v>0</v>
      </c>
      <c r="BH165" s="105">
        <f t="shared" si="127"/>
        <v>1284</v>
      </c>
      <c r="BI165" s="105">
        <f t="shared" si="128"/>
        <v>1109.429928</v>
      </c>
      <c r="BJ165" s="186">
        <f t="shared" si="129"/>
        <v>0</v>
      </c>
      <c r="BK165" s="182">
        <f t="shared" si="130"/>
        <v>0</v>
      </c>
      <c r="BL165" s="98">
        <f t="shared" si="131"/>
        <v>0</v>
      </c>
      <c r="BM165" s="99"/>
      <c r="BN165" s="99"/>
      <c r="BO165" s="196"/>
      <c r="BP165" s="196"/>
      <c r="BQ165" s="196"/>
      <c r="BR165" s="196"/>
      <c r="BS165" s="106"/>
      <c r="BT165" s="196"/>
      <c r="BU165" s="182">
        <f t="shared" si="140"/>
        <v>0</v>
      </c>
      <c r="BV165" s="106"/>
      <c r="BW165" s="196"/>
      <c r="BX165" s="196"/>
      <c r="BY165" s="106"/>
      <c r="BZ165" s="196"/>
      <c r="CA165" s="95">
        <f t="shared" si="132"/>
        <v>0</v>
      </c>
      <c r="CB165" s="106"/>
      <c r="CC165" s="196"/>
      <c r="CD165" s="106"/>
      <c r="CE165" s="106"/>
      <c r="CF165" s="196"/>
      <c r="CG165" s="106"/>
      <c r="CH165" s="106"/>
      <c r="CI165" s="196"/>
      <c r="CJ165" s="106"/>
      <c r="CK165" s="106"/>
      <c r="CL165" s="196"/>
      <c r="CM165" s="106"/>
      <c r="CN165" s="182">
        <f t="shared" si="133"/>
        <v>0</v>
      </c>
      <c r="CO165" s="105">
        <v>0</v>
      </c>
      <c r="CP165" s="182">
        <f t="shared" si="141"/>
        <v>0</v>
      </c>
      <c r="CQ165" s="95">
        <f t="shared" si="134"/>
        <v>1284</v>
      </c>
      <c r="CR165" s="115">
        <f t="shared" si="145"/>
        <v>0</v>
      </c>
      <c r="CS165" s="113"/>
      <c r="CT165" s="113"/>
      <c r="CU165" s="187"/>
      <c r="CV165" s="187"/>
      <c r="CW165" s="240"/>
    </row>
    <row r="166" spans="1:101" s="51" customFormat="1" ht="19.899999999999999" customHeight="1" x14ac:dyDescent="0.3">
      <c r="A166" s="92"/>
      <c r="B166" s="49"/>
      <c r="C166" s="92" t="s">
        <v>254</v>
      </c>
      <c r="D166" s="93" t="s">
        <v>255</v>
      </c>
      <c r="E166" s="93"/>
      <c r="F166" s="105">
        <v>2921</v>
      </c>
      <c r="G166" s="196">
        <v>0.86</v>
      </c>
      <c r="H166" s="106">
        <f t="shared" si="114"/>
        <v>2512.06</v>
      </c>
      <c r="I166" s="104"/>
      <c r="J166" s="107" t="s">
        <v>256</v>
      </c>
      <c r="K166" s="50" t="s">
        <v>257</v>
      </c>
      <c r="L166" s="104"/>
      <c r="M166" s="108" t="s">
        <v>139</v>
      </c>
      <c r="N166" s="108" t="s">
        <v>216</v>
      </c>
      <c r="O166" s="193"/>
      <c r="P166" s="193"/>
      <c r="Q166" s="193"/>
      <c r="R166" s="109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4">
        <v>0.82458600000000004</v>
      </c>
      <c r="AC166" s="194">
        <v>0.82458600000000004</v>
      </c>
      <c r="AD166" s="106"/>
      <c r="AE166" s="118"/>
      <c r="AF166" s="106"/>
      <c r="AG166" s="106"/>
      <c r="AH166" s="106"/>
      <c r="AI166" s="106">
        <f t="shared" si="117"/>
        <v>0</v>
      </c>
      <c r="AJ166" s="106">
        <f t="shared" si="118"/>
        <v>0</v>
      </c>
      <c r="AK166" s="106">
        <f t="shared" si="119"/>
        <v>0</v>
      </c>
      <c r="AL166" s="132">
        <f t="shared" si="120"/>
        <v>0</v>
      </c>
      <c r="AM166" s="198">
        <f t="shared" si="121"/>
        <v>0</v>
      </c>
      <c r="AN166" s="95">
        <v>0</v>
      </c>
      <c r="AO166" s="95">
        <v>1129</v>
      </c>
      <c r="AP166" s="95">
        <v>0</v>
      </c>
      <c r="AQ166" s="106">
        <f t="shared" si="122"/>
        <v>1129</v>
      </c>
      <c r="AR166" s="193">
        <f t="shared" si="123"/>
        <v>930.95759400000009</v>
      </c>
      <c r="AS166" s="95">
        <v>0</v>
      </c>
      <c r="AT166" s="95">
        <v>0</v>
      </c>
      <c r="AU166" s="95">
        <v>0</v>
      </c>
      <c r="AV166" s="95">
        <f t="shared" si="142"/>
        <v>0</v>
      </c>
      <c r="AW166" s="95">
        <v>0</v>
      </c>
      <c r="AX166" s="95">
        <v>0</v>
      </c>
      <c r="AY166" s="95">
        <v>0</v>
      </c>
      <c r="AZ166" s="95">
        <f t="shared" si="143"/>
        <v>0</v>
      </c>
      <c r="BA166" s="197">
        <f t="shared" si="144"/>
        <v>0</v>
      </c>
      <c r="BB166" s="94">
        <f t="shared" si="124"/>
        <v>0</v>
      </c>
      <c r="BC166" s="105">
        <f t="shared" si="137"/>
        <v>0</v>
      </c>
      <c r="BD166" s="94">
        <f t="shared" si="125"/>
        <v>1129</v>
      </c>
      <c r="BE166" s="94">
        <f t="shared" si="138"/>
        <v>930.95759400000009</v>
      </c>
      <c r="BF166" s="94">
        <f t="shared" si="126"/>
        <v>0</v>
      </c>
      <c r="BG166" s="94">
        <f t="shared" si="139"/>
        <v>0</v>
      </c>
      <c r="BH166" s="94">
        <f t="shared" si="127"/>
        <v>1129</v>
      </c>
      <c r="BI166" s="94">
        <f t="shared" si="128"/>
        <v>930.95759400000009</v>
      </c>
      <c r="BJ166" s="186">
        <f t="shared" si="129"/>
        <v>0</v>
      </c>
      <c r="BK166" s="182">
        <f t="shared" si="130"/>
        <v>0</v>
      </c>
      <c r="BL166" s="98">
        <f t="shared" si="131"/>
        <v>0</v>
      </c>
      <c r="BM166" s="99"/>
      <c r="BN166" s="99"/>
      <c r="BO166" s="182"/>
      <c r="BP166" s="182"/>
      <c r="BQ166" s="182"/>
      <c r="BR166" s="182"/>
      <c r="BS166" s="95"/>
      <c r="BT166" s="182"/>
      <c r="BU166" s="182">
        <f t="shared" si="140"/>
        <v>0</v>
      </c>
      <c r="BV166" s="95"/>
      <c r="BW166" s="182"/>
      <c r="BX166" s="182"/>
      <c r="BY166" s="95"/>
      <c r="BZ166" s="182"/>
      <c r="CA166" s="95">
        <f t="shared" si="132"/>
        <v>0</v>
      </c>
      <c r="CB166" s="95"/>
      <c r="CC166" s="182"/>
      <c r="CD166" s="95"/>
      <c r="CE166" s="95"/>
      <c r="CF166" s="182"/>
      <c r="CG166" s="95"/>
      <c r="CH166" s="95"/>
      <c r="CI166" s="182"/>
      <c r="CJ166" s="95"/>
      <c r="CK166" s="95"/>
      <c r="CL166" s="182"/>
      <c r="CM166" s="95"/>
      <c r="CN166" s="182">
        <f t="shared" si="133"/>
        <v>0</v>
      </c>
      <c r="CO166" s="94">
        <v>0</v>
      </c>
      <c r="CP166" s="182">
        <f t="shared" si="141"/>
        <v>0</v>
      </c>
      <c r="CQ166" s="95">
        <f t="shared" si="134"/>
        <v>1129</v>
      </c>
      <c r="CR166" s="115">
        <f t="shared" si="145"/>
        <v>0</v>
      </c>
      <c r="CS166" s="113"/>
      <c r="CT166" s="113"/>
      <c r="CU166" s="187"/>
      <c r="CV166" s="187"/>
      <c r="CW166" s="240"/>
    </row>
    <row r="167" spans="1:101" s="51" customFormat="1" ht="19.899999999999999" customHeight="1" x14ac:dyDescent="0.3">
      <c r="A167" s="148"/>
      <c r="B167" s="50"/>
      <c r="C167" s="148" t="s">
        <v>254</v>
      </c>
      <c r="D167" s="104" t="s">
        <v>255</v>
      </c>
      <c r="E167" s="104"/>
      <c r="F167" s="94">
        <v>2921</v>
      </c>
      <c r="G167" s="182">
        <v>0.86</v>
      </c>
      <c r="H167" s="95">
        <f t="shared" si="114"/>
        <v>2512.06</v>
      </c>
      <c r="I167" s="93"/>
      <c r="J167" s="96" t="s">
        <v>256</v>
      </c>
      <c r="K167" s="49" t="s">
        <v>257</v>
      </c>
      <c r="L167" s="93"/>
      <c r="M167" s="97" t="s">
        <v>141</v>
      </c>
      <c r="N167" s="97" t="s">
        <v>217</v>
      </c>
      <c r="O167" s="183"/>
      <c r="P167" s="183"/>
      <c r="Q167" s="183"/>
      <c r="R167" s="131"/>
      <c r="S167" s="183"/>
      <c r="T167" s="183"/>
      <c r="U167" s="183"/>
      <c r="V167" s="183"/>
      <c r="W167" s="183"/>
      <c r="X167" s="183"/>
      <c r="Y167" s="183"/>
      <c r="Z167" s="183"/>
      <c r="AA167" s="183"/>
      <c r="AB167" s="184">
        <v>0.83509900000000004</v>
      </c>
      <c r="AC167" s="184">
        <v>0.83509900000000004</v>
      </c>
      <c r="AD167" s="95"/>
      <c r="AE167" s="95"/>
      <c r="AF167" s="95"/>
      <c r="AG167" s="95"/>
      <c r="AH167" s="95"/>
      <c r="AI167" s="95">
        <f t="shared" si="117"/>
        <v>0</v>
      </c>
      <c r="AJ167" s="95">
        <f t="shared" si="118"/>
        <v>0</v>
      </c>
      <c r="AK167" s="95">
        <f t="shared" si="119"/>
        <v>0</v>
      </c>
      <c r="AL167" s="133">
        <f t="shared" si="120"/>
        <v>0</v>
      </c>
      <c r="AM167" s="199">
        <f t="shared" si="121"/>
        <v>0</v>
      </c>
      <c r="AN167" s="106">
        <v>0</v>
      </c>
      <c r="AO167" s="106">
        <v>2280</v>
      </c>
      <c r="AP167" s="106">
        <v>0</v>
      </c>
      <c r="AQ167" s="95">
        <f t="shared" si="122"/>
        <v>2280</v>
      </c>
      <c r="AR167" s="183">
        <f t="shared" si="123"/>
        <v>1904.0257200000001</v>
      </c>
      <c r="AS167" s="106">
        <v>0</v>
      </c>
      <c r="AT167" s="106">
        <v>0</v>
      </c>
      <c r="AU167" s="106">
        <v>0</v>
      </c>
      <c r="AV167" s="106">
        <f t="shared" si="142"/>
        <v>0</v>
      </c>
      <c r="AW167" s="106">
        <v>0</v>
      </c>
      <c r="AX167" s="106">
        <v>0</v>
      </c>
      <c r="AY167" s="106">
        <v>0</v>
      </c>
      <c r="AZ167" s="106">
        <f t="shared" si="143"/>
        <v>0</v>
      </c>
      <c r="BA167" s="197">
        <f t="shared" si="144"/>
        <v>0</v>
      </c>
      <c r="BB167" s="105">
        <f t="shared" si="124"/>
        <v>0</v>
      </c>
      <c r="BC167" s="105">
        <f t="shared" si="137"/>
        <v>0</v>
      </c>
      <c r="BD167" s="105">
        <f t="shared" si="125"/>
        <v>2280</v>
      </c>
      <c r="BE167" s="105">
        <f t="shared" si="138"/>
        <v>1904.0257200000001</v>
      </c>
      <c r="BF167" s="105">
        <f t="shared" si="126"/>
        <v>0</v>
      </c>
      <c r="BG167" s="105">
        <f t="shared" si="139"/>
        <v>0</v>
      </c>
      <c r="BH167" s="105">
        <f t="shared" si="127"/>
        <v>2280</v>
      </c>
      <c r="BI167" s="105">
        <f t="shared" si="128"/>
        <v>1904.0257200000001</v>
      </c>
      <c r="BJ167" s="186">
        <f t="shared" si="129"/>
        <v>0</v>
      </c>
      <c r="BK167" s="182">
        <f t="shared" si="130"/>
        <v>0</v>
      </c>
      <c r="BL167" s="98">
        <f t="shared" si="131"/>
        <v>0</v>
      </c>
      <c r="BM167" s="99"/>
      <c r="BN167" s="99"/>
      <c r="BO167" s="196"/>
      <c r="BP167" s="196"/>
      <c r="BQ167" s="196"/>
      <c r="BR167" s="196"/>
      <c r="BS167" s="106"/>
      <c r="BT167" s="196"/>
      <c r="BU167" s="182">
        <f t="shared" si="140"/>
        <v>0</v>
      </c>
      <c r="BV167" s="106"/>
      <c r="BW167" s="196"/>
      <c r="BX167" s="196"/>
      <c r="BY167" s="106"/>
      <c r="BZ167" s="196"/>
      <c r="CA167" s="95">
        <f t="shared" si="132"/>
        <v>0</v>
      </c>
      <c r="CB167" s="106"/>
      <c r="CC167" s="196"/>
      <c r="CD167" s="106"/>
      <c r="CE167" s="106"/>
      <c r="CF167" s="196"/>
      <c r="CG167" s="106"/>
      <c r="CH167" s="106"/>
      <c r="CI167" s="196"/>
      <c r="CJ167" s="106"/>
      <c r="CK167" s="106"/>
      <c r="CL167" s="196"/>
      <c r="CM167" s="106"/>
      <c r="CN167" s="182">
        <f t="shared" si="133"/>
        <v>0</v>
      </c>
      <c r="CO167" s="105">
        <v>0</v>
      </c>
      <c r="CP167" s="182">
        <f t="shared" si="141"/>
        <v>0</v>
      </c>
      <c r="CQ167" s="95">
        <f t="shared" si="134"/>
        <v>2280</v>
      </c>
      <c r="CR167" s="115">
        <f t="shared" si="145"/>
        <v>0</v>
      </c>
      <c r="CS167" s="113"/>
      <c r="CT167" s="113"/>
      <c r="CU167" s="187"/>
      <c r="CV167" s="187"/>
      <c r="CW167" s="240"/>
    </row>
    <row r="168" spans="1:101" s="51" customFormat="1" ht="19.899999999999999" customHeight="1" x14ac:dyDescent="0.3">
      <c r="A168" s="92"/>
      <c r="B168" s="49"/>
      <c r="C168" s="92" t="s">
        <v>254</v>
      </c>
      <c r="D168" s="93" t="s">
        <v>255</v>
      </c>
      <c r="E168" s="93"/>
      <c r="F168" s="105">
        <v>2921</v>
      </c>
      <c r="G168" s="196">
        <v>0.86</v>
      </c>
      <c r="H168" s="106">
        <f t="shared" si="114"/>
        <v>2512.06</v>
      </c>
      <c r="I168" s="104"/>
      <c r="J168" s="107" t="s">
        <v>256</v>
      </c>
      <c r="K168" s="50" t="s">
        <v>257</v>
      </c>
      <c r="L168" s="104"/>
      <c r="M168" s="108" t="s">
        <v>130</v>
      </c>
      <c r="N168" s="108" t="s">
        <v>218</v>
      </c>
      <c r="O168" s="193"/>
      <c r="P168" s="193"/>
      <c r="Q168" s="193"/>
      <c r="R168" s="109"/>
      <c r="S168" s="193"/>
      <c r="T168" s="193"/>
      <c r="U168" s="193"/>
      <c r="V168" s="193"/>
      <c r="W168" s="193"/>
      <c r="X168" s="193"/>
      <c r="Y168" s="193"/>
      <c r="Z168" s="193"/>
      <c r="AA168" s="193"/>
      <c r="AB168" s="194">
        <v>0.84471399999999996</v>
      </c>
      <c r="AC168" s="194">
        <v>0.84471399999999996</v>
      </c>
      <c r="AD168" s="106"/>
      <c r="AE168" s="118"/>
      <c r="AF168" s="106"/>
      <c r="AG168" s="106"/>
      <c r="AH168" s="106"/>
      <c r="AI168" s="106">
        <f t="shared" si="117"/>
        <v>0</v>
      </c>
      <c r="AJ168" s="106">
        <f t="shared" si="118"/>
        <v>0</v>
      </c>
      <c r="AK168" s="106">
        <f t="shared" si="119"/>
        <v>0</v>
      </c>
      <c r="AL168" s="132">
        <f t="shared" si="120"/>
        <v>0</v>
      </c>
      <c r="AM168" s="198">
        <f t="shared" si="121"/>
        <v>0</v>
      </c>
      <c r="AN168" s="95">
        <v>0</v>
      </c>
      <c r="AO168" s="95">
        <v>3675</v>
      </c>
      <c r="AP168" s="95">
        <v>0</v>
      </c>
      <c r="AQ168" s="106">
        <f t="shared" si="122"/>
        <v>3675</v>
      </c>
      <c r="AR168" s="193">
        <f t="shared" si="123"/>
        <v>3104.32395</v>
      </c>
      <c r="AS168" s="95">
        <v>0</v>
      </c>
      <c r="AT168" s="95">
        <v>0</v>
      </c>
      <c r="AU168" s="95">
        <v>0</v>
      </c>
      <c r="AV168" s="95">
        <f t="shared" si="142"/>
        <v>0</v>
      </c>
      <c r="AW168" s="95">
        <v>0</v>
      </c>
      <c r="AX168" s="95">
        <v>0</v>
      </c>
      <c r="AY168" s="95">
        <v>0</v>
      </c>
      <c r="AZ168" s="95">
        <f t="shared" si="143"/>
        <v>0</v>
      </c>
      <c r="BA168" s="197">
        <f t="shared" si="144"/>
        <v>0</v>
      </c>
      <c r="BB168" s="94">
        <f t="shared" si="124"/>
        <v>0</v>
      </c>
      <c r="BC168" s="105">
        <f t="shared" si="137"/>
        <v>0</v>
      </c>
      <c r="BD168" s="94">
        <f t="shared" si="125"/>
        <v>3675</v>
      </c>
      <c r="BE168" s="94">
        <f t="shared" si="138"/>
        <v>3104.32395</v>
      </c>
      <c r="BF168" s="94">
        <f t="shared" si="126"/>
        <v>0</v>
      </c>
      <c r="BG168" s="94">
        <f t="shared" si="139"/>
        <v>0</v>
      </c>
      <c r="BH168" s="94">
        <f t="shared" si="127"/>
        <v>3675</v>
      </c>
      <c r="BI168" s="94">
        <f t="shared" si="128"/>
        <v>3104.32395</v>
      </c>
      <c r="BJ168" s="186">
        <f t="shared" si="129"/>
        <v>0</v>
      </c>
      <c r="BK168" s="182">
        <f t="shared" si="130"/>
        <v>0</v>
      </c>
      <c r="BL168" s="98">
        <f t="shared" si="131"/>
        <v>0</v>
      </c>
      <c r="BM168" s="99"/>
      <c r="BN168" s="99"/>
      <c r="BO168" s="182"/>
      <c r="BP168" s="182"/>
      <c r="BQ168" s="182"/>
      <c r="BR168" s="182"/>
      <c r="BS168" s="95"/>
      <c r="BT168" s="182"/>
      <c r="BU168" s="182">
        <f t="shared" si="140"/>
        <v>0</v>
      </c>
      <c r="BV168" s="95"/>
      <c r="BW168" s="182"/>
      <c r="BX168" s="182"/>
      <c r="BY168" s="95"/>
      <c r="BZ168" s="182"/>
      <c r="CA168" s="95">
        <f t="shared" si="132"/>
        <v>0</v>
      </c>
      <c r="CB168" s="95"/>
      <c r="CC168" s="182"/>
      <c r="CD168" s="95"/>
      <c r="CE168" s="95"/>
      <c r="CF168" s="182"/>
      <c r="CG168" s="95"/>
      <c r="CH168" s="95"/>
      <c r="CI168" s="182"/>
      <c r="CJ168" s="95"/>
      <c r="CK168" s="95"/>
      <c r="CL168" s="182"/>
      <c r="CM168" s="95"/>
      <c r="CN168" s="182">
        <f t="shared" si="133"/>
        <v>0</v>
      </c>
      <c r="CO168" s="94">
        <v>0</v>
      </c>
      <c r="CP168" s="182">
        <f t="shared" si="141"/>
        <v>0</v>
      </c>
      <c r="CQ168" s="95">
        <f t="shared" si="134"/>
        <v>3675</v>
      </c>
      <c r="CR168" s="115">
        <f t="shared" si="145"/>
        <v>0</v>
      </c>
      <c r="CS168" s="113"/>
      <c r="CT168" s="113"/>
      <c r="CU168" s="187"/>
      <c r="CV168" s="187"/>
      <c r="CW168" s="240"/>
    </row>
    <row r="169" spans="1:101" s="51" customFormat="1" ht="19.899999999999999" customHeight="1" x14ac:dyDescent="0.3">
      <c r="A169" s="103"/>
      <c r="B169" s="50"/>
      <c r="C169" s="103" t="s">
        <v>254</v>
      </c>
      <c r="D169" s="104" t="s">
        <v>255</v>
      </c>
      <c r="E169" s="104"/>
      <c r="F169" s="94">
        <v>2921</v>
      </c>
      <c r="G169" s="182">
        <v>0.86</v>
      </c>
      <c r="H169" s="95">
        <f t="shared" si="114"/>
        <v>2512.06</v>
      </c>
      <c r="I169" s="93"/>
      <c r="J169" s="96" t="s">
        <v>256</v>
      </c>
      <c r="K169" s="49" t="s">
        <v>257</v>
      </c>
      <c r="L169" s="93"/>
      <c r="M169" s="97" t="s">
        <v>144</v>
      </c>
      <c r="N169" s="97" t="s">
        <v>219</v>
      </c>
      <c r="O169" s="183"/>
      <c r="P169" s="183"/>
      <c r="Q169" s="183"/>
      <c r="R169" s="131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4">
        <v>0.82213700000000001</v>
      </c>
      <c r="AC169" s="184">
        <v>0.82213700000000001</v>
      </c>
      <c r="AD169" s="95"/>
      <c r="AE169" s="95"/>
      <c r="AF169" s="95"/>
      <c r="AG169" s="95"/>
      <c r="AH169" s="95"/>
      <c r="AI169" s="95">
        <f t="shared" si="117"/>
        <v>0</v>
      </c>
      <c r="AJ169" s="95">
        <f t="shared" si="118"/>
        <v>0</v>
      </c>
      <c r="AK169" s="95">
        <f t="shared" si="119"/>
        <v>0</v>
      </c>
      <c r="AL169" s="133">
        <f t="shared" si="120"/>
        <v>0</v>
      </c>
      <c r="AM169" s="199">
        <f t="shared" si="121"/>
        <v>0</v>
      </c>
      <c r="AN169" s="106">
        <v>0</v>
      </c>
      <c r="AO169" s="106">
        <v>1764</v>
      </c>
      <c r="AP169" s="106">
        <v>0</v>
      </c>
      <c r="AQ169" s="95">
        <f t="shared" si="122"/>
        <v>1764</v>
      </c>
      <c r="AR169" s="183">
        <f t="shared" si="123"/>
        <v>1450.2496679999999</v>
      </c>
      <c r="AS169" s="106">
        <v>0</v>
      </c>
      <c r="AT169" s="106">
        <v>0</v>
      </c>
      <c r="AU169" s="106">
        <v>0</v>
      </c>
      <c r="AV169" s="106">
        <f t="shared" si="142"/>
        <v>0</v>
      </c>
      <c r="AW169" s="106">
        <v>0</v>
      </c>
      <c r="AX169" s="106">
        <v>0</v>
      </c>
      <c r="AY169" s="106">
        <v>0</v>
      </c>
      <c r="AZ169" s="106">
        <f t="shared" si="143"/>
        <v>0</v>
      </c>
      <c r="BA169" s="197">
        <f t="shared" si="144"/>
        <v>0</v>
      </c>
      <c r="BB169" s="105">
        <f t="shared" si="124"/>
        <v>0</v>
      </c>
      <c r="BC169" s="105">
        <f t="shared" si="137"/>
        <v>0</v>
      </c>
      <c r="BD169" s="105">
        <f t="shared" si="125"/>
        <v>1764</v>
      </c>
      <c r="BE169" s="105">
        <f t="shared" si="138"/>
        <v>1450.2496679999999</v>
      </c>
      <c r="BF169" s="105">
        <f t="shared" si="126"/>
        <v>0</v>
      </c>
      <c r="BG169" s="105">
        <f t="shared" si="139"/>
        <v>0</v>
      </c>
      <c r="BH169" s="105">
        <f t="shared" si="127"/>
        <v>1764</v>
      </c>
      <c r="BI169" s="105">
        <f t="shared" si="128"/>
        <v>1450.2496679999999</v>
      </c>
      <c r="BJ169" s="186">
        <f t="shared" si="129"/>
        <v>0</v>
      </c>
      <c r="BK169" s="182">
        <f t="shared" si="130"/>
        <v>0</v>
      </c>
      <c r="BL169" s="98">
        <f t="shared" si="131"/>
        <v>0</v>
      </c>
      <c r="BM169" s="99"/>
      <c r="BN169" s="99"/>
      <c r="BO169" s="196"/>
      <c r="BP169" s="196"/>
      <c r="BQ169" s="196"/>
      <c r="BR169" s="196"/>
      <c r="BS169" s="106"/>
      <c r="BT169" s="196"/>
      <c r="BU169" s="182">
        <f t="shared" si="140"/>
        <v>0</v>
      </c>
      <c r="BV169" s="106"/>
      <c r="BW169" s="196"/>
      <c r="BX169" s="196"/>
      <c r="BY169" s="106"/>
      <c r="BZ169" s="196"/>
      <c r="CA169" s="95">
        <f t="shared" si="132"/>
        <v>0</v>
      </c>
      <c r="CB169" s="106"/>
      <c r="CC169" s="196"/>
      <c r="CD169" s="106"/>
      <c r="CE169" s="106"/>
      <c r="CF169" s="196"/>
      <c r="CG169" s="106"/>
      <c r="CH169" s="106"/>
      <c r="CI169" s="196"/>
      <c r="CJ169" s="106"/>
      <c r="CK169" s="106"/>
      <c r="CL169" s="196"/>
      <c r="CM169" s="106"/>
      <c r="CN169" s="182">
        <f t="shared" si="133"/>
        <v>0</v>
      </c>
      <c r="CO169" s="105">
        <v>0</v>
      </c>
      <c r="CP169" s="182">
        <f t="shared" si="141"/>
        <v>0</v>
      </c>
      <c r="CQ169" s="95">
        <f t="shared" si="134"/>
        <v>1764</v>
      </c>
      <c r="CR169" s="115">
        <f t="shared" si="145"/>
        <v>0</v>
      </c>
      <c r="CS169" s="113"/>
      <c r="CT169" s="113"/>
      <c r="CU169" s="187"/>
      <c r="CV169" s="187"/>
      <c r="CW169" s="240"/>
    </row>
    <row r="170" spans="1:101" s="51" customFormat="1" ht="19.899999999999999" customHeight="1" x14ac:dyDescent="0.3">
      <c r="A170" s="92"/>
      <c r="B170" s="49"/>
      <c r="C170" s="92" t="s">
        <v>254</v>
      </c>
      <c r="D170" s="93" t="s">
        <v>255</v>
      </c>
      <c r="E170" s="93"/>
      <c r="F170" s="105">
        <v>2921</v>
      </c>
      <c r="G170" s="196">
        <v>0.86</v>
      </c>
      <c r="H170" s="106">
        <f t="shared" si="114"/>
        <v>2512.06</v>
      </c>
      <c r="I170" s="104"/>
      <c r="J170" s="107" t="s">
        <v>256</v>
      </c>
      <c r="K170" s="50" t="s">
        <v>257</v>
      </c>
      <c r="L170" s="104"/>
      <c r="M170" s="108" t="s">
        <v>146</v>
      </c>
      <c r="N170" s="108" t="s">
        <v>220</v>
      </c>
      <c r="O170" s="193"/>
      <c r="P170" s="193"/>
      <c r="Q170" s="193"/>
      <c r="R170" s="109"/>
      <c r="S170" s="193"/>
      <c r="T170" s="193"/>
      <c r="U170" s="193"/>
      <c r="V170" s="193"/>
      <c r="W170" s="193"/>
      <c r="X170" s="193"/>
      <c r="Y170" s="193"/>
      <c r="Z170" s="193"/>
      <c r="AA170" s="193"/>
      <c r="AB170" s="194">
        <v>0.83940000000000003</v>
      </c>
      <c r="AC170" s="194">
        <v>0.83940000000000003</v>
      </c>
      <c r="AD170" s="106"/>
      <c r="AE170" s="118"/>
      <c r="AF170" s="106"/>
      <c r="AG170" s="106"/>
      <c r="AH170" s="106"/>
      <c r="AI170" s="106">
        <f t="shared" si="117"/>
        <v>0</v>
      </c>
      <c r="AJ170" s="106">
        <f t="shared" si="118"/>
        <v>0</v>
      </c>
      <c r="AK170" s="106">
        <f t="shared" si="119"/>
        <v>0</v>
      </c>
      <c r="AL170" s="132">
        <f t="shared" si="120"/>
        <v>0</v>
      </c>
      <c r="AM170" s="198">
        <f t="shared" si="121"/>
        <v>0</v>
      </c>
      <c r="AN170" s="95">
        <v>0</v>
      </c>
      <c r="AO170" s="95">
        <v>2279</v>
      </c>
      <c r="AP170" s="95">
        <v>0</v>
      </c>
      <c r="AQ170" s="106">
        <f t="shared" si="122"/>
        <v>2279</v>
      </c>
      <c r="AR170" s="193">
        <f t="shared" si="123"/>
        <v>1912.9926</v>
      </c>
      <c r="AS170" s="95">
        <v>0</v>
      </c>
      <c r="AT170" s="95">
        <v>0</v>
      </c>
      <c r="AU170" s="95">
        <v>0</v>
      </c>
      <c r="AV170" s="95">
        <f t="shared" si="142"/>
        <v>0</v>
      </c>
      <c r="AW170" s="95">
        <v>0</v>
      </c>
      <c r="AX170" s="95">
        <v>0</v>
      </c>
      <c r="AY170" s="95">
        <v>0</v>
      </c>
      <c r="AZ170" s="95">
        <f t="shared" si="143"/>
        <v>0</v>
      </c>
      <c r="BA170" s="197">
        <f t="shared" si="144"/>
        <v>0</v>
      </c>
      <c r="BB170" s="94">
        <f t="shared" si="124"/>
        <v>0</v>
      </c>
      <c r="BC170" s="105">
        <f t="shared" si="137"/>
        <v>0</v>
      </c>
      <c r="BD170" s="94">
        <f t="shared" si="125"/>
        <v>2279</v>
      </c>
      <c r="BE170" s="94">
        <f t="shared" si="138"/>
        <v>1912.9926</v>
      </c>
      <c r="BF170" s="94">
        <f t="shared" si="126"/>
        <v>0</v>
      </c>
      <c r="BG170" s="94">
        <f t="shared" si="139"/>
        <v>0</v>
      </c>
      <c r="BH170" s="94">
        <f t="shared" si="127"/>
        <v>2279</v>
      </c>
      <c r="BI170" s="94">
        <f t="shared" si="128"/>
        <v>1912.9926</v>
      </c>
      <c r="BJ170" s="186">
        <f t="shared" si="129"/>
        <v>0</v>
      </c>
      <c r="BK170" s="182">
        <f t="shared" si="130"/>
        <v>0</v>
      </c>
      <c r="BL170" s="98">
        <f t="shared" si="131"/>
        <v>0</v>
      </c>
      <c r="BM170" s="99"/>
      <c r="BN170" s="99"/>
      <c r="BO170" s="182"/>
      <c r="BP170" s="182"/>
      <c r="BQ170" s="182"/>
      <c r="BR170" s="182"/>
      <c r="BS170" s="95"/>
      <c r="BT170" s="182"/>
      <c r="BU170" s="182">
        <f t="shared" si="140"/>
        <v>0</v>
      </c>
      <c r="BV170" s="95"/>
      <c r="BW170" s="182"/>
      <c r="BX170" s="182"/>
      <c r="BY170" s="95"/>
      <c r="BZ170" s="182"/>
      <c r="CA170" s="95">
        <f t="shared" si="132"/>
        <v>0</v>
      </c>
      <c r="CB170" s="95"/>
      <c r="CC170" s="182"/>
      <c r="CD170" s="95"/>
      <c r="CE170" s="95"/>
      <c r="CF170" s="182"/>
      <c r="CG170" s="95"/>
      <c r="CH170" s="95"/>
      <c r="CI170" s="182"/>
      <c r="CJ170" s="95"/>
      <c r="CK170" s="95"/>
      <c r="CL170" s="182"/>
      <c r="CM170" s="95"/>
      <c r="CN170" s="182">
        <f t="shared" si="133"/>
        <v>0</v>
      </c>
      <c r="CO170" s="94">
        <v>0</v>
      </c>
      <c r="CP170" s="182">
        <f t="shared" si="141"/>
        <v>0</v>
      </c>
      <c r="CQ170" s="95">
        <f t="shared" si="134"/>
        <v>2279</v>
      </c>
      <c r="CR170" s="115">
        <f t="shared" si="145"/>
        <v>0</v>
      </c>
      <c r="CS170" s="113"/>
      <c r="CT170" s="113"/>
      <c r="CU170" s="187"/>
      <c r="CV170" s="187"/>
      <c r="CW170" s="240"/>
    </row>
    <row r="171" spans="1:101" s="51" customFormat="1" ht="19.899999999999999" customHeight="1" x14ac:dyDescent="0.3">
      <c r="A171" s="148"/>
      <c r="B171" s="50"/>
      <c r="C171" s="148" t="s">
        <v>254</v>
      </c>
      <c r="D171" s="104" t="s">
        <v>255</v>
      </c>
      <c r="E171" s="104"/>
      <c r="F171" s="94">
        <v>2921</v>
      </c>
      <c r="G171" s="182">
        <v>0.86</v>
      </c>
      <c r="H171" s="95">
        <f t="shared" si="114"/>
        <v>2512.06</v>
      </c>
      <c r="I171" s="93"/>
      <c r="J171" s="96" t="s">
        <v>256</v>
      </c>
      <c r="K171" s="49" t="s">
        <v>257</v>
      </c>
      <c r="L171" s="93"/>
      <c r="M171" s="97" t="s">
        <v>148</v>
      </c>
      <c r="N171" s="97" t="s">
        <v>278</v>
      </c>
      <c r="O171" s="183"/>
      <c r="P171" s="183"/>
      <c r="Q171" s="183"/>
      <c r="R171" s="131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4">
        <v>0.89150099999999999</v>
      </c>
      <c r="AC171" s="184">
        <v>0.89150099999999999</v>
      </c>
      <c r="AD171" s="95"/>
      <c r="AE171" s="95"/>
      <c r="AF171" s="95"/>
      <c r="AG171" s="95"/>
      <c r="AH171" s="95"/>
      <c r="AI171" s="95">
        <f t="shared" si="117"/>
        <v>0</v>
      </c>
      <c r="AJ171" s="95">
        <f t="shared" si="118"/>
        <v>0</v>
      </c>
      <c r="AK171" s="95">
        <f t="shared" si="119"/>
        <v>0</v>
      </c>
      <c r="AL171" s="133">
        <f t="shared" si="120"/>
        <v>0</v>
      </c>
      <c r="AM171" s="199">
        <f t="shared" si="121"/>
        <v>0</v>
      </c>
      <c r="AN171" s="106">
        <v>0</v>
      </c>
      <c r="AO171" s="106">
        <v>2133</v>
      </c>
      <c r="AP171" s="106">
        <v>0</v>
      </c>
      <c r="AQ171" s="95">
        <f t="shared" si="122"/>
        <v>2133</v>
      </c>
      <c r="AR171" s="183">
        <f t="shared" si="123"/>
        <v>1901.571633</v>
      </c>
      <c r="AS171" s="106">
        <v>0</v>
      </c>
      <c r="AT171" s="106">
        <v>0</v>
      </c>
      <c r="AU171" s="106">
        <v>0</v>
      </c>
      <c r="AV171" s="106">
        <f t="shared" si="142"/>
        <v>0</v>
      </c>
      <c r="AW171" s="106">
        <v>0</v>
      </c>
      <c r="AX171" s="106">
        <v>0</v>
      </c>
      <c r="AY171" s="106">
        <v>0</v>
      </c>
      <c r="AZ171" s="106">
        <f t="shared" si="143"/>
        <v>0</v>
      </c>
      <c r="BA171" s="197">
        <f t="shared" si="144"/>
        <v>0</v>
      </c>
      <c r="BB171" s="105">
        <f t="shared" si="124"/>
        <v>0</v>
      </c>
      <c r="BC171" s="105">
        <f t="shared" si="137"/>
        <v>0</v>
      </c>
      <c r="BD171" s="105">
        <f t="shared" si="125"/>
        <v>2133</v>
      </c>
      <c r="BE171" s="105">
        <f t="shared" si="138"/>
        <v>1901.571633</v>
      </c>
      <c r="BF171" s="105">
        <f t="shared" si="126"/>
        <v>0</v>
      </c>
      <c r="BG171" s="105">
        <f t="shared" si="139"/>
        <v>0</v>
      </c>
      <c r="BH171" s="105">
        <f t="shared" si="127"/>
        <v>2133</v>
      </c>
      <c r="BI171" s="105">
        <f t="shared" si="128"/>
        <v>1901.571633</v>
      </c>
      <c r="BJ171" s="186">
        <f t="shared" si="129"/>
        <v>0</v>
      </c>
      <c r="BK171" s="182">
        <f t="shared" si="130"/>
        <v>0</v>
      </c>
      <c r="BL171" s="98">
        <f t="shared" si="131"/>
        <v>0</v>
      </c>
      <c r="BM171" s="99"/>
      <c r="BN171" s="99"/>
      <c r="BO171" s="196"/>
      <c r="BP171" s="196"/>
      <c r="BQ171" s="196"/>
      <c r="BR171" s="196"/>
      <c r="BS171" s="106"/>
      <c r="BT171" s="196"/>
      <c r="BU171" s="182">
        <f t="shared" si="140"/>
        <v>0</v>
      </c>
      <c r="BV171" s="106"/>
      <c r="BW171" s="196"/>
      <c r="BX171" s="196"/>
      <c r="BY171" s="106"/>
      <c r="BZ171" s="196"/>
      <c r="CA171" s="95">
        <f t="shared" si="132"/>
        <v>0</v>
      </c>
      <c r="CB171" s="106"/>
      <c r="CC171" s="196"/>
      <c r="CD171" s="106"/>
      <c r="CE171" s="106"/>
      <c r="CF171" s="196"/>
      <c r="CG171" s="106"/>
      <c r="CH171" s="106"/>
      <c r="CI171" s="196"/>
      <c r="CJ171" s="106"/>
      <c r="CK171" s="106"/>
      <c r="CL171" s="196"/>
      <c r="CM171" s="106"/>
      <c r="CN171" s="182">
        <f t="shared" si="133"/>
        <v>0</v>
      </c>
      <c r="CO171" s="105">
        <v>0</v>
      </c>
      <c r="CP171" s="182">
        <f t="shared" si="141"/>
        <v>0</v>
      </c>
      <c r="CQ171" s="95">
        <f t="shared" si="134"/>
        <v>2133</v>
      </c>
      <c r="CR171" s="115">
        <f t="shared" si="145"/>
        <v>0</v>
      </c>
      <c r="CS171" s="113"/>
      <c r="CT171" s="113"/>
      <c r="CU171" s="187"/>
      <c r="CV171" s="187"/>
      <c r="CW171" s="240"/>
    </row>
    <row r="172" spans="1:101" s="51" customFormat="1" ht="19.899999999999999" customHeight="1" x14ac:dyDescent="0.3">
      <c r="A172" s="92"/>
      <c r="B172" s="49"/>
      <c r="C172" s="92" t="s">
        <v>254</v>
      </c>
      <c r="D172" s="93" t="s">
        <v>255</v>
      </c>
      <c r="E172" s="93"/>
      <c r="F172" s="105">
        <v>2921</v>
      </c>
      <c r="G172" s="196">
        <v>0.86</v>
      </c>
      <c r="H172" s="106">
        <f t="shared" si="114"/>
        <v>2512.06</v>
      </c>
      <c r="I172" s="104"/>
      <c r="J172" s="107" t="s">
        <v>256</v>
      </c>
      <c r="K172" s="50" t="s">
        <v>257</v>
      </c>
      <c r="L172" s="104"/>
      <c r="M172" s="108" t="s">
        <v>150</v>
      </c>
      <c r="N172" s="108" t="s">
        <v>279</v>
      </c>
      <c r="O172" s="193"/>
      <c r="P172" s="193"/>
      <c r="Q172" s="193"/>
      <c r="R172" s="109"/>
      <c r="S172" s="193"/>
      <c r="T172" s="193"/>
      <c r="U172" s="193"/>
      <c r="V172" s="193"/>
      <c r="W172" s="193"/>
      <c r="X172" s="193"/>
      <c r="Y172" s="193"/>
      <c r="Z172" s="193"/>
      <c r="AA172" s="193"/>
      <c r="AB172" s="194">
        <v>0.90526499999999999</v>
      </c>
      <c r="AC172" s="194">
        <v>0.90526499999999999</v>
      </c>
      <c r="AD172" s="106"/>
      <c r="AE172" s="118"/>
      <c r="AF172" s="106"/>
      <c r="AG172" s="106"/>
      <c r="AH172" s="106"/>
      <c r="AI172" s="106">
        <f t="shared" si="117"/>
        <v>0</v>
      </c>
      <c r="AJ172" s="106">
        <f t="shared" si="118"/>
        <v>0</v>
      </c>
      <c r="AK172" s="106">
        <f t="shared" si="119"/>
        <v>0</v>
      </c>
      <c r="AL172" s="132">
        <f t="shared" si="120"/>
        <v>0</v>
      </c>
      <c r="AM172" s="198">
        <f t="shared" si="121"/>
        <v>0</v>
      </c>
      <c r="AN172" s="95">
        <v>0</v>
      </c>
      <c r="AO172" s="95">
        <v>4395</v>
      </c>
      <c r="AP172" s="95">
        <v>0</v>
      </c>
      <c r="AQ172" s="106">
        <f t="shared" si="122"/>
        <v>4395</v>
      </c>
      <c r="AR172" s="193">
        <f t="shared" si="123"/>
        <v>3978.6396749999999</v>
      </c>
      <c r="AS172" s="95">
        <v>0</v>
      </c>
      <c r="AT172" s="95">
        <v>0</v>
      </c>
      <c r="AU172" s="95">
        <v>0</v>
      </c>
      <c r="AV172" s="95">
        <f t="shared" si="142"/>
        <v>0</v>
      </c>
      <c r="AW172" s="95">
        <v>0</v>
      </c>
      <c r="AX172" s="95">
        <v>0</v>
      </c>
      <c r="AY172" s="95">
        <v>0</v>
      </c>
      <c r="AZ172" s="95">
        <f t="shared" si="143"/>
        <v>0</v>
      </c>
      <c r="BA172" s="197">
        <f t="shared" si="144"/>
        <v>0</v>
      </c>
      <c r="BB172" s="94">
        <f t="shared" si="124"/>
        <v>0</v>
      </c>
      <c r="BC172" s="105">
        <f t="shared" si="137"/>
        <v>0</v>
      </c>
      <c r="BD172" s="94">
        <f t="shared" si="125"/>
        <v>4395</v>
      </c>
      <c r="BE172" s="94">
        <f t="shared" si="138"/>
        <v>3978.6396749999999</v>
      </c>
      <c r="BF172" s="94">
        <f t="shared" si="126"/>
        <v>0</v>
      </c>
      <c r="BG172" s="94">
        <f t="shared" si="139"/>
        <v>0</v>
      </c>
      <c r="BH172" s="94">
        <f t="shared" si="127"/>
        <v>4395</v>
      </c>
      <c r="BI172" s="94">
        <f t="shared" si="128"/>
        <v>3978.6396749999999</v>
      </c>
      <c r="BJ172" s="186">
        <f t="shared" si="129"/>
        <v>0</v>
      </c>
      <c r="BK172" s="182">
        <f t="shared" si="130"/>
        <v>0</v>
      </c>
      <c r="BL172" s="98">
        <f t="shared" si="131"/>
        <v>0</v>
      </c>
      <c r="BM172" s="99"/>
      <c r="BN172" s="99"/>
      <c r="BO172" s="182"/>
      <c r="BP172" s="182"/>
      <c r="BQ172" s="182"/>
      <c r="BR172" s="182"/>
      <c r="BS172" s="95"/>
      <c r="BT172" s="182"/>
      <c r="BU172" s="182">
        <f t="shared" si="140"/>
        <v>0</v>
      </c>
      <c r="BV172" s="95"/>
      <c r="BW172" s="182"/>
      <c r="BX172" s="182"/>
      <c r="BY172" s="95"/>
      <c r="BZ172" s="182"/>
      <c r="CA172" s="95">
        <f t="shared" si="132"/>
        <v>0</v>
      </c>
      <c r="CB172" s="95"/>
      <c r="CC172" s="182"/>
      <c r="CD172" s="95"/>
      <c r="CE172" s="95"/>
      <c r="CF172" s="182"/>
      <c r="CG172" s="95"/>
      <c r="CH172" s="95"/>
      <c r="CI172" s="182"/>
      <c r="CJ172" s="95"/>
      <c r="CK172" s="95"/>
      <c r="CL172" s="182"/>
      <c r="CM172" s="95"/>
      <c r="CN172" s="182">
        <f t="shared" si="133"/>
        <v>0</v>
      </c>
      <c r="CO172" s="94">
        <v>0</v>
      </c>
      <c r="CP172" s="182">
        <f t="shared" si="141"/>
        <v>0</v>
      </c>
      <c r="CQ172" s="95">
        <f t="shared" si="134"/>
        <v>4395</v>
      </c>
      <c r="CR172" s="115">
        <f t="shared" si="145"/>
        <v>0</v>
      </c>
      <c r="CS172" s="113"/>
      <c r="CT172" s="113"/>
      <c r="CU172" s="187"/>
      <c r="CV172" s="187"/>
      <c r="CW172" s="240"/>
    </row>
    <row r="173" spans="1:101" s="51" customFormat="1" ht="19.899999999999999" customHeight="1" x14ac:dyDescent="0.3">
      <c r="A173" s="148"/>
      <c r="B173" s="50">
        <v>10036862957</v>
      </c>
      <c r="C173" s="148" t="s">
        <v>280</v>
      </c>
      <c r="D173" s="104" t="s">
        <v>281</v>
      </c>
      <c r="E173" s="156" t="s">
        <v>130</v>
      </c>
      <c r="F173" s="105">
        <v>16726</v>
      </c>
      <c r="G173" s="188">
        <v>0.77</v>
      </c>
      <c r="H173" s="118">
        <f t="shared" si="114"/>
        <v>12879.02</v>
      </c>
      <c r="I173" s="93" t="s">
        <v>148</v>
      </c>
      <c r="J173" s="96" t="s">
        <v>282</v>
      </c>
      <c r="K173" s="49" t="s">
        <v>283</v>
      </c>
      <c r="L173" s="93"/>
      <c r="M173" s="97" t="s">
        <v>150</v>
      </c>
      <c r="N173" s="97" t="s">
        <v>151</v>
      </c>
      <c r="O173" s="183">
        <v>6047.92</v>
      </c>
      <c r="P173" s="183">
        <v>0</v>
      </c>
      <c r="Q173" s="183">
        <v>0</v>
      </c>
      <c r="R173" s="131"/>
      <c r="S173" s="183">
        <f>81.48+20.88</f>
        <v>102.36</v>
      </c>
      <c r="T173" s="183">
        <v>0</v>
      </c>
      <c r="U173" s="183">
        <v>0</v>
      </c>
      <c r="V173" s="183">
        <v>0</v>
      </c>
      <c r="W173" s="183">
        <v>0</v>
      </c>
      <c r="X173" s="183">
        <v>0</v>
      </c>
      <c r="Y173" s="183">
        <v>0</v>
      </c>
      <c r="Z173" s="183">
        <v>0</v>
      </c>
      <c r="AA173" s="183"/>
      <c r="AB173" s="184">
        <v>0.84188466918101468</v>
      </c>
      <c r="AC173" s="184">
        <v>0.84188466918101468</v>
      </c>
      <c r="AD173" s="95">
        <v>39.450000000000003</v>
      </c>
      <c r="AE173" s="95">
        <f>9.92+17905.12</f>
        <v>17915.039999999997</v>
      </c>
      <c r="AF173" s="95">
        <v>0</v>
      </c>
      <c r="AG173" s="95">
        <f t="shared" ref="AG173:AG204" si="146">SUM(AD173:AF173)</f>
        <v>17954.489999999998</v>
      </c>
      <c r="AH173" s="95">
        <f t="shared" ref="AH173:AH204" si="147">(AD173*AB173)+((AE173+AF173)*AC173)</f>
        <v>15115.609873963835</v>
      </c>
      <c r="AI173" s="95">
        <f t="shared" si="117"/>
        <v>39.450000000000003</v>
      </c>
      <c r="AJ173" s="95">
        <f t="shared" si="118"/>
        <v>14345.039999999997</v>
      </c>
      <c r="AK173" s="95">
        <f t="shared" si="119"/>
        <v>0</v>
      </c>
      <c r="AL173" s="133">
        <f t="shared" si="120"/>
        <v>14384.489999999998</v>
      </c>
      <c r="AM173" s="199">
        <f t="shared" si="121"/>
        <v>12110.081604987612</v>
      </c>
      <c r="AN173" s="95">
        <v>2815.34</v>
      </c>
      <c r="AO173" s="95">
        <v>10327.799999999999</v>
      </c>
      <c r="AP173" s="95">
        <v>7169.4</v>
      </c>
      <c r="AQ173" s="106">
        <f t="shared" si="122"/>
        <v>20312.54</v>
      </c>
      <c r="AR173" s="193">
        <f t="shared" si="123"/>
        <v>17100.816018126126</v>
      </c>
      <c r="AS173" s="95">
        <v>0</v>
      </c>
      <c r="AT173" s="95">
        <v>3570</v>
      </c>
      <c r="AU173" s="95">
        <v>0</v>
      </c>
      <c r="AV173" s="95">
        <f t="shared" si="142"/>
        <v>3570</v>
      </c>
      <c r="AW173" s="95">
        <v>0</v>
      </c>
      <c r="AX173" s="95">
        <v>10227.799999999999</v>
      </c>
      <c r="AY173" s="95">
        <v>3022.53</v>
      </c>
      <c r="AZ173" s="95">
        <f t="shared" si="143"/>
        <v>13250.33</v>
      </c>
      <c r="BA173" s="197">
        <f t="shared" si="144"/>
        <v>11155.249688589274</v>
      </c>
      <c r="BB173" s="94">
        <f t="shared" si="124"/>
        <v>2815.34</v>
      </c>
      <c r="BC173" s="105">
        <f t="shared" si="137"/>
        <v>2370.1915845320782</v>
      </c>
      <c r="BD173" s="94">
        <f t="shared" si="125"/>
        <v>100</v>
      </c>
      <c r="BE173" s="94">
        <f t="shared" si="138"/>
        <v>84.188466918101469</v>
      </c>
      <c r="BF173" s="94">
        <f t="shared" si="126"/>
        <v>4146.869999999999</v>
      </c>
      <c r="BG173" s="94">
        <f t="shared" si="139"/>
        <v>3491.1862780866736</v>
      </c>
      <c r="BH173" s="94">
        <f t="shared" si="127"/>
        <v>7062.2099999999991</v>
      </c>
      <c r="BI173" s="94">
        <f t="shared" si="128"/>
        <v>5945.5663295368531</v>
      </c>
      <c r="BJ173" s="186">
        <f t="shared" si="129"/>
        <v>27634.82</v>
      </c>
      <c r="BK173" s="182">
        <f t="shared" si="130"/>
        <v>23265.331293576884</v>
      </c>
      <c r="BL173" s="98">
        <f t="shared" si="131"/>
        <v>27634.82</v>
      </c>
      <c r="BM173" s="99">
        <f t="shared" ref="BM173:BM204" si="148">AW173</f>
        <v>0</v>
      </c>
      <c r="BN173" s="99">
        <f t="shared" ref="BN173:BN204" si="149">AX173+AY173</f>
        <v>13250.33</v>
      </c>
      <c r="BO173" s="182"/>
      <c r="BP173" s="182"/>
      <c r="BQ173" s="182">
        <v>0</v>
      </c>
      <c r="BR173" s="182"/>
      <c r="BS173" s="95">
        <v>0</v>
      </c>
      <c r="BT173" s="182"/>
      <c r="BU173" s="182">
        <v>0</v>
      </c>
      <c r="BV173" s="95">
        <v>0</v>
      </c>
      <c r="BW173" s="182"/>
      <c r="BX173" s="182">
        <v>0</v>
      </c>
      <c r="BY173" s="95"/>
      <c r="BZ173" s="182"/>
      <c r="CA173" s="95">
        <f t="shared" si="132"/>
        <v>0</v>
      </c>
      <c r="CB173" s="95"/>
      <c r="CC173" s="182"/>
      <c r="CD173" s="95"/>
      <c r="CE173" s="95"/>
      <c r="CF173" s="182"/>
      <c r="CG173" s="95"/>
      <c r="CH173" s="95"/>
      <c r="CI173" s="182"/>
      <c r="CJ173" s="95"/>
      <c r="CK173" s="95"/>
      <c r="CL173" s="182"/>
      <c r="CM173" s="95"/>
      <c r="CN173" s="182">
        <f t="shared" si="133"/>
        <v>23265.331293576884</v>
      </c>
      <c r="CO173" s="94">
        <v>0</v>
      </c>
      <c r="CP173" s="182">
        <f t="shared" si="141"/>
        <v>-7453.8541000000005</v>
      </c>
      <c r="CQ173" s="95">
        <f t="shared" si="134"/>
        <v>47947.360000000001</v>
      </c>
      <c r="CR173" s="115">
        <f t="shared" si="145"/>
        <v>-9680.33</v>
      </c>
      <c r="CS173" s="113" t="s">
        <v>284</v>
      </c>
      <c r="CT173" s="113"/>
      <c r="CU173" s="187"/>
      <c r="CV173" s="187"/>
      <c r="CW173" s="240"/>
    </row>
    <row r="174" spans="1:101" s="51" customFormat="1" ht="19.899999999999999" customHeight="1" x14ac:dyDescent="0.3">
      <c r="A174" s="92"/>
      <c r="B174" s="49">
        <v>10036862957</v>
      </c>
      <c r="C174" s="92" t="s">
        <v>280</v>
      </c>
      <c r="D174" s="93" t="s">
        <v>281</v>
      </c>
      <c r="E174" s="96" t="s">
        <v>130</v>
      </c>
      <c r="F174" s="94">
        <v>16726</v>
      </c>
      <c r="G174" s="182">
        <v>0.77</v>
      </c>
      <c r="H174" s="95">
        <f t="shared" si="114"/>
        <v>12879.02</v>
      </c>
      <c r="I174" s="104" t="s">
        <v>148</v>
      </c>
      <c r="J174" s="107" t="s">
        <v>282</v>
      </c>
      <c r="K174" s="50" t="s">
        <v>283</v>
      </c>
      <c r="L174" s="104"/>
      <c r="M174" s="108" t="s">
        <v>152</v>
      </c>
      <c r="N174" s="108" t="s">
        <v>153</v>
      </c>
      <c r="O174" s="193">
        <v>83.97</v>
      </c>
      <c r="P174" s="193">
        <v>0</v>
      </c>
      <c r="Q174" s="193">
        <v>0</v>
      </c>
      <c r="R174" s="109">
        <v>0</v>
      </c>
      <c r="S174" s="193">
        <v>0</v>
      </c>
      <c r="T174" s="193">
        <v>0</v>
      </c>
      <c r="U174" s="193">
        <v>0</v>
      </c>
      <c r="V174" s="193">
        <v>0</v>
      </c>
      <c r="W174" s="193">
        <v>0</v>
      </c>
      <c r="X174" s="193">
        <v>0</v>
      </c>
      <c r="Y174" s="193">
        <v>0</v>
      </c>
      <c r="Z174" s="193">
        <v>0</v>
      </c>
      <c r="AA174" s="193">
        <v>0</v>
      </c>
      <c r="AB174" s="194">
        <v>0.839619</v>
      </c>
      <c r="AC174" s="194">
        <v>0.839619</v>
      </c>
      <c r="AD174" s="106">
        <v>71.239999999999995</v>
      </c>
      <c r="AE174" s="118">
        <v>16047.98</v>
      </c>
      <c r="AF174" s="106">
        <v>0.68</v>
      </c>
      <c r="AG174" s="106">
        <f t="shared" si="146"/>
        <v>16119.9</v>
      </c>
      <c r="AH174" s="106">
        <f t="shared" si="147"/>
        <v>13534.5743181</v>
      </c>
      <c r="AI174" s="106">
        <f t="shared" si="117"/>
        <v>50.16</v>
      </c>
      <c r="AJ174" s="106">
        <f t="shared" si="118"/>
        <v>4842.3799999999992</v>
      </c>
      <c r="AK174" s="106">
        <f t="shared" si="119"/>
        <v>0.68</v>
      </c>
      <c r="AL174" s="132">
        <f t="shared" si="120"/>
        <v>4893.2199999999993</v>
      </c>
      <c r="AM174" s="198">
        <f t="shared" si="121"/>
        <v>4108.4404831799993</v>
      </c>
      <c r="AN174" s="157">
        <v>864.19</v>
      </c>
      <c r="AO174" s="157">
        <v>2839.2</v>
      </c>
      <c r="AP174" s="157">
        <v>2515.8000000000002</v>
      </c>
      <c r="AQ174" s="106">
        <f t="shared" si="122"/>
        <v>6219.1900000000005</v>
      </c>
      <c r="AR174" s="193">
        <f t="shared" si="123"/>
        <v>5221.7500886099997</v>
      </c>
      <c r="AS174" s="125">
        <v>21.08</v>
      </c>
      <c r="AT174" s="125">
        <v>11205.6</v>
      </c>
      <c r="AU174" s="125">
        <v>0</v>
      </c>
      <c r="AV174" s="95">
        <f t="shared" si="142"/>
        <v>11226.68</v>
      </c>
      <c r="AW174" s="125">
        <v>864.19</v>
      </c>
      <c r="AX174" s="125">
        <v>2739.2</v>
      </c>
      <c r="AY174" s="125">
        <v>2515.8000000000002</v>
      </c>
      <c r="AZ174" s="95">
        <f t="shared" si="143"/>
        <v>6119.1900000000005</v>
      </c>
      <c r="BA174" s="197">
        <f t="shared" si="144"/>
        <v>5137.7881886099995</v>
      </c>
      <c r="BB174" s="94">
        <f t="shared" si="124"/>
        <v>0</v>
      </c>
      <c r="BC174" s="105">
        <f t="shared" si="137"/>
        <v>0</v>
      </c>
      <c r="BD174" s="94">
        <f t="shared" si="125"/>
        <v>100</v>
      </c>
      <c r="BE174" s="94">
        <f t="shared" si="138"/>
        <v>83.9619</v>
      </c>
      <c r="BF174" s="94">
        <f t="shared" si="126"/>
        <v>0</v>
      </c>
      <c r="BG174" s="94">
        <f t="shared" si="139"/>
        <v>0</v>
      </c>
      <c r="BH174" s="94">
        <f t="shared" si="127"/>
        <v>100</v>
      </c>
      <c r="BI174" s="94">
        <f t="shared" si="128"/>
        <v>83.9619</v>
      </c>
      <c r="BJ174" s="186">
        <f t="shared" si="129"/>
        <v>11012.41</v>
      </c>
      <c r="BK174" s="182">
        <f t="shared" si="130"/>
        <v>9246.2286717900006</v>
      </c>
      <c r="BL174" s="98">
        <f t="shared" si="131"/>
        <v>11012.41</v>
      </c>
      <c r="BM174" s="99">
        <f t="shared" si="148"/>
        <v>864.19</v>
      </c>
      <c r="BN174" s="99">
        <f t="shared" si="149"/>
        <v>5255</v>
      </c>
      <c r="BO174" s="126"/>
      <c r="BP174" s="126"/>
      <c r="BQ174" s="126"/>
      <c r="BR174" s="126"/>
      <c r="BS174" s="126"/>
      <c r="BT174" s="126"/>
      <c r="BU174" s="126"/>
      <c r="BV174" s="126"/>
      <c r="BW174" s="126"/>
      <c r="BX174" s="126"/>
      <c r="BY174" s="126"/>
      <c r="BZ174" s="126"/>
      <c r="CA174" s="126"/>
      <c r="CB174" s="126"/>
      <c r="CC174" s="126"/>
      <c r="CD174" s="126"/>
      <c r="CE174" s="126"/>
      <c r="CF174" s="126"/>
      <c r="CG174" s="126"/>
      <c r="CH174" s="126"/>
      <c r="CI174" s="126"/>
      <c r="CJ174" s="126"/>
      <c r="CK174" s="126"/>
      <c r="CL174" s="126"/>
      <c r="CM174" s="126"/>
      <c r="CN174" s="182">
        <f t="shared" si="133"/>
        <v>9246.2286717900006</v>
      </c>
      <c r="CO174" s="94">
        <f>(AV174-(AZ174+BV174+BY174+CB174+CE174+CH174+CK174+BS174)+CO231)</f>
        <v>5107.49</v>
      </c>
      <c r="CP174" s="182">
        <f t="shared" si="141"/>
        <v>3932.7673</v>
      </c>
      <c r="CQ174" s="95">
        <f t="shared" si="134"/>
        <v>17231.599999999999</v>
      </c>
      <c r="CR174" s="115">
        <f t="shared" si="145"/>
        <v>5107.49</v>
      </c>
      <c r="CU174" s="187"/>
      <c r="CV174" s="187"/>
      <c r="CW174" s="240"/>
    </row>
    <row r="175" spans="1:101" s="51" customFormat="1" ht="19.899999999999999" customHeight="1" x14ac:dyDescent="0.3">
      <c r="A175" s="148"/>
      <c r="B175" s="50">
        <v>10036862957</v>
      </c>
      <c r="C175" s="148" t="s">
        <v>280</v>
      </c>
      <c r="D175" s="104" t="s">
        <v>281</v>
      </c>
      <c r="E175" s="107" t="s">
        <v>130</v>
      </c>
      <c r="F175" s="105">
        <v>16726</v>
      </c>
      <c r="G175" s="196">
        <v>0.77</v>
      </c>
      <c r="H175" s="106">
        <f t="shared" si="114"/>
        <v>12879.02</v>
      </c>
      <c r="I175" s="104" t="s">
        <v>148</v>
      </c>
      <c r="J175" s="107" t="s">
        <v>282</v>
      </c>
      <c r="K175" s="50" t="s">
        <v>283</v>
      </c>
      <c r="L175" s="104"/>
      <c r="M175" s="108" t="s">
        <v>155</v>
      </c>
      <c r="N175" s="108" t="s">
        <v>156</v>
      </c>
      <c r="O175" s="193">
        <v>13903.25</v>
      </c>
      <c r="P175" s="193"/>
      <c r="Q175" s="193">
        <v>0</v>
      </c>
      <c r="R175" s="109"/>
      <c r="S175" s="193">
        <v>11.44</v>
      </c>
      <c r="T175" s="193"/>
      <c r="U175" s="193"/>
      <c r="V175" s="193"/>
      <c r="W175" s="193"/>
      <c r="X175" s="193"/>
      <c r="Y175" s="193">
        <v>0</v>
      </c>
      <c r="Z175" s="193">
        <v>0</v>
      </c>
      <c r="AA175" s="193"/>
      <c r="AB175" s="194">
        <v>0.85668900000000003</v>
      </c>
      <c r="AC175" s="194">
        <v>0.85668900000000003</v>
      </c>
      <c r="AD175" s="106">
        <v>44.59</v>
      </c>
      <c r="AE175" s="118">
        <v>16073.94</v>
      </c>
      <c r="AF175" s="106">
        <v>0</v>
      </c>
      <c r="AG175" s="106">
        <f t="shared" si="146"/>
        <v>16118.53</v>
      </c>
      <c r="AH175" s="106">
        <f t="shared" si="147"/>
        <v>13808.567347170001</v>
      </c>
      <c r="AI175" s="106">
        <f t="shared" si="117"/>
        <v>44.59</v>
      </c>
      <c r="AJ175" s="106">
        <f t="shared" si="118"/>
        <v>14070.54</v>
      </c>
      <c r="AK175" s="106">
        <f t="shared" si="119"/>
        <v>0</v>
      </c>
      <c r="AL175" s="132">
        <f t="shared" si="120"/>
        <v>14115.130000000001</v>
      </c>
      <c r="AM175" s="198">
        <f t="shared" si="121"/>
        <v>12092.276604570001</v>
      </c>
      <c r="AN175" s="158">
        <v>3300.99</v>
      </c>
      <c r="AO175" s="158">
        <v>12075</v>
      </c>
      <c r="AP175" s="158">
        <v>7950.6</v>
      </c>
      <c r="AQ175" s="153">
        <f t="shared" si="122"/>
        <v>23326.59</v>
      </c>
      <c r="AR175" s="193">
        <f t="shared" si="123"/>
        <v>19983.633060510001</v>
      </c>
      <c r="AS175" s="51">
        <v>0</v>
      </c>
      <c r="AT175" s="51">
        <v>2003.4</v>
      </c>
      <c r="AU175" s="51">
        <v>0</v>
      </c>
      <c r="AV175" s="154">
        <f t="shared" si="142"/>
        <v>2003.4</v>
      </c>
      <c r="AW175" s="51">
        <v>0</v>
      </c>
      <c r="AX175" s="51">
        <v>7110.89</v>
      </c>
      <c r="AY175" s="51">
        <v>0</v>
      </c>
      <c r="AZ175" s="95">
        <f t="shared" si="143"/>
        <v>7110.89</v>
      </c>
      <c r="BA175" s="197">
        <f t="shared" si="144"/>
        <v>6091.8212432100008</v>
      </c>
      <c r="BB175" s="94">
        <f t="shared" si="124"/>
        <v>3300.99</v>
      </c>
      <c r="BC175" s="105">
        <f t="shared" si="137"/>
        <v>2827.92182211</v>
      </c>
      <c r="BD175" s="94">
        <f t="shared" si="125"/>
        <v>4964.1099999999997</v>
      </c>
      <c r="BE175" s="94">
        <f t="shared" si="138"/>
        <v>4252.6984317899996</v>
      </c>
      <c r="BF175" s="94">
        <f t="shared" si="126"/>
        <v>7950.6</v>
      </c>
      <c r="BG175" s="94">
        <f t="shared" si="139"/>
        <v>6811.1915634000006</v>
      </c>
      <c r="BH175" s="94">
        <f t="shared" si="127"/>
        <v>16215.699999999999</v>
      </c>
      <c r="BI175" s="94">
        <f t="shared" si="128"/>
        <v>13891.8118173</v>
      </c>
      <c r="BJ175" s="186">
        <f t="shared" si="129"/>
        <v>21226.02</v>
      </c>
      <c r="BK175" s="182">
        <f t="shared" si="130"/>
        <v>18184.097847780002</v>
      </c>
      <c r="BL175" s="98">
        <f t="shared" si="131"/>
        <v>21226.02</v>
      </c>
      <c r="BM175" s="99">
        <f t="shared" si="148"/>
        <v>0</v>
      </c>
      <c r="BN175" s="99">
        <f t="shared" si="149"/>
        <v>7110.89</v>
      </c>
      <c r="BO175" s="126"/>
      <c r="BP175" s="126"/>
      <c r="BQ175" s="126"/>
      <c r="BR175" s="126"/>
      <c r="BS175" s="126"/>
      <c r="BT175" s="126"/>
      <c r="BU175" s="126"/>
      <c r="BV175" s="126"/>
      <c r="BW175" s="126"/>
      <c r="BX175" s="126"/>
      <c r="BY175" s="126"/>
      <c r="BZ175" s="126"/>
      <c r="CA175" s="126"/>
      <c r="CB175" s="126"/>
      <c r="CC175" s="126"/>
      <c r="CD175" s="126"/>
      <c r="CE175" s="126"/>
      <c r="CF175" s="126"/>
      <c r="CG175" s="126"/>
      <c r="CH175" s="126"/>
      <c r="CI175" s="126"/>
      <c r="CJ175" s="126"/>
      <c r="CK175" s="126"/>
      <c r="CL175" s="126"/>
      <c r="CM175" s="126"/>
      <c r="CN175" s="213">
        <f t="shared" si="133"/>
        <v>18184.097847780002</v>
      </c>
      <c r="CO175" s="94">
        <f>(AV175-(AZ175+BV175+BY175+CB175+CE175+CH175+CK175+BS175)+CO232)</f>
        <v>-5107.49</v>
      </c>
      <c r="CP175" s="213">
        <f t="shared" si="141"/>
        <v>-3932.7673</v>
      </c>
      <c r="CQ175" s="154">
        <f t="shared" si="134"/>
        <v>44552.61</v>
      </c>
      <c r="CR175" s="155">
        <f t="shared" si="145"/>
        <v>-5107.49</v>
      </c>
      <c r="CS175" s="51" t="s">
        <v>285</v>
      </c>
      <c r="CU175" s="187"/>
      <c r="CV175" s="187"/>
      <c r="CW175" s="240"/>
    </row>
    <row r="176" spans="1:101" s="51" customFormat="1" ht="19.899999999999999" customHeight="1" x14ac:dyDescent="0.3">
      <c r="A176" s="92" t="s">
        <v>169</v>
      </c>
      <c r="B176" s="49">
        <v>10035411331</v>
      </c>
      <c r="C176" s="92" t="s">
        <v>286</v>
      </c>
      <c r="D176" s="93" t="s">
        <v>255</v>
      </c>
      <c r="E176" s="93"/>
      <c r="F176" s="94"/>
      <c r="G176" s="182"/>
      <c r="H176" s="95">
        <f t="shared" si="114"/>
        <v>0</v>
      </c>
      <c r="I176" s="93"/>
      <c r="J176" s="96"/>
      <c r="K176" s="49"/>
      <c r="L176" s="93"/>
      <c r="M176" s="97" t="s">
        <v>258</v>
      </c>
      <c r="N176" s="97">
        <v>44574</v>
      </c>
      <c r="O176" s="183"/>
      <c r="P176" s="183"/>
      <c r="Q176" s="183"/>
      <c r="R176" s="131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4">
        <v>0.80632999999999999</v>
      </c>
      <c r="AC176" s="184">
        <v>0.80632999999999999</v>
      </c>
      <c r="AD176" s="95"/>
      <c r="AE176" s="95"/>
      <c r="AF176" s="95"/>
      <c r="AG176" s="95">
        <f t="shared" si="146"/>
        <v>0</v>
      </c>
      <c r="AH176" s="95">
        <f t="shared" si="147"/>
        <v>0</v>
      </c>
      <c r="AI176" s="95">
        <f t="shared" si="117"/>
        <v>0</v>
      </c>
      <c r="AJ176" s="95">
        <f t="shared" si="118"/>
        <v>0</v>
      </c>
      <c r="AK176" s="95">
        <f t="shared" si="119"/>
        <v>0</v>
      </c>
      <c r="AL176" s="133">
        <f t="shared" si="120"/>
        <v>0</v>
      </c>
      <c r="AM176" s="199">
        <f t="shared" si="121"/>
        <v>0</v>
      </c>
      <c r="AN176" s="95">
        <v>0</v>
      </c>
      <c r="AO176" s="95">
        <v>30</v>
      </c>
      <c r="AP176" s="95">
        <v>0</v>
      </c>
      <c r="AQ176" s="95">
        <f t="shared" si="122"/>
        <v>30</v>
      </c>
      <c r="AR176" s="183">
        <f t="shared" si="123"/>
        <v>24.189900000000002</v>
      </c>
      <c r="AS176" s="95"/>
      <c r="AT176" s="95"/>
      <c r="AU176" s="95"/>
      <c r="AV176" s="95">
        <f t="shared" si="142"/>
        <v>0</v>
      </c>
      <c r="AW176" s="95"/>
      <c r="AX176" s="95"/>
      <c r="AY176" s="95"/>
      <c r="AZ176" s="95">
        <f t="shared" si="143"/>
        <v>0</v>
      </c>
      <c r="BA176" s="185">
        <f t="shared" si="144"/>
        <v>0</v>
      </c>
      <c r="BB176" s="94">
        <f t="shared" si="124"/>
        <v>0</v>
      </c>
      <c r="BC176" s="94">
        <f t="shared" si="137"/>
        <v>0</v>
      </c>
      <c r="BD176" s="94">
        <f t="shared" si="125"/>
        <v>30</v>
      </c>
      <c r="BE176" s="94">
        <f t="shared" si="138"/>
        <v>24.189900000000002</v>
      </c>
      <c r="BF176" s="94">
        <f t="shared" si="126"/>
        <v>0</v>
      </c>
      <c r="BG176" s="94">
        <f t="shared" si="139"/>
        <v>0</v>
      </c>
      <c r="BH176" s="94">
        <f t="shared" si="127"/>
        <v>30</v>
      </c>
      <c r="BI176" s="94">
        <f t="shared" si="128"/>
        <v>24.189900000000002</v>
      </c>
      <c r="BJ176" s="186">
        <f t="shared" si="129"/>
        <v>0</v>
      </c>
      <c r="BK176" s="182">
        <f t="shared" si="130"/>
        <v>0</v>
      </c>
      <c r="BL176" s="98">
        <f t="shared" si="131"/>
        <v>0</v>
      </c>
      <c r="BM176" s="95">
        <f t="shared" si="148"/>
        <v>0</v>
      </c>
      <c r="BN176" s="95">
        <f t="shared" si="149"/>
        <v>0</v>
      </c>
      <c r="BO176" s="121"/>
      <c r="BP176" s="121"/>
      <c r="BQ176" s="121"/>
      <c r="BR176" s="121"/>
      <c r="BS176" s="121"/>
      <c r="BT176" s="121"/>
      <c r="BU176" s="182">
        <v>0</v>
      </c>
      <c r="BV176" s="121"/>
      <c r="BW176" s="121"/>
      <c r="BX176" s="121"/>
      <c r="BY176" s="121"/>
      <c r="BZ176" s="121"/>
      <c r="CA176" s="95">
        <f t="shared" ref="CA176:CA217" si="150">BY176*BZ176</f>
        <v>0</v>
      </c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17"/>
      <c r="CP176" s="121"/>
      <c r="CQ176" s="121"/>
      <c r="CR176" s="117"/>
      <c r="CS176" s="113"/>
      <c r="CT176" s="95">
        <v>0</v>
      </c>
      <c r="CU176" s="187">
        <f t="shared" ref="CU176:CU200" si="151">(BB176* AB176)+(BD176* AC176)+(BF176* AC176)+(S176+T176+U176+V176+W176+X176+Y176+Z176)</f>
        <v>24.189900000000002</v>
      </c>
      <c r="CV176" s="187">
        <f t="shared" ref="CV176:CV200" si="152">CU176-O176</f>
        <v>24.189900000000002</v>
      </c>
      <c r="CW176" s="240"/>
    </row>
    <row r="177" spans="1:101" s="51" customFormat="1" ht="19.899999999999999" customHeight="1" x14ac:dyDescent="0.3">
      <c r="A177" s="148" t="s">
        <v>169</v>
      </c>
      <c r="B177" s="50">
        <v>10035411331</v>
      </c>
      <c r="C177" s="148" t="s">
        <v>286</v>
      </c>
      <c r="D177" s="104" t="s">
        <v>255</v>
      </c>
      <c r="E177" s="104"/>
      <c r="F177" s="94"/>
      <c r="G177" s="182"/>
      <c r="H177" s="95">
        <f t="shared" si="114"/>
        <v>0</v>
      </c>
      <c r="I177" s="93"/>
      <c r="J177" s="96"/>
      <c r="K177" s="49"/>
      <c r="L177" s="93"/>
      <c r="M177" s="97" t="s">
        <v>172</v>
      </c>
      <c r="N177" s="97" t="s">
        <v>287</v>
      </c>
      <c r="O177" s="183"/>
      <c r="P177" s="183"/>
      <c r="Q177" s="183"/>
      <c r="R177" s="131"/>
      <c r="S177" s="183"/>
      <c r="T177" s="183"/>
      <c r="U177" s="183"/>
      <c r="V177" s="183"/>
      <c r="W177" s="183"/>
      <c r="X177" s="183"/>
      <c r="Y177" s="183"/>
      <c r="Z177" s="183"/>
      <c r="AA177" s="183"/>
      <c r="AB177" s="184">
        <v>0.81886000000000003</v>
      </c>
      <c r="AC177" s="184">
        <v>0.81886000000000003</v>
      </c>
      <c r="AD177" s="95"/>
      <c r="AE177" s="95"/>
      <c r="AF177" s="95"/>
      <c r="AG177" s="95">
        <f t="shared" si="146"/>
        <v>0</v>
      </c>
      <c r="AH177" s="95">
        <f t="shared" si="147"/>
        <v>0</v>
      </c>
      <c r="AI177" s="95">
        <f t="shared" si="117"/>
        <v>0</v>
      </c>
      <c r="AJ177" s="95">
        <f t="shared" si="118"/>
        <v>0</v>
      </c>
      <c r="AK177" s="95">
        <f t="shared" si="119"/>
        <v>0</v>
      </c>
      <c r="AL177" s="133">
        <f t="shared" si="120"/>
        <v>0</v>
      </c>
      <c r="AM177" s="199">
        <f t="shared" si="121"/>
        <v>0</v>
      </c>
      <c r="AN177" s="106">
        <v>0</v>
      </c>
      <c r="AO177" s="106">
        <v>30</v>
      </c>
      <c r="AP177" s="106">
        <v>0</v>
      </c>
      <c r="AQ177" s="106">
        <f t="shared" si="122"/>
        <v>30</v>
      </c>
      <c r="AR177" s="193">
        <f t="shared" si="123"/>
        <v>24.565799999999999</v>
      </c>
      <c r="AS177" s="113"/>
      <c r="AT177" s="113"/>
      <c r="AU177" s="113"/>
      <c r="AV177" s="95">
        <f t="shared" si="142"/>
        <v>0</v>
      </c>
      <c r="AW177" s="113"/>
      <c r="AX177" s="113"/>
      <c r="AY177" s="113"/>
      <c r="AZ177" s="95">
        <f t="shared" si="143"/>
        <v>0</v>
      </c>
      <c r="BA177" s="197">
        <f t="shared" si="144"/>
        <v>0</v>
      </c>
      <c r="BB177" s="94">
        <f t="shared" si="124"/>
        <v>0</v>
      </c>
      <c r="BC177" s="105">
        <f t="shared" si="137"/>
        <v>0</v>
      </c>
      <c r="BD177" s="94">
        <f t="shared" si="125"/>
        <v>30</v>
      </c>
      <c r="BE177" s="94">
        <f t="shared" si="138"/>
        <v>24.565799999999999</v>
      </c>
      <c r="BF177" s="94">
        <f t="shared" si="126"/>
        <v>0</v>
      </c>
      <c r="BG177" s="94">
        <f t="shared" si="139"/>
        <v>0</v>
      </c>
      <c r="BH177" s="94">
        <f t="shared" si="127"/>
        <v>30</v>
      </c>
      <c r="BI177" s="94">
        <f t="shared" si="128"/>
        <v>24.565799999999999</v>
      </c>
      <c r="BJ177" s="186">
        <f t="shared" si="129"/>
        <v>0</v>
      </c>
      <c r="BK177" s="182">
        <f t="shared" si="130"/>
        <v>0</v>
      </c>
      <c r="BL177" s="98">
        <f t="shared" si="131"/>
        <v>0</v>
      </c>
      <c r="BM177" s="99">
        <f t="shared" si="148"/>
        <v>0</v>
      </c>
      <c r="BN177" s="99">
        <f t="shared" si="149"/>
        <v>0</v>
      </c>
      <c r="BO177" s="121"/>
      <c r="BP177" s="121"/>
      <c r="BQ177" s="121"/>
      <c r="BR177" s="121"/>
      <c r="BS177" s="121"/>
      <c r="BT177" s="121"/>
      <c r="BU177" s="182">
        <v>0</v>
      </c>
      <c r="BV177" s="121"/>
      <c r="BW177" s="121"/>
      <c r="BX177" s="121"/>
      <c r="BY177" s="121"/>
      <c r="BZ177" s="121"/>
      <c r="CA177" s="95">
        <f t="shared" si="150"/>
        <v>0</v>
      </c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17"/>
      <c r="CP177" s="121"/>
      <c r="CQ177" s="121"/>
      <c r="CR177" s="117"/>
      <c r="CS177" s="113"/>
      <c r="CT177" s="106">
        <v>0</v>
      </c>
      <c r="CU177" s="187">
        <f t="shared" si="151"/>
        <v>24.565799999999999</v>
      </c>
      <c r="CV177" s="187">
        <f t="shared" si="152"/>
        <v>24.565799999999999</v>
      </c>
      <c r="CW177" s="240"/>
    </row>
    <row r="178" spans="1:101" s="51" customFormat="1" ht="19.899999999999999" customHeight="1" x14ac:dyDescent="0.3">
      <c r="A178" s="92" t="s">
        <v>169</v>
      </c>
      <c r="B178" s="49">
        <v>10035411331</v>
      </c>
      <c r="C178" s="92" t="s">
        <v>286</v>
      </c>
      <c r="D178" s="93" t="s">
        <v>255</v>
      </c>
      <c r="E178" s="93"/>
      <c r="F178" s="94"/>
      <c r="G178" s="182"/>
      <c r="H178" s="95">
        <f t="shared" si="114"/>
        <v>0</v>
      </c>
      <c r="I178" s="93"/>
      <c r="J178" s="96"/>
      <c r="K178" s="49"/>
      <c r="L178" s="93"/>
      <c r="M178" s="97" t="s">
        <v>261</v>
      </c>
      <c r="N178" s="97" t="s">
        <v>288</v>
      </c>
      <c r="O178" s="183"/>
      <c r="P178" s="183"/>
      <c r="Q178" s="183"/>
      <c r="R178" s="131"/>
      <c r="S178" s="183"/>
      <c r="T178" s="183"/>
      <c r="U178" s="183"/>
      <c r="V178" s="183"/>
      <c r="W178" s="183"/>
      <c r="X178" s="183"/>
      <c r="Y178" s="183"/>
      <c r="Z178" s="183"/>
      <c r="AA178" s="183"/>
      <c r="AB178" s="184">
        <v>0.84958999999999996</v>
      </c>
      <c r="AC178" s="184">
        <v>0.84958999999999996</v>
      </c>
      <c r="AD178" s="95"/>
      <c r="AE178" s="95"/>
      <c r="AF178" s="95"/>
      <c r="AG178" s="95">
        <f t="shared" si="146"/>
        <v>0</v>
      </c>
      <c r="AH178" s="95">
        <f t="shared" si="147"/>
        <v>0</v>
      </c>
      <c r="AI178" s="95">
        <f t="shared" si="117"/>
        <v>0</v>
      </c>
      <c r="AJ178" s="95">
        <f t="shared" si="118"/>
        <v>0</v>
      </c>
      <c r="AK178" s="95">
        <f t="shared" si="119"/>
        <v>0</v>
      </c>
      <c r="AL178" s="133">
        <f t="shared" si="120"/>
        <v>0</v>
      </c>
      <c r="AM178" s="199">
        <f t="shared" si="121"/>
        <v>0</v>
      </c>
      <c r="AN178" s="95">
        <v>0</v>
      </c>
      <c r="AO178" s="95">
        <v>30</v>
      </c>
      <c r="AP178" s="95">
        <v>0</v>
      </c>
      <c r="AQ178" s="95">
        <f t="shared" si="122"/>
        <v>30</v>
      </c>
      <c r="AR178" s="183">
        <f t="shared" si="123"/>
        <v>25.4877</v>
      </c>
      <c r="AS178" s="113"/>
      <c r="AT178" s="113"/>
      <c r="AU178" s="113"/>
      <c r="AV178" s="95">
        <f t="shared" si="142"/>
        <v>0</v>
      </c>
      <c r="AW178" s="113"/>
      <c r="AX178" s="113"/>
      <c r="AY178" s="113"/>
      <c r="AZ178" s="95">
        <f t="shared" si="143"/>
        <v>0</v>
      </c>
      <c r="BA178" s="185">
        <f t="shared" si="144"/>
        <v>0</v>
      </c>
      <c r="BB178" s="94">
        <f t="shared" si="124"/>
        <v>0</v>
      </c>
      <c r="BC178" s="94">
        <f t="shared" si="137"/>
        <v>0</v>
      </c>
      <c r="BD178" s="94">
        <f t="shared" si="125"/>
        <v>30</v>
      </c>
      <c r="BE178" s="94">
        <f t="shared" si="138"/>
        <v>25.4877</v>
      </c>
      <c r="BF178" s="94">
        <f t="shared" si="126"/>
        <v>0</v>
      </c>
      <c r="BG178" s="94">
        <f t="shared" si="139"/>
        <v>0</v>
      </c>
      <c r="BH178" s="94">
        <f t="shared" si="127"/>
        <v>30</v>
      </c>
      <c r="BI178" s="94">
        <f t="shared" si="128"/>
        <v>25.4877</v>
      </c>
      <c r="BJ178" s="186">
        <f t="shared" si="129"/>
        <v>0</v>
      </c>
      <c r="BK178" s="182">
        <f t="shared" si="130"/>
        <v>0</v>
      </c>
      <c r="BL178" s="98">
        <f t="shared" si="131"/>
        <v>0</v>
      </c>
      <c r="BM178" s="95">
        <f t="shared" si="148"/>
        <v>0</v>
      </c>
      <c r="BN178" s="95">
        <f t="shared" si="149"/>
        <v>0</v>
      </c>
      <c r="BO178" s="121"/>
      <c r="BP178" s="121"/>
      <c r="BQ178" s="121"/>
      <c r="BR178" s="121"/>
      <c r="BS178" s="121"/>
      <c r="BT178" s="121"/>
      <c r="BU178" s="182">
        <v>0</v>
      </c>
      <c r="BV178" s="121"/>
      <c r="BW178" s="121"/>
      <c r="BX178" s="121"/>
      <c r="BY178" s="121"/>
      <c r="BZ178" s="121"/>
      <c r="CA178" s="95">
        <f t="shared" si="150"/>
        <v>0</v>
      </c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17"/>
      <c r="CP178" s="121"/>
      <c r="CQ178" s="121"/>
      <c r="CR178" s="117"/>
      <c r="CS178" s="113"/>
      <c r="CT178" s="95">
        <v>0</v>
      </c>
      <c r="CU178" s="187">
        <f t="shared" si="151"/>
        <v>25.4877</v>
      </c>
      <c r="CV178" s="187">
        <f t="shared" si="152"/>
        <v>25.4877</v>
      </c>
      <c r="CW178" s="240"/>
    </row>
    <row r="179" spans="1:101" s="51" customFormat="1" ht="19.899999999999999" customHeight="1" x14ac:dyDescent="0.3">
      <c r="A179" s="103" t="s">
        <v>169</v>
      </c>
      <c r="B179" s="50">
        <v>10035411331</v>
      </c>
      <c r="C179" s="103" t="s">
        <v>286</v>
      </c>
      <c r="D179" s="104" t="s">
        <v>255</v>
      </c>
      <c r="E179" s="104"/>
      <c r="F179" s="94"/>
      <c r="G179" s="182"/>
      <c r="H179" s="95">
        <f t="shared" si="114"/>
        <v>0</v>
      </c>
      <c r="I179" s="93"/>
      <c r="J179" s="96"/>
      <c r="K179" s="49"/>
      <c r="L179" s="93"/>
      <c r="M179" s="97" t="s">
        <v>263</v>
      </c>
      <c r="N179" s="97" t="s">
        <v>289</v>
      </c>
      <c r="O179" s="183"/>
      <c r="P179" s="183"/>
      <c r="Q179" s="183"/>
      <c r="R179" s="131"/>
      <c r="S179" s="183"/>
      <c r="T179" s="183"/>
      <c r="U179" s="183"/>
      <c r="V179" s="183"/>
      <c r="W179" s="183"/>
      <c r="X179" s="183"/>
      <c r="Y179" s="183"/>
      <c r="Z179" s="183"/>
      <c r="AA179" s="183"/>
      <c r="AB179" s="184">
        <v>0.82540999999999998</v>
      </c>
      <c r="AC179" s="184">
        <v>0.82540999999999998</v>
      </c>
      <c r="AD179" s="95"/>
      <c r="AE179" s="95"/>
      <c r="AF179" s="95"/>
      <c r="AG179" s="95">
        <f t="shared" si="146"/>
        <v>0</v>
      </c>
      <c r="AH179" s="95">
        <f t="shared" si="147"/>
        <v>0</v>
      </c>
      <c r="AI179" s="95">
        <f t="shared" si="117"/>
        <v>0</v>
      </c>
      <c r="AJ179" s="95">
        <f t="shared" si="118"/>
        <v>0</v>
      </c>
      <c r="AK179" s="95">
        <f t="shared" si="119"/>
        <v>0</v>
      </c>
      <c r="AL179" s="133">
        <f t="shared" si="120"/>
        <v>0</v>
      </c>
      <c r="AM179" s="199">
        <f t="shared" si="121"/>
        <v>0</v>
      </c>
      <c r="AN179" s="106">
        <v>0</v>
      </c>
      <c r="AO179" s="106">
        <v>30</v>
      </c>
      <c r="AP179" s="106">
        <v>0</v>
      </c>
      <c r="AQ179" s="106">
        <f t="shared" si="122"/>
        <v>30</v>
      </c>
      <c r="AR179" s="193">
        <f t="shared" si="123"/>
        <v>24.7623</v>
      </c>
      <c r="AS179" s="113"/>
      <c r="AT179" s="113"/>
      <c r="AU179" s="113"/>
      <c r="AV179" s="95">
        <f t="shared" si="142"/>
        <v>0</v>
      </c>
      <c r="AW179" s="113"/>
      <c r="AX179" s="113"/>
      <c r="AY179" s="113"/>
      <c r="AZ179" s="95">
        <f t="shared" si="143"/>
        <v>0</v>
      </c>
      <c r="BA179" s="197">
        <f t="shared" si="144"/>
        <v>0</v>
      </c>
      <c r="BB179" s="94">
        <f t="shared" si="124"/>
        <v>0</v>
      </c>
      <c r="BC179" s="105">
        <f t="shared" si="137"/>
        <v>0</v>
      </c>
      <c r="BD179" s="94">
        <f t="shared" si="125"/>
        <v>30</v>
      </c>
      <c r="BE179" s="94">
        <f t="shared" si="138"/>
        <v>24.7623</v>
      </c>
      <c r="BF179" s="94">
        <f t="shared" si="126"/>
        <v>0</v>
      </c>
      <c r="BG179" s="94">
        <f t="shared" si="139"/>
        <v>0</v>
      </c>
      <c r="BH179" s="94">
        <f t="shared" si="127"/>
        <v>30</v>
      </c>
      <c r="BI179" s="94">
        <f t="shared" si="128"/>
        <v>24.7623</v>
      </c>
      <c r="BJ179" s="186">
        <f t="shared" si="129"/>
        <v>0</v>
      </c>
      <c r="BK179" s="182">
        <f t="shared" si="130"/>
        <v>0</v>
      </c>
      <c r="BL179" s="98">
        <f t="shared" si="131"/>
        <v>0</v>
      </c>
      <c r="BM179" s="99">
        <f t="shared" si="148"/>
        <v>0</v>
      </c>
      <c r="BN179" s="99">
        <f t="shared" si="149"/>
        <v>0</v>
      </c>
      <c r="BO179" s="121"/>
      <c r="BP179" s="121"/>
      <c r="BQ179" s="121"/>
      <c r="BR179" s="121"/>
      <c r="BS179" s="121"/>
      <c r="BT179" s="121"/>
      <c r="BU179" s="182">
        <v>0</v>
      </c>
      <c r="BV179" s="121"/>
      <c r="BW179" s="121"/>
      <c r="BX179" s="121"/>
      <c r="BY179" s="121"/>
      <c r="BZ179" s="121"/>
      <c r="CA179" s="95">
        <f t="shared" si="150"/>
        <v>0</v>
      </c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17"/>
      <c r="CP179" s="121"/>
      <c r="CQ179" s="121"/>
      <c r="CR179" s="117"/>
      <c r="CS179" s="113"/>
      <c r="CT179" s="106">
        <v>0</v>
      </c>
      <c r="CU179" s="187">
        <f t="shared" si="151"/>
        <v>24.7623</v>
      </c>
      <c r="CV179" s="187">
        <f t="shared" si="152"/>
        <v>24.7623</v>
      </c>
      <c r="CW179" s="240"/>
    </row>
    <row r="180" spans="1:101" s="51" customFormat="1" ht="19.899999999999999" customHeight="1" x14ac:dyDescent="0.3">
      <c r="A180" s="92" t="s">
        <v>169</v>
      </c>
      <c r="B180" s="49">
        <v>10035411331</v>
      </c>
      <c r="C180" s="92" t="s">
        <v>286</v>
      </c>
      <c r="D180" s="93" t="s">
        <v>255</v>
      </c>
      <c r="E180" s="93"/>
      <c r="F180" s="105"/>
      <c r="G180" s="196"/>
      <c r="H180" s="106">
        <f t="shared" si="114"/>
        <v>0</v>
      </c>
      <c r="I180" s="104"/>
      <c r="J180" s="107"/>
      <c r="K180" s="50"/>
      <c r="L180" s="104"/>
      <c r="M180" s="108" t="s">
        <v>265</v>
      </c>
      <c r="N180" s="108" t="s">
        <v>290</v>
      </c>
      <c r="O180" s="193"/>
      <c r="P180" s="193"/>
      <c r="Q180" s="193"/>
      <c r="R180" s="109"/>
      <c r="S180" s="193"/>
      <c r="T180" s="193"/>
      <c r="U180" s="193"/>
      <c r="V180" s="193"/>
      <c r="W180" s="193"/>
      <c r="X180" s="193"/>
      <c r="Y180" s="193"/>
      <c r="Z180" s="193"/>
      <c r="AA180" s="193"/>
      <c r="AB180" s="194">
        <v>0.82206000000000001</v>
      </c>
      <c r="AC180" s="194">
        <v>0.82206000000000001</v>
      </c>
      <c r="AD180" s="106"/>
      <c r="AE180" s="118"/>
      <c r="AF180" s="106"/>
      <c r="AG180" s="106">
        <f t="shared" si="146"/>
        <v>0</v>
      </c>
      <c r="AH180" s="106">
        <f t="shared" si="147"/>
        <v>0</v>
      </c>
      <c r="AI180" s="106">
        <f t="shared" si="117"/>
        <v>0</v>
      </c>
      <c r="AJ180" s="106">
        <f t="shared" si="118"/>
        <v>0</v>
      </c>
      <c r="AK180" s="106">
        <f t="shared" si="119"/>
        <v>0</v>
      </c>
      <c r="AL180" s="132">
        <f t="shared" si="120"/>
        <v>0</v>
      </c>
      <c r="AM180" s="198">
        <f t="shared" si="121"/>
        <v>0</v>
      </c>
      <c r="AN180" s="106">
        <v>0</v>
      </c>
      <c r="AO180" s="106">
        <v>30</v>
      </c>
      <c r="AP180" s="106">
        <v>0</v>
      </c>
      <c r="AQ180" s="95">
        <f t="shared" si="122"/>
        <v>30</v>
      </c>
      <c r="AR180" s="183">
        <f t="shared" si="123"/>
        <v>24.661799999999999</v>
      </c>
      <c r="AS180" s="113"/>
      <c r="AT180" s="113"/>
      <c r="AU180" s="113"/>
      <c r="AV180" s="95">
        <f t="shared" si="142"/>
        <v>0</v>
      </c>
      <c r="AW180" s="113"/>
      <c r="AX180" s="113"/>
      <c r="AY180" s="113"/>
      <c r="AZ180" s="95">
        <f t="shared" si="143"/>
        <v>0</v>
      </c>
      <c r="BA180" s="197">
        <f t="shared" si="144"/>
        <v>0</v>
      </c>
      <c r="BB180" s="94">
        <f t="shared" si="124"/>
        <v>0</v>
      </c>
      <c r="BC180" s="105">
        <f t="shared" si="137"/>
        <v>0</v>
      </c>
      <c r="BD180" s="94">
        <f t="shared" si="125"/>
        <v>30</v>
      </c>
      <c r="BE180" s="94">
        <f t="shared" si="138"/>
        <v>24.661799999999999</v>
      </c>
      <c r="BF180" s="94">
        <f t="shared" si="126"/>
        <v>0</v>
      </c>
      <c r="BG180" s="94">
        <f t="shared" si="139"/>
        <v>0</v>
      </c>
      <c r="BH180" s="94">
        <f t="shared" si="127"/>
        <v>30</v>
      </c>
      <c r="BI180" s="94">
        <f t="shared" si="128"/>
        <v>24.661799999999999</v>
      </c>
      <c r="BJ180" s="186">
        <f t="shared" si="129"/>
        <v>0</v>
      </c>
      <c r="BK180" s="182">
        <f t="shared" si="130"/>
        <v>0</v>
      </c>
      <c r="BL180" s="98">
        <f t="shared" si="131"/>
        <v>0</v>
      </c>
      <c r="BM180" s="99">
        <f t="shared" si="148"/>
        <v>0</v>
      </c>
      <c r="BN180" s="99">
        <f t="shared" si="149"/>
        <v>0</v>
      </c>
      <c r="BO180" s="121"/>
      <c r="BP180" s="121"/>
      <c r="BQ180" s="121"/>
      <c r="BR180" s="121"/>
      <c r="BS180" s="121"/>
      <c r="BT180" s="121"/>
      <c r="BU180" s="182">
        <v>0</v>
      </c>
      <c r="BV180" s="121"/>
      <c r="BW180" s="121"/>
      <c r="BX180" s="121"/>
      <c r="BY180" s="121"/>
      <c r="BZ180" s="121"/>
      <c r="CA180" s="95">
        <f t="shared" si="150"/>
        <v>0</v>
      </c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17"/>
      <c r="CP180" s="121"/>
      <c r="CQ180" s="121"/>
      <c r="CR180" s="117"/>
      <c r="CS180" s="113"/>
      <c r="CT180" s="106">
        <v>0</v>
      </c>
      <c r="CU180" s="187">
        <f t="shared" si="151"/>
        <v>24.661799999999999</v>
      </c>
      <c r="CV180" s="187">
        <f t="shared" si="152"/>
        <v>24.661799999999999</v>
      </c>
      <c r="CW180" s="240"/>
    </row>
    <row r="181" spans="1:101" s="51" customFormat="1" ht="19.899999999999999" customHeight="1" x14ac:dyDescent="0.3">
      <c r="A181" s="148" t="s">
        <v>169</v>
      </c>
      <c r="B181" s="50">
        <v>10035411331</v>
      </c>
      <c r="C181" s="148" t="s">
        <v>286</v>
      </c>
      <c r="D181" s="104" t="s">
        <v>255</v>
      </c>
      <c r="E181" s="104"/>
      <c r="F181" s="94"/>
      <c r="G181" s="182"/>
      <c r="H181" s="95">
        <f t="shared" si="114"/>
        <v>0</v>
      </c>
      <c r="I181" s="93"/>
      <c r="J181" s="96"/>
      <c r="K181" s="49"/>
      <c r="L181" s="93"/>
      <c r="M181" s="97" t="s">
        <v>267</v>
      </c>
      <c r="N181" s="97" t="s">
        <v>291</v>
      </c>
      <c r="O181" s="183"/>
      <c r="P181" s="183"/>
      <c r="Q181" s="183"/>
      <c r="R181" s="131"/>
      <c r="S181" s="183"/>
      <c r="T181" s="183"/>
      <c r="U181" s="183"/>
      <c r="V181" s="183"/>
      <c r="W181" s="183"/>
      <c r="X181" s="183"/>
      <c r="Y181" s="183"/>
      <c r="Z181" s="183"/>
      <c r="AA181" s="183"/>
      <c r="AB181" s="184">
        <v>0.83887999999999996</v>
      </c>
      <c r="AC181" s="184">
        <v>0.83887999999999996</v>
      </c>
      <c r="AD181" s="95"/>
      <c r="AE181" s="95"/>
      <c r="AF181" s="95"/>
      <c r="AG181" s="95">
        <f t="shared" si="146"/>
        <v>0</v>
      </c>
      <c r="AH181" s="95">
        <f t="shared" si="147"/>
        <v>0</v>
      </c>
      <c r="AI181" s="95">
        <f t="shared" si="117"/>
        <v>0</v>
      </c>
      <c r="AJ181" s="95">
        <f t="shared" si="118"/>
        <v>0</v>
      </c>
      <c r="AK181" s="95">
        <f t="shared" si="119"/>
        <v>0</v>
      </c>
      <c r="AL181" s="133">
        <f t="shared" si="120"/>
        <v>0</v>
      </c>
      <c r="AM181" s="199">
        <f t="shared" si="121"/>
        <v>0</v>
      </c>
      <c r="AN181" s="106">
        <v>0</v>
      </c>
      <c r="AO181" s="106">
        <v>30</v>
      </c>
      <c r="AP181" s="106">
        <v>0</v>
      </c>
      <c r="AQ181" s="106">
        <f t="shared" si="122"/>
        <v>30</v>
      </c>
      <c r="AR181" s="193">
        <f t="shared" si="123"/>
        <v>25.166399999999999</v>
      </c>
      <c r="AS181" s="113"/>
      <c r="AT181" s="113"/>
      <c r="AU181" s="113"/>
      <c r="AV181" s="95">
        <f t="shared" si="142"/>
        <v>0</v>
      </c>
      <c r="AW181" s="113"/>
      <c r="AX181" s="113"/>
      <c r="AY181" s="113"/>
      <c r="AZ181" s="95">
        <f t="shared" si="143"/>
        <v>0</v>
      </c>
      <c r="BA181" s="197">
        <f t="shared" si="144"/>
        <v>0</v>
      </c>
      <c r="BB181" s="94">
        <f t="shared" si="124"/>
        <v>0</v>
      </c>
      <c r="BC181" s="105">
        <f t="shared" si="137"/>
        <v>0</v>
      </c>
      <c r="BD181" s="94">
        <f t="shared" si="125"/>
        <v>30</v>
      </c>
      <c r="BE181" s="94">
        <f t="shared" si="138"/>
        <v>25.166399999999999</v>
      </c>
      <c r="BF181" s="94">
        <f t="shared" si="126"/>
        <v>0</v>
      </c>
      <c r="BG181" s="94">
        <f t="shared" si="139"/>
        <v>0</v>
      </c>
      <c r="BH181" s="94">
        <f t="shared" si="127"/>
        <v>30</v>
      </c>
      <c r="BI181" s="94">
        <f t="shared" si="128"/>
        <v>25.166399999999999</v>
      </c>
      <c r="BJ181" s="186">
        <f t="shared" si="129"/>
        <v>0</v>
      </c>
      <c r="BK181" s="182">
        <f t="shared" si="130"/>
        <v>0</v>
      </c>
      <c r="BL181" s="98">
        <f t="shared" si="131"/>
        <v>0</v>
      </c>
      <c r="BM181" s="99">
        <f t="shared" si="148"/>
        <v>0</v>
      </c>
      <c r="BN181" s="99">
        <f t="shared" si="149"/>
        <v>0</v>
      </c>
      <c r="BO181" s="121"/>
      <c r="BP181" s="121"/>
      <c r="BQ181" s="121"/>
      <c r="BR181" s="121"/>
      <c r="BS181" s="121"/>
      <c r="BT181" s="121"/>
      <c r="BU181" s="182">
        <v>0</v>
      </c>
      <c r="BV181" s="121"/>
      <c r="BW181" s="121"/>
      <c r="BX181" s="121"/>
      <c r="BY181" s="121"/>
      <c r="BZ181" s="121"/>
      <c r="CA181" s="95">
        <f t="shared" si="150"/>
        <v>0</v>
      </c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17"/>
      <c r="CP181" s="121"/>
      <c r="CQ181" s="121"/>
      <c r="CR181" s="117"/>
      <c r="CS181" s="113"/>
      <c r="CT181" s="106">
        <v>0</v>
      </c>
      <c r="CU181" s="187">
        <f t="shared" si="151"/>
        <v>25.166399999999999</v>
      </c>
      <c r="CV181" s="187">
        <f t="shared" si="152"/>
        <v>25.166399999999999</v>
      </c>
      <c r="CW181" s="240"/>
    </row>
    <row r="182" spans="1:101" s="51" customFormat="1" ht="19.899999999999999" customHeight="1" x14ac:dyDescent="0.3">
      <c r="A182" s="92" t="s">
        <v>169</v>
      </c>
      <c r="B182" s="49">
        <v>10035411331</v>
      </c>
      <c r="C182" s="92" t="s">
        <v>286</v>
      </c>
      <c r="D182" s="93" t="s">
        <v>255</v>
      </c>
      <c r="E182" s="93"/>
      <c r="F182" s="105"/>
      <c r="G182" s="196"/>
      <c r="H182" s="106">
        <f t="shared" si="114"/>
        <v>0</v>
      </c>
      <c r="I182" s="104"/>
      <c r="J182" s="107"/>
      <c r="K182" s="50"/>
      <c r="L182" s="104"/>
      <c r="M182" s="108" t="s">
        <v>269</v>
      </c>
      <c r="N182" s="108" t="s">
        <v>292</v>
      </c>
      <c r="O182" s="193"/>
      <c r="P182" s="193"/>
      <c r="Q182" s="193"/>
      <c r="R182" s="109"/>
      <c r="S182" s="193"/>
      <c r="T182" s="193"/>
      <c r="U182" s="193"/>
      <c r="V182" s="193"/>
      <c r="W182" s="193"/>
      <c r="X182" s="193"/>
      <c r="Y182" s="193"/>
      <c r="Z182" s="193"/>
      <c r="AA182" s="193"/>
      <c r="AB182" s="194">
        <v>0.70093000000000005</v>
      </c>
      <c r="AC182" s="194">
        <v>0.70093000000000005</v>
      </c>
      <c r="AD182" s="106"/>
      <c r="AE182" s="118"/>
      <c r="AF182" s="106"/>
      <c r="AG182" s="106">
        <f t="shared" si="146"/>
        <v>0</v>
      </c>
      <c r="AH182" s="106">
        <f t="shared" si="147"/>
        <v>0</v>
      </c>
      <c r="AI182" s="106">
        <f t="shared" si="117"/>
        <v>0</v>
      </c>
      <c r="AJ182" s="106">
        <f t="shared" si="118"/>
        <v>0</v>
      </c>
      <c r="AK182" s="106">
        <f t="shared" si="119"/>
        <v>0</v>
      </c>
      <c r="AL182" s="132">
        <f t="shared" si="120"/>
        <v>0</v>
      </c>
      <c r="AM182" s="198">
        <f t="shared" si="121"/>
        <v>0</v>
      </c>
      <c r="AN182" s="106">
        <v>0</v>
      </c>
      <c r="AO182" s="106">
        <v>40.46</v>
      </c>
      <c r="AP182" s="106">
        <v>0</v>
      </c>
      <c r="AQ182" s="95">
        <f t="shared" si="122"/>
        <v>40.46</v>
      </c>
      <c r="AR182" s="183">
        <f t="shared" si="123"/>
        <v>28.359627800000002</v>
      </c>
      <c r="AS182" s="113"/>
      <c r="AT182" s="113"/>
      <c r="AU182" s="113"/>
      <c r="AV182" s="95">
        <f t="shared" si="142"/>
        <v>0</v>
      </c>
      <c r="AW182" s="113"/>
      <c r="AX182" s="113"/>
      <c r="AY182" s="113"/>
      <c r="AZ182" s="95">
        <f t="shared" si="143"/>
        <v>0</v>
      </c>
      <c r="BA182" s="197">
        <f t="shared" si="144"/>
        <v>0</v>
      </c>
      <c r="BB182" s="94">
        <f t="shared" si="124"/>
        <v>0</v>
      </c>
      <c r="BC182" s="105">
        <f t="shared" si="137"/>
        <v>0</v>
      </c>
      <c r="BD182" s="94">
        <f t="shared" si="125"/>
        <v>40.46</v>
      </c>
      <c r="BE182" s="94">
        <f t="shared" si="138"/>
        <v>28.359627800000002</v>
      </c>
      <c r="BF182" s="94">
        <f t="shared" si="126"/>
        <v>0</v>
      </c>
      <c r="BG182" s="94">
        <f t="shared" si="139"/>
        <v>0</v>
      </c>
      <c r="BH182" s="94">
        <f t="shared" si="127"/>
        <v>40.46</v>
      </c>
      <c r="BI182" s="94">
        <f t="shared" si="128"/>
        <v>28.359627800000002</v>
      </c>
      <c r="BJ182" s="186">
        <f t="shared" si="129"/>
        <v>0</v>
      </c>
      <c r="BK182" s="182">
        <f t="shared" si="130"/>
        <v>0</v>
      </c>
      <c r="BL182" s="98">
        <f t="shared" si="131"/>
        <v>0</v>
      </c>
      <c r="BM182" s="99">
        <f t="shared" si="148"/>
        <v>0</v>
      </c>
      <c r="BN182" s="99">
        <f t="shared" si="149"/>
        <v>0</v>
      </c>
      <c r="BO182" s="121"/>
      <c r="BP182" s="121"/>
      <c r="BQ182" s="121"/>
      <c r="BR182" s="121"/>
      <c r="BS182" s="121"/>
      <c r="BT182" s="121"/>
      <c r="BU182" s="182">
        <v>0</v>
      </c>
      <c r="BV182" s="121"/>
      <c r="BW182" s="121"/>
      <c r="BX182" s="121"/>
      <c r="BY182" s="121"/>
      <c r="BZ182" s="121"/>
      <c r="CA182" s="95">
        <f t="shared" si="150"/>
        <v>0</v>
      </c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17"/>
      <c r="CP182" s="121"/>
      <c r="CQ182" s="121"/>
      <c r="CR182" s="117"/>
      <c r="CS182" s="113"/>
      <c r="CT182" s="106">
        <v>0</v>
      </c>
      <c r="CU182" s="187">
        <f t="shared" si="151"/>
        <v>28.359627800000002</v>
      </c>
      <c r="CV182" s="187">
        <f t="shared" si="152"/>
        <v>28.359627800000002</v>
      </c>
      <c r="CW182" s="240"/>
    </row>
    <row r="183" spans="1:101" s="51" customFormat="1" ht="19.899999999999999" customHeight="1" x14ac:dyDescent="0.3">
      <c r="A183" s="103" t="s">
        <v>169</v>
      </c>
      <c r="B183" s="50">
        <v>10035411331</v>
      </c>
      <c r="C183" s="103" t="s">
        <v>286</v>
      </c>
      <c r="D183" s="104" t="s">
        <v>255</v>
      </c>
      <c r="E183" s="104"/>
      <c r="F183" s="94"/>
      <c r="G183" s="182"/>
      <c r="H183" s="95">
        <f t="shared" si="114"/>
        <v>0</v>
      </c>
      <c r="I183" s="93"/>
      <c r="J183" s="96"/>
      <c r="K183" s="49"/>
      <c r="L183" s="93"/>
      <c r="M183" s="97" t="s">
        <v>271</v>
      </c>
      <c r="N183" s="97" t="s">
        <v>293</v>
      </c>
      <c r="O183" s="183"/>
      <c r="P183" s="183"/>
      <c r="Q183" s="183"/>
      <c r="R183" s="131"/>
      <c r="S183" s="183"/>
      <c r="T183" s="183"/>
      <c r="U183" s="183"/>
      <c r="V183" s="183"/>
      <c r="W183" s="183"/>
      <c r="X183" s="183"/>
      <c r="Y183" s="183"/>
      <c r="Z183" s="183"/>
      <c r="AA183" s="183"/>
      <c r="AB183" s="184">
        <v>0.70982999999999996</v>
      </c>
      <c r="AC183" s="184">
        <v>0.70982999999999996</v>
      </c>
      <c r="AD183" s="95"/>
      <c r="AE183" s="95"/>
      <c r="AF183" s="95"/>
      <c r="AG183" s="95">
        <f t="shared" si="146"/>
        <v>0</v>
      </c>
      <c r="AH183" s="95">
        <f t="shared" si="147"/>
        <v>0</v>
      </c>
      <c r="AI183" s="95">
        <f t="shared" si="117"/>
        <v>0</v>
      </c>
      <c r="AJ183" s="95">
        <f t="shared" si="118"/>
        <v>0</v>
      </c>
      <c r="AK183" s="95">
        <f t="shared" si="119"/>
        <v>0</v>
      </c>
      <c r="AL183" s="133">
        <f t="shared" si="120"/>
        <v>0</v>
      </c>
      <c r="AM183" s="199">
        <f t="shared" si="121"/>
        <v>0</v>
      </c>
      <c r="AN183" s="106">
        <v>0</v>
      </c>
      <c r="AO183" s="106">
        <v>40.46</v>
      </c>
      <c r="AP183" s="106">
        <v>0</v>
      </c>
      <c r="AQ183" s="106">
        <f t="shared" si="122"/>
        <v>40.46</v>
      </c>
      <c r="AR183" s="193">
        <f t="shared" si="123"/>
        <v>28.719721799999999</v>
      </c>
      <c r="AS183" s="113"/>
      <c r="AT183" s="113"/>
      <c r="AU183" s="113"/>
      <c r="AV183" s="95">
        <f t="shared" si="142"/>
        <v>0</v>
      </c>
      <c r="AW183" s="113"/>
      <c r="AX183" s="113"/>
      <c r="AY183" s="113"/>
      <c r="AZ183" s="95">
        <f t="shared" si="143"/>
        <v>0</v>
      </c>
      <c r="BA183" s="197">
        <f t="shared" si="144"/>
        <v>0</v>
      </c>
      <c r="BB183" s="94">
        <f t="shared" si="124"/>
        <v>0</v>
      </c>
      <c r="BC183" s="105">
        <f t="shared" si="137"/>
        <v>0</v>
      </c>
      <c r="BD183" s="94">
        <f t="shared" si="125"/>
        <v>40.46</v>
      </c>
      <c r="BE183" s="94">
        <f t="shared" si="138"/>
        <v>28.719721799999999</v>
      </c>
      <c r="BF183" s="94">
        <f t="shared" si="126"/>
        <v>0</v>
      </c>
      <c r="BG183" s="94">
        <f t="shared" si="139"/>
        <v>0</v>
      </c>
      <c r="BH183" s="94">
        <f t="shared" si="127"/>
        <v>40.46</v>
      </c>
      <c r="BI183" s="94">
        <f t="shared" si="128"/>
        <v>28.719721799999999</v>
      </c>
      <c r="BJ183" s="186">
        <f t="shared" si="129"/>
        <v>0</v>
      </c>
      <c r="BK183" s="182">
        <f t="shared" si="130"/>
        <v>0</v>
      </c>
      <c r="BL183" s="98">
        <f t="shared" si="131"/>
        <v>0</v>
      </c>
      <c r="BM183" s="99">
        <f t="shared" si="148"/>
        <v>0</v>
      </c>
      <c r="BN183" s="99">
        <f t="shared" si="149"/>
        <v>0</v>
      </c>
      <c r="BO183" s="121"/>
      <c r="BP183" s="121"/>
      <c r="BQ183" s="121"/>
      <c r="BR183" s="121"/>
      <c r="BS183" s="121"/>
      <c r="BT183" s="121"/>
      <c r="BU183" s="182">
        <v>0</v>
      </c>
      <c r="BV183" s="121"/>
      <c r="BW183" s="121"/>
      <c r="BX183" s="121"/>
      <c r="BY183" s="121"/>
      <c r="BZ183" s="121"/>
      <c r="CA183" s="95">
        <f t="shared" si="150"/>
        <v>0</v>
      </c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17"/>
      <c r="CP183" s="121"/>
      <c r="CQ183" s="121"/>
      <c r="CR183" s="117"/>
      <c r="CS183" s="113"/>
      <c r="CT183" s="106">
        <v>2.66</v>
      </c>
      <c r="CU183" s="187">
        <f t="shared" si="151"/>
        <v>28.719721799999999</v>
      </c>
      <c r="CV183" s="187">
        <f t="shared" si="152"/>
        <v>28.719721799999999</v>
      </c>
      <c r="CW183" s="240"/>
    </row>
    <row r="184" spans="1:101" s="51" customFormat="1" ht="19.899999999999999" customHeight="1" x14ac:dyDescent="0.3">
      <c r="A184" s="92" t="s">
        <v>169</v>
      </c>
      <c r="B184" s="49">
        <v>10035411331</v>
      </c>
      <c r="C184" s="92" t="s">
        <v>286</v>
      </c>
      <c r="D184" s="93" t="s">
        <v>255</v>
      </c>
      <c r="E184" s="93"/>
      <c r="F184" s="105"/>
      <c r="G184" s="196"/>
      <c r="H184" s="106">
        <f t="shared" si="114"/>
        <v>0</v>
      </c>
      <c r="I184" s="104"/>
      <c r="J184" s="107"/>
      <c r="K184" s="50"/>
      <c r="L184" s="104"/>
      <c r="M184" s="108" t="s">
        <v>207</v>
      </c>
      <c r="N184" s="108" t="s">
        <v>294</v>
      </c>
      <c r="O184" s="193"/>
      <c r="P184" s="193"/>
      <c r="Q184" s="193"/>
      <c r="R184" s="109"/>
      <c r="S184" s="193"/>
      <c r="T184" s="193"/>
      <c r="U184" s="193"/>
      <c r="V184" s="193"/>
      <c r="W184" s="193"/>
      <c r="X184" s="193"/>
      <c r="Y184" s="193"/>
      <c r="Z184" s="193"/>
      <c r="AA184" s="193"/>
      <c r="AB184" s="194">
        <v>0.71031999999999995</v>
      </c>
      <c r="AC184" s="194">
        <v>0.71031999999999995</v>
      </c>
      <c r="AD184" s="106"/>
      <c r="AE184" s="118"/>
      <c r="AF184" s="106"/>
      <c r="AG184" s="106">
        <f t="shared" si="146"/>
        <v>0</v>
      </c>
      <c r="AH184" s="106">
        <f t="shared" si="147"/>
        <v>0</v>
      </c>
      <c r="AI184" s="106">
        <f t="shared" si="117"/>
        <v>0</v>
      </c>
      <c r="AJ184" s="106">
        <f t="shared" si="118"/>
        <v>0</v>
      </c>
      <c r="AK184" s="106">
        <f t="shared" si="119"/>
        <v>0</v>
      </c>
      <c r="AL184" s="132">
        <f t="shared" si="120"/>
        <v>0</v>
      </c>
      <c r="AM184" s="198">
        <f t="shared" si="121"/>
        <v>0</v>
      </c>
      <c r="AN184" s="106">
        <v>0</v>
      </c>
      <c r="AO184" s="106">
        <v>32.32</v>
      </c>
      <c r="AP184" s="106">
        <v>0</v>
      </c>
      <c r="AQ184" s="95">
        <f t="shared" si="122"/>
        <v>32.32</v>
      </c>
      <c r="AR184" s="183">
        <f t="shared" si="123"/>
        <v>22.957542399999998</v>
      </c>
      <c r="AS184" s="113"/>
      <c r="AT184" s="113"/>
      <c r="AU184" s="113"/>
      <c r="AV184" s="95">
        <f t="shared" si="142"/>
        <v>0</v>
      </c>
      <c r="AW184" s="113"/>
      <c r="AX184" s="113"/>
      <c r="AY184" s="113"/>
      <c r="AZ184" s="95">
        <f t="shared" si="143"/>
        <v>0</v>
      </c>
      <c r="BA184" s="197">
        <f t="shared" si="144"/>
        <v>0</v>
      </c>
      <c r="BB184" s="94">
        <f t="shared" si="124"/>
        <v>0</v>
      </c>
      <c r="BC184" s="105">
        <f t="shared" si="137"/>
        <v>0</v>
      </c>
      <c r="BD184" s="94">
        <f t="shared" si="125"/>
        <v>32.32</v>
      </c>
      <c r="BE184" s="94">
        <f t="shared" si="138"/>
        <v>22.957542399999998</v>
      </c>
      <c r="BF184" s="94">
        <f t="shared" si="126"/>
        <v>0</v>
      </c>
      <c r="BG184" s="94">
        <f t="shared" si="139"/>
        <v>0</v>
      </c>
      <c r="BH184" s="94">
        <f t="shared" si="127"/>
        <v>32.32</v>
      </c>
      <c r="BI184" s="94">
        <f t="shared" si="128"/>
        <v>22.957542399999998</v>
      </c>
      <c r="BJ184" s="186">
        <f t="shared" si="129"/>
        <v>0</v>
      </c>
      <c r="BK184" s="182">
        <f t="shared" si="130"/>
        <v>0</v>
      </c>
      <c r="BL184" s="98">
        <f t="shared" si="131"/>
        <v>0</v>
      </c>
      <c r="BM184" s="99">
        <f t="shared" si="148"/>
        <v>0</v>
      </c>
      <c r="BN184" s="99">
        <f t="shared" si="149"/>
        <v>0</v>
      </c>
      <c r="BO184" s="121"/>
      <c r="BP184" s="121"/>
      <c r="BQ184" s="121"/>
      <c r="BR184" s="121"/>
      <c r="BS184" s="121"/>
      <c r="BT184" s="121"/>
      <c r="BU184" s="182">
        <v>0</v>
      </c>
      <c r="BV184" s="121"/>
      <c r="BW184" s="121"/>
      <c r="BX184" s="121"/>
      <c r="BY184" s="121"/>
      <c r="BZ184" s="121"/>
      <c r="CA184" s="95">
        <f t="shared" si="150"/>
        <v>0</v>
      </c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17"/>
      <c r="CP184" s="121"/>
      <c r="CQ184" s="121"/>
      <c r="CR184" s="117"/>
      <c r="CS184" s="113"/>
      <c r="CT184" s="106">
        <v>2.66</v>
      </c>
      <c r="CU184" s="187">
        <f t="shared" si="151"/>
        <v>22.957542399999998</v>
      </c>
      <c r="CV184" s="187">
        <f t="shared" si="152"/>
        <v>22.957542399999998</v>
      </c>
      <c r="CW184" s="240"/>
    </row>
    <row r="185" spans="1:101" s="51" customFormat="1" ht="19.899999999999999" customHeight="1" x14ac:dyDescent="0.3">
      <c r="A185" s="148" t="s">
        <v>169</v>
      </c>
      <c r="B185" s="50">
        <v>10035411331</v>
      </c>
      <c r="C185" s="148" t="s">
        <v>286</v>
      </c>
      <c r="D185" s="104" t="s">
        <v>255</v>
      </c>
      <c r="E185" s="104"/>
      <c r="F185" s="94"/>
      <c r="G185" s="182"/>
      <c r="H185" s="95">
        <f t="shared" si="114"/>
        <v>0</v>
      </c>
      <c r="I185" s="93"/>
      <c r="J185" s="96"/>
      <c r="K185" s="49"/>
      <c r="L185" s="93"/>
      <c r="M185" s="97" t="s">
        <v>173</v>
      </c>
      <c r="N185" s="97" t="s">
        <v>295</v>
      </c>
      <c r="O185" s="183"/>
      <c r="P185" s="183"/>
      <c r="Q185" s="183"/>
      <c r="R185" s="131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4">
        <v>0.70052999999999999</v>
      </c>
      <c r="AC185" s="184">
        <v>0.70052999999999999</v>
      </c>
      <c r="AD185" s="95"/>
      <c r="AE185" s="95"/>
      <c r="AF185" s="95"/>
      <c r="AG185" s="95">
        <f t="shared" si="146"/>
        <v>0</v>
      </c>
      <c r="AH185" s="95">
        <f t="shared" si="147"/>
        <v>0</v>
      </c>
      <c r="AI185" s="95">
        <f t="shared" si="117"/>
        <v>0</v>
      </c>
      <c r="AJ185" s="95">
        <f t="shared" si="118"/>
        <v>0</v>
      </c>
      <c r="AK185" s="95">
        <f t="shared" si="119"/>
        <v>0</v>
      </c>
      <c r="AL185" s="133">
        <f t="shared" si="120"/>
        <v>0</v>
      </c>
      <c r="AM185" s="199">
        <f t="shared" si="121"/>
        <v>0</v>
      </c>
      <c r="AN185" s="106">
        <v>0</v>
      </c>
      <c r="AO185" s="106">
        <v>140</v>
      </c>
      <c r="AP185" s="106">
        <v>0</v>
      </c>
      <c r="AQ185" s="106">
        <f t="shared" si="122"/>
        <v>140</v>
      </c>
      <c r="AR185" s="193">
        <f t="shared" si="123"/>
        <v>98.074200000000005</v>
      </c>
      <c r="AS185" s="113"/>
      <c r="AT185" s="113"/>
      <c r="AU185" s="113"/>
      <c r="AV185" s="95">
        <f t="shared" si="142"/>
        <v>0</v>
      </c>
      <c r="AW185" s="113"/>
      <c r="AX185" s="113"/>
      <c r="AY185" s="113"/>
      <c r="AZ185" s="95">
        <f t="shared" si="143"/>
        <v>0</v>
      </c>
      <c r="BA185" s="197">
        <f t="shared" si="144"/>
        <v>0</v>
      </c>
      <c r="BB185" s="94">
        <f t="shared" si="124"/>
        <v>0</v>
      </c>
      <c r="BC185" s="105">
        <f t="shared" si="137"/>
        <v>0</v>
      </c>
      <c r="BD185" s="94">
        <f t="shared" si="125"/>
        <v>140</v>
      </c>
      <c r="BE185" s="94">
        <f t="shared" si="138"/>
        <v>98.074200000000005</v>
      </c>
      <c r="BF185" s="94">
        <f t="shared" si="126"/>
        <v>0</v>
      </c>
      <c r="BG185" s="94">
        <f t="shared" si="139"/>
        <v>0</v>
      </c>
      <c r="BH185" s="94">
        <f t="shared" si="127"/>
        <v>140</v>
      </c>
      <c r="BI185" s="94">
        <f t="shared" si="128"/>
        <v>98.074200000000005</v>
      </c>
      <c r="BJ185" s="186">
        <f t="shared" si="129"/>
        <v>0</v>
      </c>
      <c r="BK185" s="182">
        <f t="shared" si="130"/>
        <v>0</v>
      </c>
      <c r="BL185" s="98">
        <f t="shared" si="131"/>
        <v>0</v>
      </c>
      <c r="BM185" s="99">
        <f t="shared" si="148"/>
        <v>0</v>
      </c>
      <c r="BN185" s="99">
        <f t="shared" si="149"/>
        <v>0</v>
      </c>
      <c r="BO185" s="121"/>
      <c r="BP185" s="121"/>
      <c r="BQ185" s="121"/>
      <c r="BR185" s="121"/>
      <c r="BS185" s="121"/>
      <c r="BT185" s="121"/>
      <c r="BU185" s="182">
        <v>0</v>
      </c>
      <c r="BV185" s="121"/>
      <c r="BW185" s="121"/>
      <c r="BX185" s="121"/>
      <c r="BY185" s="121"/>
      <c r="BZ185" s="121"/>
      <c r="CA185" s="95">
        <f t="shared" si="150"/>
        <v>0</v>
      </c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17"/>
      <c r="CP185" s="121"/>
      <c r="CQ185" s="121"/>
      <c r="CR185" s="117"/>
      <c r="CS185" s="113"/>
      <c r="CT185" s="106">
        <v>2.66</v>
      </c>
      <c r="CU185" s="187">
        <f t="shared" si="151"/>
        <v>98.074200000000005</v>
      </c>
      <c r="CV185" s="187">
        <f t="shared" si="152"/>
        <v>98.074200000000005</v>
      </c>
      <c r="CW185" s="240"/>
    </row>
    <row r="186" spans="1:101" s="51" customFormat="1" ht="19.899999999999999" customHeight="1" x14ac:dyDescent="0.3">
      <c r="A186" s="92" t="s">
        <v>169</v>
      </c>
      <c r="B186" s="49">
        <v>10035411331</v>
      </c>
      <c r="C186" s="92" t="s">
        <v>286</v>
      </c>
      <c r="D186" s="93" t="s">
        <v>255</v>
      </c>
      <c r="E186" s="93"/>
      <c r="F186" s="105"/>
      <c r="G186" s="196"/>
      <c r="H186" s="106">
        <f t="shared" si="114"/>
        <v>0</v>
      </c>
      <c r="I186" s="104"/>
      <c r="J186" s="107"/>
      <c r="K186" s="50"/>
      <c r="L186" s="104"/>
      <c r="M186" s="108" t="s">
        <v>129</v>
      </c>
      <c r="N186" s="108" t="s">
        <v>296</v>
      </c>
      <c r="O186" s="193"/>
      <c r="P186" s="193"/>
      <c r="Q186" s="193"/>
      <c r="R186" s="109"/>
      <c r="S186" s="193"/>
      <c r="T186" s="193"/>
      <c r="U186" s="193"/>
      <c r="V186" s="193"/>
      <c r="W186" s="193"/>
      <c r="X186" s="193"/>
      <c r="Y186" s="193"/>
      <c r="Z186" s="193"/>
      <c r="AA186" s="193"/>
      <c r="AB186" s="194">
        <v>0.77149999999999996</v>
      </c>
      <c r="AC186" s="194">
        <v>0.77149999999999996</v>
      </c>
      <c r="AD186" s="106"/>
      <c r="AE186" s="118"/>
      <c r="AF186" s="106"/>
      <c r="AG186" s="106">
        <f t="shared" si="146"/>
        <v>0</v>
      </c>
      <c r="AH186" s="106">
        <f t="shared" si="147"/>
        <v>0</v>
      </c>
      <c r="AI186" s="106">
        <f t="shared" si="117"/>
        <v>0</v>
      </c>
      <c r="AJ186" s="106">
        <f t="shared" si="118"/>
        <v>0</v>
      </c>
      <c r="AK186" s="106">
        <f t="shared" si="119"/>
        <v>0</v>
      </c>
      <c r="AL186" s="132">
        <f t="shared" si="120"/>
        <v>0</v>
      </c>
      <c r="AM186" s="198">
        <f t="shared" si="121"/>
        <v>0</v>
      </c>
      <c r="AN186" s="106">
        <v>0</v>
      </c>
      <c r="AO186" s="106">
        <v>42.11</v>
      </c>
      <c r="AP186" s="106">
        <v>0</v>
      </c>
      <c r="AQ186" s="95">
        <f t="shared" si="122"/>
        <v>42.11</v>
      </c>
      <c r="AR186" s="183">
        <f t="shared" si="123"/>
        <v>32.487864999999999</v>
      </c>
      <c r="AS186" s="113"/>
      <c r="AT186" s="113"/>
      <c r="AU186" s="113"/>
      <c r="AV186" s="95">
        <f t="shared" si="142"/>
        <v>0</v>
      </c>
      <c r="AW186" s="113"/>
      <c r="AX186" s="113"/>
      <c r="AY186" s="113"/>
      <c r="AZ186" s="95">
        <f t="shared" si="143"/>
        <v>0</v>
      </c>
      <c r="BA186" s="197">
        <f t="shared" si="144"/>
        <v>0</v>
      </c>
      <c r="BB186" s="94">
        <f t="shared" si="124"/>
        <v>0</v>
      </c>
      <c r="BC186" s="105">
        <f t="shared" si="137"/>
        <v>0</v>
      </c>
      <c r="BD186" s="94">
        <f t="shared" si="125"/>
        <v>42.11</v>
      </c>
      <c r="BE186" s="94">
        <f t="shared" si="138"/>
        <v>32.487864999999999</v>
      </c>
      <c r="BF186" s="94">
        <f t="shared" si="126"/>
        <v>0</v>
      </c>
      <c r="BG186" s="94">
        <f t="shared" si="139"/>
        <v>0</v>
      </c>
      <c r="BH186" s="94">
        <f t="shared" si="127"/>
        <v>42.11</v>
      </c>
      <c r="BI186" s="94">
        <f t="shared" si="128"/>
        <v>32.487864999999999</v>
      </c>
      <c r="BJ186" s="186">
        <f t="shared" si="129"/>
        <v>0</v>
      </c>
      <c r="BK186" s="182">
        <f t="shared" si="130"/>
        <v>0</v>
      </c>
      <c r="BL186" s="98">
        <f t="shared" si="131"/>
        <v>0</v>
      </c>
      <c r="BM186" s="99">
        <f t="shared" si="148"/>
        <v>0</v>
      </c>
      <c r="BN186" s="99">
        <f t="shared" si="149"/>
        <v>0</v>
      </c>
      <c r="BO186" s="121"/>
      <c r="BP186" s="121"/>
      <c r="BQ186" s="121"/>
      <c r="BR186" s="121"/>
      <c r="BS186" s="121"/>
      <c r="BT186" s="121"/>
      <c r="BU186" s="182">
        <v>0</v>
      </c>
      <c r="BV186" s="121"/>
      <c r="BW186" s="121"/>
      <c r="BX186" s="121"/>
      <c r="BY186" s="121"/>
      <c r="BZ186" s="121"/>
      <c r="CA186" s="95">
        <f t="shared" si="150"/>
        <v>0</v>
      </c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17"/>
      <c r="CP186" s="121"/>
      <c r="CQ186" s="121"/>
      <c r="CR186" s="117"/>
      <c r="CS186" s="113"/>
      <c r="CT186" s="106">
        <v>2.66</v>
      </c>
      <c r="CU186" s="187">
        <f t="shared" si="151"/>
        <v>32.487864999999999</v>
      </c>
      <c r="CV186" s="187">
        <f t="shared" si="152"/>
        <v>32.487864999999999</v>
      </c>
      <c r="CW186" s="240"/>
    </row>
    <row r="187" spans="1:101" s="51" customFormat="1" ht="19.899999999999999" customHeight="1" x14ac:dyDescent="0.3">
      <c r="A187" s="103" t="s">
        <v>169</v>
      </c>
      <c r="B187" s="50">
        <v>10035411331</v>
      </c>
      <c r="C187" s="103" t="s">
        <v>286</v>
      </c>
      <c r="D187" s="104" t="s">
        <v>255</v>
      </c>
      <c r="E187" s="104"/>
      <c r="F187" s="94"/>
      <c r="G187" s="182"/>
      <c r="H187" s="95">
        <f t="shared" si="114"/>
        <v>0</v>
      </c>
      <c r="I187" s="93"/>
      <c r="J187" s="96"/>
      <c r="K187" s="49"/>
      <c r="L187" s="93"/>
      <c r="M187" s="97" t="s">
        <v>159</v>
      </c>
      <c r="N187" s="97" t="s">
        <v>297</v>
      </c>
      <c r="O187" s="183"/>
      <c r="P187" s="183"/>
      <c r="Q187" s="183"/>
      <c r="R187" s="131"/>
      <c r="S187" s="183"/>
      <c r="T187" s="183"/>
      <c r="U187" s="183"/>
      <c r="V187" s="183"/>
      <c r="W187" s="183"/>
      <c r="X187" s="183"/>
      <c r="Y187" s="183"/>
      <c r="Z187" s="183"/>
      <c r="AA187" s="183"/>
      <c r="AB187" s="184">
        <v>0.80854000000000004</v>
      </c>
      <c r="AC187" s="184">
        <v>0.80854000000000004</v>
      </c>
      <c r="AD187" s="95"/>
      <c r="AE187" s="95"/>
      <c r="AF187" s="95"/>
      <c r="AG187" s="95">
        <f t="shared" si="146"/>
        <v>0</v>
      </c>
      <c r="AH187" s="95">
        <f t="shared" si="147"/>
        <v>0</v>
      </c>
      <c r="AI187" s="95">
        <f t="shared" si="117"/>
        <v>0</v>
      </c>
      <c r="AJ187" s="95">
        <f t="shared" si="118"/>
        <v>0</v>
      </c>
      <c r="AK187" s="95">
        <f t="shared" si="119"/>
        <v>0</v>
      </c>
      <c r="AL187" s="133">
        <f t="shared" si="120"/>
        <v>0</v>
      </c>
      <c r="AM187" s="199">
        <f t="shared" si="121"/>
        <v>0</v>
      </c>
      <c r="AN187" s="106">
        <v>0</v>
      </c>
      <c r="AO187" s="106">
        <v>42.11</v>
      </c>
      <c r="AP187" s="106">
        <v>0</v>
      </c>
      <c r="AQ187" s="106">
        <f t="shared" si="122"/>
        <v>42.11</v>
      </c>
      <c r="AR187" s="193">
        <f t="shared" si="123"/>
        <v>34.047619400000002</v>
      </c>
      <c r="AS187" s="113"/>
      <c r="AT187" s="113"/>
      <c r="AU187" s="113"/>
      <c r="AV187" s="95">
        <f t="shared" si="142"/>
        <v>0</v>
      </c>
      <c r="AW187" s="113"/>
      <c r="AX187" s="113"/>
      <c r="AY187" s="113"/>
      <c r="AZ187" s="95">
        <f t="shared" si="143"/>
        <v>0</v>
      </c>
      <c r="BA187" s="197">
        <f t="shared" si="144"/>
        <v>0</v>
      </c>
      <c r="BB187" s="94">
        <f t="shared" si="124"/>
        <v>0</v>
      </c>
      <c r="BC187" s="105">
        <f t="shared" si="137"/>
        <v>0</v>
      </c>
      <c r="BD187" s="94">
        <f t="shared" si="125"/>
        <v>42.11</v>
      </c>
      <c r="BE187" s="94">
        <f t="shared" si="138"/>
        <v>34.047619400000002</v>
      </c>
      <c r="BF187" s="94">
        <f t="shared" si="126"/>
        <v>0</v>
      </c>
      <c r="BG187" s="94">
        <f t="shared" si="139"/>
        <v>0</v>
      </c>
      <c r="BH187" s="94">
        <f t="shared" si="127"/>
        <v>42.11</v>
      </c>
      <c r="BI187" s="94">
        <f t="shared" si="128"/>
        <v>34.047619400000002</v>
      </c>
      <c r="BJ187" s="186">
        <f t="shared" si="129"/>
        <v>0</v>
      </c>
      <c r="BK187" s="182">
        <f t="shared" si="130"/>
        <v>0</v>
      </c>
      <c r="BL187" s="98">
        <f t="shared" si="131"/>
        <v>0</v>
      </c>
      <c r="BM187" s="99">
        <f t="shared" si="148"/>
        <v>0</v>
      </c>
      <c r="BN187" s="99">
        <f t="shared" si="149"/>
        <v>0</v>
      </c>
      <c r="BO187" s="121"/>
      <c r="BP187" s="121"/>
      <c r="BQ187" s="121"/>
      <c r="BR187" s="121"/>
      <c r="BS187" s="121"/>
      <c r="BT187" s="121"/>
      <c r="BU187" s="182">
        <v>0</v>
      </c>
      <c r="BV187" s="121"/>
      <c r="BW187" s="121"/>
      <c r="BX187" s="121"/>
      <c r="BY187" s="121"/>
      <c r="BZ187" s="121"/>
      <c r="CA187" s="95">
        <f t="shared" si="150"/>
        <v>0</v>
      </c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17"/>
      <c r="CP187" s="121"/>
      <c r="CQ187" s="121"/>
      <c r="CR187" s="117"/>
      <c r="CS187" s="113"/>
      <c r="CT187" s="106">
        <v>54.46</v>
      </c>
      <c r="CU187" s="187">
        <f t="shared" si="151"/>
        <v>34.047619400000002</v>
      </c>
      <c r="CV187" s="187">
        <f t="shared" si="152"/>
        <v>34.047619400000002</v>
      </c>
      <c r="CW187" s="240"/>
    </row>
    <row r="188" spans="1:101" s="51" customFormat="1" ht="19.899999999999999" customHeight="1" x14ac:dyDescent="0.3">
      <c r="A188" s="92" t="s">
        <v>169</v>
      </c>
      <c r="B188" s="49">
        <v>10035411331</v>
      </c>
      <c r="C188" s="92" t="s">
        <v>286</v>
      </c>
      <c r="D188" s="93" t="s">
        <v>255</v>
      </c>
      <c r="E188" s="93"/>
      <c r="F188" s="105"/>
      <c r="G188" s="196"/>
      <c r="H188" s="106">
        <f t="shared" si="114"/>
        <v>0</v>
      </c>
      <c r="I188" s="104"/>
      <c r="J188" s="107"/>
      <c r="K188" s="50"/>
      <c r="L188" s="104"/>
      <c r="M188" s="108" t="s">
        <v>163</v>
      </c>
      <c r="N188" s="108" t="s">
        <v>298</v>
      </c>
      <c r="O188" s="193"/>
      <c r="P188" s="193"/>
      <c r="Q188" s="193"/>
      <c r="R188" s="109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4">
        <v>0.78290999999999999</v>
      </c>
      <c r="AC188" s="194">
        <v>0.78290999999999999</v>
      </c>
      <c r="AD188" s="106"/>
      <c r="AE188" s="118"/>
      <c r="AF188" s="106"/>
      <c r="AG188" s="106">
        <f t="shared" si="146"/>
        <v>0</v>
      </c>
      <c r="AH188" s="106">
        <f t="shared" si="147"/>
        <v>0</v>
      </c>
      <c r="AI188" s="106">
        <f t="shared" si="117"/>
        <v>0</v>
      </c>
      <c r="AJ188" s="106">
        <f t="shared" si="118"/>
        <v>0</v>
      </c>
      <c r="AK188" s="106">
        <f t="shared" si="119"/>
        <v>0</v>
      </c>
      <c r="AL188" s="132">
        <f t="shared" si="120"/>
        <v>0</v>
      </c>
      <c r="AM188" s="198">
        <f t="shared" si="121"/>
        <v>0</v>
      </c>
      <c r="AN188" s="106">
        <v>0</v>
      </c>
      <c r="AO188" s="106">
        <v>207.12</v>
      </c>
      <c r="AP188" s="106">
        <v>0</v>
      </c>
      <c r="AQ188" s="95">
        <f t="shared" si="122"/>
        <v>207.12</v>
      </c>
      <c r="AR188" s="183">
        <f t="shared" si="123"/>
        <v>162.15631920000001</v>
      </c>
      <c r="AS188" s="113"/>
      <c r="AT188" s="113"/>
      <c r="AU188" s="113"/>
      <c r="AV188" s="95">
        <f t="shared" si="142"/>
        <v>0</v>
      </c>
      <c r="AW188" s="113"/>
      <c r="AX188" s="113"/>
      <c r="AY188" s="113"/>
      <c r="AZ188" s="95">
        <f t="shared" si="143"/>
        <v>0</v>
      </c>
      <c r="BA188" s="197">
        <f t="shared" si="144"/>
        <v>0</v>
      </c>
      <c r="BB188" s="94">
        <f t="shared" si="124"/>
        <v>0</v>
      </c>
      <c r="BC188" s="105">
        <f t="shared" si="137"/>
        <v>0</v>
      </c>
      <c r="BD188" s="94">
        <f t="shared" si="125"/>
        <v>207.12</v>
      </c>
      <c r="BE188" s="94">
        <f t="shared" si="138"/>
        <v>162.15631920000001</v>
      </c>
      <c r="BF188" s="94">
        <f t="shared" si="126"/>
        <v>0</v>
      </c>
      <c r="BG188" s="94">
        <f t="shared" si="139"/>
        <v>0</v>
      </c>
      <c r="BH188" s="94">
        <f t="shared" si="127"/>
        <v>207.12</v>
      </c>
      <c r="BI188" s="94">
        <f t="shared" si="128"/>
        <v>162.15631920000001</v>
      </c>
      <c r="BJ188" s="186">
        <f t="shared" si="129"/>
        <v>0</v>
      </c>
      <c r="BK188" s="182">
        <f t="shared" si="130"/>
        <v>0</v>
      </c>
      <c r="BL188" s="98">
        <f t="shared" si="131"/>
        <v>0</v>
      </c>
      <c r="BM188" s="99">
        <f t="shared" si="148"/>
        <v>0</v>
      </c>
      <c r="BN188" s="99">
        <f t="shared" si="149"/>
        <v>0</v>
      </c>
      <c r="BO188" s="121"/>
      <c r="BP188" s="121"/>
      <c r="BQ188" s="121"/>
      <c r="BR188" s="121"/>
      <c r="BS188" s="121"/>
      <c r="BT188" s="121"/>
      <c r="BU188" s="182">
        <v>0</v>
      </c>
      <c r="BV188" s="121"/>
      <c r="BW188" s="121"/>
      <c r="BX188" s="121"/>
      <c r="BY188" s="121"/>
      <c r="BZ188" s="121"/>
      <c r="CA188" s="95">
        <f t="shared" si="150"/>
        <v>0</v>
      </c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17"/>
      <c r="CP188" s="121"/>
      <c r="CQ188" s="121"/>
      <c r="CR188" s="117"/>
      <c r="CS188" s="113"/>
      <c r="CT188" s="106">
        <v>54.46</v>
      </c>
      <c r="CU188" s="187">
        <f t="shared" si="151"/>
        <v>162.15631920000001</v>
      </c>
      <c r="CV188" s="187">
        <f t="shared" si="152"/>
        <v>162.15631920000001</v>
      </c>
      <c r="CW188" s="240"/>
    </row>
    <row r="189" spans="1:101" s="51" customFormat="1" ht="19.899999999999999" customHeight="1" x14ac:dyDescent="0.3">
      <c r="A189" s="148" t="s">
        <v>169</v>
      </c>
      <c r="B189" s="50">
        <v>10035411331</v>
      </c>
      <c r="C189" s="148" t="s">
        <v>286</v>
      </c>
      <c r="D189" s="104" t="s">
        <v>255</v>
      </c>
      <c r="E189" s="104"/>
      <c r="F189" s="94"/>
      <c r="G189" s="182"/>
      <c r="H189" s="95">
        <f t="shared" si="114"/>
        <v>0</v>
      </c>
      <c r="I189" s="93"/>
      <c r="J189" s="96"/>
      <c r="K189" s="49"/>
      <c r="L189" s="93"/>
      <c r="M189" s="97" t="s">
        <v>165</v>
      </c>
      <c r="N189" s="97" t="s">
        <v>299</v>
      </c>
      <c r="O189" s="183"/>
      <c r="P189" s="183"/>
      <c r="Q189" s="183"/>
      <c r="R189" s="131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4">
        <v>0.78227000000000002</v>
      </c>
      <c r="AC189" s="184">
        <v>0.78227000000000002</v>
      </c>
      <c r="AD189" s="95"/>
      <c r="AE189" s="95"/>
      <c r="AF189" s="95"/>
      <c r="AG189" s="95">
        <f t="shared" si="146"/>
        <v>0</v>
      </c>
      <c r="AH189" s="95">
        <f t="shared" si="147"/>
        <v>0</v>
      </c>
      <c r="AI189" s="95">
        <f t="shared" si="117"/>
        <v>0</v>
      </c>
      <c r="AJ189" s="95">
        <f t="shared" si="118"/>
        <v>0</v>
      </c>
      <c r="AK189" s="95">
        <f t="shared" si="119"/>
        <v>0</v>
      </c>
      <c r="AL189" s="133">
        <f t="shared" si="120"/>
        <v>0</v>
      </c>
      <c r="AM189" s="199">
        <f t="shared" si="121"/>
        <v>0</v>
      </c>
      <c r="AN189" s="106">
        <v>0</v>
      </c>
      <c r="AO189" s="106">
        <v>57.88</v>
      </c>
      <c r="AP189" s="106">
        <v>0</v>
      </c>
      <c r="AQ189" s="106">
        <f t="shared" si="122"/>
        <v>57.88</v>
      </c>
      <c r="AR189" s="193">
        <f t="shared" si="123"/>
        <v>45.277787600000003</v>
      </c>
      <c r="AS189" s="113"/>
      <c r="AT189" s="113"/>
      <c r="AU189" s="113"/>
      <c r="AV189" s="95">
        <f t="shared" ref="AV189:AV220" si="153">SUM(AS189:AU189)</f>
        <v>0</v>
      </c>
      <c r="AW189" s="113"/>
      <c r="AX189" s="113"/>
      <c r="AY189" s="113"/>
      <c r="AZ189" s="95">
        <f t="shared" ref="AZ189:AZ220" si="154">SUM(AW189:AY189)</f>
        <v>0</v>
      </c>
      <c r="BA189" s="197">
        <f t="shared" ref="BA189:BA224" si="155">(AW189*AB189)+((AX189+AY189)*AC189)</f>
        <v>0</v>
      </c>
      <c r="BB189" s="94">
        <f t="shared" si="124"/>
        <v>0</v>
      </c>
      <c r="BC189" s="105">
        <f t="shared" si="137"/>
        <v>0</v>
      </c>
      <c r="BD189" s="94">
        <f t="shared" si="125"/>
        <v>57.88</v>
      </c>
      <c r="BE189" s="94">
        <f t="shared" si="138"/>
        <v>45.277787600000003</v>
      </c>
      <c r="BF189" s="94">
        <f t="shared" si="126"/>
        <v>0</v>
      </c>
      <c r="BG189" s="94">
        <f t="shared" si="139"/>
        <v>0</v>
      </c>
      <c r="BH189" s="94">
        <f t="shared" si="127"/>
        <v>57.88</v>
      </c>
      <c r="BI189" s="94">
        <f t="shared" si="128"/>
        <v>45.277787600000003</v>
      </c>
      <c r="BJ189" s="186">
        <f t="shared" si="129"/>
        <v>0</v>
      </c>
      <c r="BK189" s="182">
        <f t="shared" si="130"/>
        <v>0</v>
      </c>
      <c r="BL189" s="98">
        <f t="shared" si="131"/>
        <v>0</v>
      </c>
      <c r="BM189" s="99">
        <f t="shared" si="148"/>
        <v>0</v>
      </c>
      <c r="BN189" s="99">
        <f t="shared" si="149"/>
        <v>0</v>
      </c>
      <c r="BO189" s="121"/>
      <c r="BP189" s="121"/>
      <c r="BQ189" s="121"/>
      <c r="BR189" s="121"/>
      <c r="BS189" s="121"/>
      <c r="BT189" s="121"/>
      <c r="BU189" s="182">
        <v>0</v>
      </c>
      <c r="BV189" s="121"/>
      <c r="BW189" s="121"/>
      <c r="BX189" s="121"/>
      <c r="BY189" s="121"/>
      <c r="BZ189" s="121"/>
      <c r="CA189" s="95">
        <f t="shared" si="150"/>
        <v>0</v>
      </c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17"/>
      <c r="CP189" s="121"/>
      <c r="CQ189" s="121"/>
      <c r="CR189" s="117"/>
      <c r="CS189" s="113"/>
      <c r="CT189" s="106">
        <v>140.07</v>
      </c>
      <c r="CU189" s="187">
        <f t="shared" si="151"/>
        <v>45.277787600000003</v>
      </c>
      <c r="CV189" s="187">
        <f t="shared" si="152"/>
        <v>45.277787600000003</v>
      </c>
      <c r="CW189" s="240"/>
    </row>
    <row r="190" spans="1:101" s="51" customFormat="1" ht="19.899999999999999" customHeight="1" x14ac:dyDescent="0.3">
      <c r="A190" s="92" t="s">
        <v>169</v>
      </c>
      <c r="B190" s="49">
        <v>10035411331</v>
      </c>
      <c r="C190" s="92" t="s">
        <v>286</v>
      </c>
      <c r="D190" s="93" t="s">
        <v>255</v>
      </c>
      <c r="E190" s="93"/>
      <c r="F190" s="105"/>
      <c r="G190" s="196"/>
      <c r="H190" s="106">
        <f t="shared" si="114"/>
        <v>0</v>
      </c>
      <c r="I190" s="104"/>
      <c r="J190" s="107"/>
      <c r="K190" s="50"/>
      <c r="L190" s="104"/>
      <c r="M190" s="108" t="s">
        <v>133</v>
      </c>
      <c r="N190" s="108" t="s">
        <v>300</v>
      </c>
      <c r="O190" s="193"/>
      <c r="P190" s="193"/>
      <c r="Q190" s="193"/>
      <c r="R190" s="109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4">
        <v>0.81393000000000004</v>
      </c>
      <c r="AC190" s="194">
        <v>0.81393000000000004</v>
      </c>
      <c r="AD190" s="106"/>
      <c r="AE190" s="118"/>
      <c r="AF190" s="106"/>
      <c r="AG190" s="106">
        <f t="shared" si="146"/>
        <v>0</v>
      </c>
      <c r="AH190" s="106">
        <f t="shared" si="147"/>
        <v>0</v>
      </c>
      <c r="AI190" s="106">
        <f t="shared" si="117"/>
        <v>0</v>
      </c>
      <c r="AJ190" s="106">
        <f t="shared" si="118"/>
        <v>0</v>
      </c>
      <c r="AK190" s="106">
        <f t="shared" si="119"/>
        <v>0</v>
      </c>
      <c r="AL190" s="132">
        <f t="shared" si="120"/>
        <v>0</v>
      </c>
      <c r="AM190" s="198">
        <f t="shared" si="121"/>
        <v>0</v>
      </c>
      <c r="AN190" s="106">
        <v>0</v>
      </c>
      <c r="AO190" s="106">
        <v>60.2</v>
      </c>
      <c r="AP190" s="106">
        <v>0</v>
      </c>
      <c r="AQ190" s="95">
        <f t="shared" si="122"/>
        <v>60.2</v>
      </c>
      <c r="AR190" s="183">
        <f t="shared" si="123"/>
        <v>48.998586000000003</v>
      </c>
      <c r="AS190" s="113"/>
      <c r="AT190" s="113"/>
      <c r="AU190" s="113"/>
      <c r="AV190" s="95">
        <f t="shared" si="153"/>
        <v>0</v>
      </c>
      <c r="AW190" s="113"/>
      <c r="AX190" s="113"/>
      <c r="AY190" s="113"/>
      <c r="AZ190" s="95">
        <f t="shared" si="154"/>
        <v>0</v>
      </c>
      <c r="BA190" s="197">
        <f t="shared" si="155"/>
        <v>0</v>
      </c>
      <c r="BB190" s="94">
        <f t="shared" si="124"/>
        <v>0</v>
      </c>
      <c r="BC190" s="105">
        <f t="shared" si="137"/>
        <v>0</v>
      </c>
      <c r="BD190" s="94">
        <f t="shared" si="125"/>
        <v>60.2</v>
      </c>
      <c r="BE190" s="94">
        <f t="shared" si="138"/>
        <v>48.998586000000003</v>
      </c>
      <c r="BF190" s="94">
        <f t="shared" si="126"/>
        <v>0</v>
      </c>
      <c r="BG190" s="94">
        <f t="shared" si="139"/>
        <v>0</v>
      </c>
      <c r="BH190" s="94">
        <f t="shared" si="127"/>
        <v>60.2</v>
      </c>
      <c r="BI190" s="94">
        <f t="shared" si="128"/>
        <v>48.998586000000003</v>
      </c>
      <c r="BJ190" s="186">
        <f t="shared" si="129"/>
        <v>0</v>
      </c>
      <c r="BK190" s="182">
        <f t="shared" si="130"/>
        <v>0</v>
      </c>
      <c r="BL190" s="98">
        <f t="shared" si="131"/>
        <v>0</v>
      </c>
      <c r="BM190" s="99">
        <f t="shared" si="148"/>
        <v>0</v>
      </c>
      <c r="BN190" s="99">
        <f t="shared" si="149"/>
        <v>0</v>
      </c>
      <c r="BO190" s="121"/>
      <c r="BP190" s="121"/>
      <c r="BQ190" s="121"/>
      <c r="BR190" s="121"/>
      <c r="BS190" s="121"/>
      <c r="BT190" s="121"/>
      <c r="BU190" s="182">
        <v>0</v>
      </c>
      <c r="BV190" s="121"/>
      <c r="BW190" s="121"/>
      <c r="BX190" s="121"/>
      <c r="BY190" s="121"/>
      <c r="BZ190" s="121"/>
      <c r="CA190" s="95">
        <f t="shared" si="150"/>
        <v>0</v>
      </c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17"/>
      <c r="CP190" s="121"/>
      <c r="CQ190" s="121"/>
      <c r="CR190" s="117"/>
      <c r="CS190" s="113"/>
      <c r="CT190" s="106">
        <v>88.27</v>
      </c>
      <c r="CU190" s="187">
        <f t="shared" si="151"/>
        <v>48.998586000000003</v>
      </c>
      <c r="CV190" s="187">
        <f t="shared" si="152"/>
        <v>48.998586000000003</v>
      </c>
      <c r="CW190" s="240"/>
    </row>
    <row r="191" spans="1:101" s="51" customFormat="1" ht="19.899999999999999" customHeight="1" x14ac:dyDescent="0.3">
      <c r="A191" s="103" t="s">
        <v>169</v>
      </c>
      <c r="B191" s="50">
        <v>10035411331</v>
      </c>
      <c r="C191" s="103" t="s">
        <v>286</v>
      </c>
      <c r="D191" s="104" t="s">
        <v>255</v>
      </c>
      <c r="E191" s="104"/>
      <c r="F191" s="94"/>
      <c r="G191" s="182"/>
      <c r="H191" s="95">
        <f t="shared" si="114"/>
        <v>0</v>
      </c>
      <c r="I191" s="93"/>
      <c r="J191" s="96"/>
      <c r="K191" s="49"/>
      <c r="L191" s="93"/>
      <c r="M191" s="97" t="s">
        <v>135</v>
      </c>
      <c r="N191" s="97" t="s">
        <v>301</v>
      </c>
      <c r="O191" s="183"/>
      <c r="P191" s="183"/>
      <c r="Q191" s="183"/>
      <c r="R191" s="131"/>
      <c r="S191" s="183"/>
      <c r="T191" s="183"/>
      <c r="U191" s="183"/>
      <c r="V191" s="183"/>
      <c r="W191" s="183"/>
      <c r="X191" s="183"/>
      <c r="Y191" s="183"/>
      <c r="Z191" s="183"/>
      <c r="AA191" s="183"/>
      <c r="AB191" s="184">
        <v>0.80901999999999996</v>
      </c>
      <c r="AC191" s="184">
        <v>0.80901999999999996</v>
      </c>
      <c r="AD191" s="95"/>
      <c r="AE191" s="95"/>
      <c r="AF191" s="95"/>
      <c r="AG191" s="95">
        <f t="shared" si="146"/>
        <v>0</v>
      </c>
      <c r="AH191" s="95">
        <f t="shared" si="147"/>
        <v>0</v>
      </c>
      <c r="AI191" s="95">
        <f t="shared" si="117"/>
        <v>0</v>
      </c>
      <c r="AJ191" s="95">
        <f t="shared" si="118"/>
        <v>0</v>
      </c>
      <c r="AK191" s="95">
        <f t="shared" si="119"/>
        <v>0</v>
      </c>
      <c r="AL191" s="133">
        <f t="shared" si="120"/>
        <v>0</v>
      </c>
      <c r="AM191" s="199">
        <f t="shared" si="121"/>
        <v>0</v>
      </c>
      <c r="AN191" s="106">
        <v>0</v>
      </c>
      <c r="AO191" s="106">
        <v>498.92</v>
      </c>
      <c r="AP191" s="106">
        <v>0</v>
      </c>
      <c r="AQ191" s="106">
        <f t="shared" si="122"/>
        <v>498.92</v>
      </c>
      <c r="AR191" s="193">
        <f t="shared" si="123"/>
        <v>403.63625839999997</v>
      </c>
      <c r="AS191" s="113"/>
      <c r="AT191" s="113"/>
      <c r="AU191" s="113"/>
      <c r="AV191" s="95">
        <f t="shared" si="153"/>
        <v>0</v>
      </c>
      <c r="AW191" s="113"/>
      <c r="AX191" s="113"/>
      <c r="AY191" s="113"/>
      <c r="AZ191" s="95">
        <f t="shared" si="154"/>
        <v>0</v>
      </c>
      <c r="BA191" s="197">
        <f t="shared" si="155"/>
        <v>0</v>
      </c>
      <c r="BB191" s="94">
        <f t="shared" si="124"/>
        <v>0</v>
      </c>
      <c r="BC191" s="105">
        <f t="shared" si="137"/>
        <v>0</v>
      </c>
      <c r="BD191" s="94">
        <f t="shared" si="125"/>
        <v>498.92</v>
      </c>
      <c r="BE191" s="94">
        <f t="shared" si="138"/>
        <v>403.63625839999997</v>
      </c>
      <c r="BF191" s="94">
        <f t="shared" si="126"/>
        <v>0</v>
      </c>
      <c r="BG191" s="94">
        <f t="shared" si="139"/>
        <v>0</v>
      </c>
      <c r="BH191" s="94">
        <f t="shared" si="127"/>
        <v>498.92</v>
      </c>
      <c r="BI191" s="94">
        <f t="shared" si="128"/>
        <v>403.63625839999997</v>
      </c>
      <c r="BJ191" s="186">
        <f t="shared" si="129"/>
        <v>0</v>
      </c>
      <c r="BK191" s="182">
        <f t="shared" si="130"/>
        <v>0</v>
      </c>
      <c r="BL191" s="98">
        <f t="shared" si="131"/>
        <v>0</v>
      </c>
      <c r="BM191" s="99">
        <f t="shared" si="148"/>
        <v>0</v>
      </c>
      <c r="BN191" s="99">
        <f t="shared" si="149"/>
        <v>0</v>
      </c>
      <c r="BO191" s="121"/>
      <c r="BP191" s="121"/>
      <c r="BQ191" s="121"/>
      <c r="BR191" s="121"/>
      <c r="BS191" s="121"/>
      <c r="BT191" s="121"/>
      <c r="BU191" s="182">
        <v>0</v>
      </c>
      <c r="BV191" s="121"/>
      <c r="BW191" s="121"/>
      <c r="BX191" s="121"/>
      <c r="BY191" s="121"/>
      <c r="BZ191" s="121"/>
      <c r="CA191" s="95">
        <f t="shared" si="150"/>
        <v>0</v>
      </c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17"/>
      <c r="CP191" s="121"/>
      <c r="CQ191" s="121"/>
      <c r="CR191" s="117"/>
      <c r="CS191" s="113"/>
      <c r="CT191" s="106">
        <v>88.27</v>
      </c>
      <c r="CU191" s="187">
        <f t="shared" si="151"/>
        <v>403.63625839999997</v>
      </c>
      <c r="CV191" s="187">
        <f t="shared" si="152"/>
        <v>403.63625839999997</v>
      </c>
      <c r="CW191" s="240"/>
    </row>
    <row r="192" spans="1:101" s="51" customFormat="1" ht="19.899999999999999" customHeight="1" x14ac:dyDescent="0.3">
      <c r="A192" s="92" t="s">
        <v>169</v>
      </c>
      <c r="B192" s="49">
        <v>10035411331</v>
      </c>
      <c r="C192" s="92" t="s">
        <v>286</v>
      </c>
      <c r="D192" s="93" t="s">
        <v>255</v>
      </c>
      <c r="E192" s="93"/>
      <c r="F192" s="105"/>
      <c r="G192" s="196"/>
      <c r="H192" s="106">
        <f t="shared" si="114"/>
        <v>0</v>
      </c>
      <c r="I192" s="104"/>
      <c r="J192" s="107"/>
      <c r="K192" s="50"/>
      <c r="L192" s="104"/>
      <c r="M192" s="108" t="s">
        <v>137</v>
      </c>
      <c r="N192" s="108" t="s">
        <v>302</v>
      </c>
      <c r="O192" s="193"/>
      <c r="P192" s="193"/>
      <c r="Q192" s="193"/>
      <c r="R192" s="109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4">
        <v>0.81221200000000005</v>
      </c>
      <c r="AC192" s="194">
        <v>0.81221200000000005</v>
      </c>
      <c r="AD192" s="106"/>
      <c r="AE192" s="118"/>
      <c r="AF192" s="106"/>
      <c r="AG192" s="106">
        <f t="shared" si="146"/>
        <v>0</v>
      </c>
      <c r="AH192" s="106">
        <f t="shared" si="147"/>
        <v>0</v>
      </c>
      <c r="AI192" s="106">
        <f t="shared" si="117"/>
        <v>0</v>
      </c>
      <c r="AJ192" s="106">
        <f t="shared" si="118"/>
        <v>0</v>
      </c>
      <c r="AK192" s="106">
        <f t="shared" si="119"/>
        <v>0</v>
      </c>
      <c r="AL192" s="132">
        <f t="shared" si="120"/>
        <v>0</v>
      </c>
      <c r="AM192" s="198">
        <f t="shared" si="121"/>
        <v>0</v>
      </c>
      <c r="AN192" s="106">
        <v>0</v>
      </c>
      <c r="AO192" s="106">
        <v>101.79</v>
      </c>
      <c r="AP192" s="106">
        <v>0</v>
      </c>
      <c r="AQ192" s="95">
        <f t="shared" si="122"/>
        <v>101.79</v>
      </c>
      <c r="AR192" s="183">
        <f t="shared" si="123"/>
        <v>82.675059480000016</v>
      </c>
      <c r="AS192" s="113"/>
      <c r="AT192" s="113"/>
      <c r="AU192" s="113"/>
      <c r="AV192" s="95">
        <f t="shared" si="153"/>
        <v>0</v>
      </c>
      <c r="AW192" s="113"/>
      <c r="AX192" s="113"/>
      <c r="AY192" s="113"/>
      <c r="AZ192" s="95">
        <f t="shared" si="154"/>
        <v>0</v>
      </c>
      <c r="BA192" s="197">
        <f t="shared" si="155"/>
        <v>0</v>
      </c>
      <c r="BB192" s="94">
        <f t="shared" si="124"/>
        <v>0</v>
      </c>
      <c r="BC192" s="105">
        <f t="shared" si="137"/>
        <v>0</v>
      </c>
      <c r="BD192" s="94">
        <f t="shared" si="125"/>
        <v>101.79</v>
      </c>
      <c r="BE192" s="94">
        <f t="shared" si="138"/>
        <v>82.675059480000016</v>
      </c>
      <c r="BF192" s="94">
        <f t="shared" si="126"/>
        <v>0</v>
      </c>
      <c r="BG192" s="94">
        <f t="shared" si="139"/>
        <v>0</v>
      </c>
      <c r="BH192" s="94">
        <f t="shared" si="127"/>
        <v>101.79</v>
      </c>
      <c r="BI192" s="94">
        <f t="shared" si="128"/>
        <v>82.675059480000016</v>
      </c>
      <c r="BJ192" s="186">
        <f t="shared" si="129"/>
        <v>0</v>
      </c>
      <c r="BK192" s="182">
        <f t="shared" si="130"/>
        <v>0</v>
      </c>
      <c r="BL192" s="98">
        <f t="shared" si="131"/>
        <v>0</v>
      </c>
      <c r="BM192" s="99">
        <f t="shared" si="148"/>
        <v>0</v>
      </c>
      <c r="BN192" s="99">
        <f t="shared" si="149"/>
        <v>0</v>
      </c>
      <c r="BO192" s="121"/>
      <c r="BP192" s="121"/>
      <c r="BQ192" s="121"/>
      <c r="BR192" s="121"/>
      <c r="BS192" s="121"/>
      <c r="BT192" s="121"/>
      <c r="BU192" s="182">
        <v>0</v>
      </c>
      <c r="BV192" s="121"/>
      <c r="BW192" s="121"/>
      <c r="BX192" s="121"/>
      <c r="BY192" s="121"/>
      <c r="BZ192" s="121"/>
      <c r="CA192" s="95">
        <f t="shared" si="150"/>
        <v>0</v>
      </c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17"/>
      <c r="CP192" s="121"/>
      <c r="CQ192" s="121"/>
      <c r="CR192" s="117"/>
      <c r="CS192" s="113"/>
      <c r="CT192" s="106">
        <v>88.2</v>
      </c>
      <c r="CU192" s="187">
        <f t="shared" si="151"/>
        <v>82.675059480000016</v>
      </c>
      <c r="CV192" s="187">
        <f t="shared" si="152"/>
        <v>82.675059480000016</v>
      </c>
      <c r="CW192" s="240"/>
    </row>
    <row r="193" spans="1:101" s="51" customFormat="1" ht="19.899999999999999" customHeight="1" x14ac:dyDescent="0.3">
      <c r="A193" s="148" t="s">
        <v>169</v>
      </c>
      <c r="B193" s="50">
        <v>10035411331</v>
      </c>
      <c r="C193" s="148" t="s">
        <v>286</v>
      </c>
      <c r="D193" s="104" t="s">
        <v>255</v>
      </c>
      <c r="E193" s="104"/>
      <c r="F193" s="94"/>
      <c r="G193" s="182"/>
      <c r="H193" s="95">
        <f t="shared" si="114"/>
        <v>0</v>
      </c>
      <c r="I193" s="93"/>
      <c r="J193" s="96"/>
      <c r="K193" s="49"/>
      <c r="L193" s="93"/>
      <c r="M193" s="97" t="s">
        <v>139</v>
      </c>
      <c r="N193" s="97" t="s">
        <v>303</v>
      </c>
      <c r="O193" s="183"/>
      <c r="P193" s="183"/>
      <c r="Q193" s="183"/>
      <c r="R193" s="131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4">
        <v>0.77512199999999998</v>
      </c>
      <c r="AC193" s="184">
        <v>0.77512199999999998</v>
      </c>
      <c r="AD193" s="95"/>
      <c r="AE193" s="95"/>
      <c r="AF193" s="95"/>
      <c r="AG193" s="95">
        <f t="shared" si="146"/>
        <v>0</v>
      </c>
      <c r="AH193" s="95">
        <f t="shared" si="147"/>
        <v>0</v>
      </c>
      <c r="AI193" s="95">
        <f t="shared" si="117"/>
        <v>0</v>
      </c>
      <c r="AJ193" s="95">
        <f t="shared" si="118"/>
        <v>0</v>
      </c>
      <c r="AK193" s="95">
        <f t="shared" si="119"/>
        <v>0</v>
      </c>
      <c r="AL193" s="133">
        <f t="shared" si="120"/>
        <v>0</v>
      </c>
      <c r="AM193" s="199">
        <f t="shared" si="121"/>
        <v>0</v>
      </c>
      <c r="AN193" s="106">
        <v>0</v>
      </c>
      <c r="AO193" s="106">
        <v>107.78</v>
      </c>
      <c r="AP193" s="106">
        <v>0</v>
      </c>
      <c r="AQ193" s="106">
        <f t="shared" si="122"/>
        <v>107.78</v>
      </c>
      <c r="AR193" s="193">
        <f t="shared" si="123"/>
        <v>83.542649159999996</v>
      </c>
      <c r="AS193" s="113"/>
      <c r="AT193" s="113"/>
      <c r="AU193" s="113"/>
      <c r="AV193" s="95">
        <f t="shared" si="153"/>
        <v>0</v>
      </c>
      <c r="AW193" s="113"/>
      <c r="AX193" s="113"/>
      <c r="AY193" s="113"/>
      <c r="AZ193" s="95">
        <f t="shared" si="154"/>
        <v>0</v>
      </c>
      <c r="BA193" s="197">
        <f t="shared" si="155"/>
        <v>0</v>
      </c>
      <c r="BB193" s="94">
        <f t="shared" si="124"/>
        <v>0</v>
      </c>
      <c r="BC193" s="105">
        <f t="shared" si="137"/>
        <v>0</v>
      </c>
      <c r="BD193" s="94">
        <f t="shared" si="125"/>
        <v>107.78</v>
      </c>
      <c r="BE193" s="94">
        <f t="shared" si="138"/>
        <v>83.542649159999996</v>
      </c>
      <c r="BF193" s="94">
        <f t="shared" si="126"/>
        <v>0</v>
      </c>
      <c r="BG193" s="94">
        <f t="shared" si="139"/>
        <v>0</v>
      </c>
      <c r="BH193" s="94">
        <f t="shared" si="127"/>
        <v>107.78</v>
      </c>
      <c r="BI193" s="94">
        <f t="shared" si="128"/>
        <v>83.542649159999996</v>
      </c>
      <c r="BJ193" s="186">
        <f t="shared" si="129"/>
        <v>0</v>
      </c>
      <c r="BK193" s="182">
        <f t="shared" si="130"/>
        <v>0</v>
      </c>
      <c r="BL193" s="98">
        <f t="shared" si="131"/>
        <v>0</v>
      </c>
      <c r="BM193" s="99">
        <f t="shared" si="148"/>
        <v>0</v>
      </c>
      <c r="BN193" s="99">
        <f t="shared" si="149"/>
        <v>0</v>
      </c>
      <c r="BO193" s="121"/>
      <c r="BP193" s="121"/>
      <c r="BQ193" s="121"/>
      <c r="BR193" s="121"/>
      <c r="BS193" s="121"/>
      <c r="BT193" s="121"/>
      <c r="BU193" s="182">
        <v>0</v>
      </c>
      <c r="BV193" s="121"/>
      <c r="BW193" s="121"/>
      <c r="BX193" s="121"/>
      <c r="BY193" s="121"/>
      <c r="BZ193" s="121"/>
      <c r="CA193" s="95">
        <f t="shared" si="150"/>
        <v>0</v>
      </c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17"/>
      <c r="CP193" s="121"/>
      <c r="CQ193" s="121"/>
      <c r="CR193" s="117"/>
      <c r="CS193" s="113"/>
      <c r="CT193" s="106">
        <v>0</v>
      </c>
      <c r="CU193" s="187">
        <f t="shared" si="151"/>
        <v>83.542649159999996</v>
      </c>
      <c r="CV193" s="187">
        <f t="shared" si="152"/>
        <v>83.542649159999996</v>
      </c>
      <c r="CW193" s="240"/>
    </row>
    <row r="194" spans="1:101" s="51" customFormat="1" ht="19.899999999999999" customHeight="1" x14ac:dyDescent="0.3">
      <c r="A194" s="92" t="s">
        <v>169</v>
      </c>
      <c r="B194" s="49">
        <v>10035411331</v>
      </c>
      <c r="C194" s="92" t="s">
        <v>286</v>
      </c>
      <c r="D194" s="93" t="s">
        <v>255</v>
      </c>
      <c r="E194" s="93"/>
      <c r="F194" s="105"/>
      <c r="G194" s="196"/>
      <c r="H194" s="106">
        <f t="shared" ref="H194:H257" si="156">F194*G194</f>
        <v>0</v>
      </c>
      <c r="I194" s="104"/>
      <c r="J194" s="107"/>
      <c r="K194" s="50"/>
      <c r="L194" s="104"/>
      <c r="M194" s="108" t="s">
        <v>141</v>
      </c>
      <c r="N194" s="108" t="s">
        <v>304</v>
      </c>
      <c r="O194" s="193"/>
      <c r="P194" s="193"/>
      <c r="Q194" s="193"/>
      <c r="R194" s="109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4">
        <v>0.78500400000000004</v>
      </c>
      <c r="AC194" s="194">
        <v>0.78500400000000004</v>
      </c>
      <c r="AD194" s="106"/>
      <c r="AE194" s="118"/>
      <c r="AF194" s="106"/>
      <c r="AG194" s="106">
        <f t="shared" si="146"/>
        <v>0</v>
      </c>
      <c r="AH194" s="106">
        <f t="shared" si="147"/>
        <v>0</v>
      </c>
      <c r="AI194" s="106">
        <f t="shared" ref="AI194:AI241" si="157">AD194-AS194</f>
        <v>0</v>
      </c>
      <c r="AJ194" s="106">
        <f t="shared" ref="AJ194:AJ241" si="158">AE194-AT194</f>
        <v>0</v>
      </c>
      <c r="AK194" s="106">
        <f t="shared" ref="AK194:AK241" si="159">AF194-AU194</f>
        <v>0</v>
      </c>
      <c r="AL194" s="132">
        <f t="shared" ref="AL194:AL257" si="160">SUM(AI194:AK194)</f>
        <v>0</v>
      </c>
      <c r="AM194" s="198">
        <f t="shared" ref="AM194:AM241" si="161">(AI194*AB194)+((AJ194+AK194)*AC194)</f>
        <v>0</v>
      </c>
      <c r="AN194" s="106">
        <v>0</v>
      </c>
      <c r="AO194" s="106">
        <v>30</v>
      </c>
      <c r="AP194" s="106">
        <v>0</v>
      </c>
      <c r="AQ194" s="95">
        <f t="shared" ref="AQ194:AQ257" si="162">SUM(AN194:AP194)</f>
        <v>30</v>
      </c>
      <c r="AR194" s="183">
        <f t="shared" ref="AR194:AR241" si="163">(AN194*AB194)+((AO194+AP194)*AC194)</f>
        <v>23.55012</v>
      </c>
      <c r="AS194" s="113"/>
      <c r="AT194" s="113"/>
      <c r="AU194" s="113"/>
      <c r="AV194" s="95">
        <f t="shared" si="153"/>
        <v>0</v>
      </c>
      <c r="AW194" s="113"/>
      <c r="AX194" s="113"/>
      <c r="AY194" s="113"/>
      <c r="AZ194" s="95">
        <f t="shared" si="154"/>
        <v>0</v>
      </c>
      <c r="BA194" s="197">
        <f t="shared" si="155"/>
        <v>0</v>
      </c>
      <c r="BB194" s="94">
        <f t="shared" ref="BB194:BB241" si="164">AN194-AW194</f>
        <v>0</v>
      </c>
      <c r="BC194" s="105">
        <f t="shared" si="137"/>
        <v>0</v>
      </c>
      <c r="BD194" s="94">
        <f t="shared" ref="BD194:BD241" si="165">AO194-AX194</f>
        <v>30</v>
      </c>
      <c r="BE194" s="94">
        <f t="shared" si="138"/>
        <v>23.55012</v>
      </c>
      <c r="BF194" s="94">
        <f t="shared" ref="BF194:BF241" si="166">AP194-AY194</f>
        <v>0</v>
      </c>
      <c r="BG194" s="94">
        <f t="shared" si="139"/>
        <v>0</v>
      </c>
      <c r="BH194" s="94">
        <f t="shared" ref="BH194:BH241" si="167">BB194+BD194+BF194</f>
        <v>30</v>
      </c>
      <c r="BI194" s="94">
        <f t="shared" ref="BI194:BI241" si="168">BC194+BE194+BG194</f>
        <v>23.55012</v>
      </c>
      <c r="BJ194" s="186">
        <f t="shared" ref="BJ194:BJ221" si="169">BL194+BS194+BV194+BY194+CB194+CE194+CH194+CK194</f>
        <v>0</v>
      </c>
      <c r="BK194" s="182">
        <f t="shared" ref="BK194:BK239" si="170">((AI194+AW194)*AB194)+((AJ194+AK194+AX194+AY194)*AC194)</f>
        <v>0</v>
      </c>
      <c r="BL194" s="98">
        <f t="shared" ref="BL194:BL257" si="171">BM194+BN194+AL194</f>
        <v>0</v>
      </c>
      <c r="BM194" s="99">
        <f t="shared" si="148"/>
        <v>0</v>
      </c>
      <c r="BN194" s="99">
        <f t="shared" si="149"/>
        <v>0</v>
      </c>
      <c r="BO194" s="121"/>
      <c r="BP194" s="121"/>
      <c r="BQ194" s="121"/>
      <c r="BR194" s="121"/>
      <c r="BS194" s="121"/>
      <c r="BT194" s="121"/>
      <c r="BU194" s="182">
        <v>0</v>
      </c>
      <c r="BV194" s="121"/>
      <c r="BW194" s="121"/>
      <c r="BX194" s="121"/>
      <c r="BY194" s="121"/>
      <c r="BZ194" s="121"/>
      <c r="CA194" s="95">
        <f t="shared" si="150"/>
        <v>0</v>
      </c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17"/>
      <c r="CP194" s="121"/>
      <c r="CQ194" s="121"/>
      <c r="CR194" s="117"/>
      <c r="CS194" s="113"/>
      <c r="CT194" s="106">
        <v>0</v>
      </c>
      <c r="CU194" s="187">
        <f t="shared" si="151"/>
        <v>23.55012</v>
      </c>
      <c r="CV194" s="187">
        <f t="shared" si="152"/>
        <v>23.55012</v>
      </c>
      <c r="CW194" s="240"/>
    </row>
    <row r="195" spans="1:101" s="51" customFormat="1" ht="19.899999999999999" customHeight="1" x14ac:dyDescent="0.3">
      <c r="A195" s="103" t="s">
        <v>169</v>
      </c>
      <c r="B195" s="50">
        <v>10035411331</v>
      </c>
      <c r="C195" s="103" t="s">
        <v>286</v>
      </c>
      <c r="D195" s="104" t="s">
        <v>255</v>
      </c>
      <c r="E195" s="104"/>
      <c r="F195" s="94"/>
      <c r="G195" s="182"/>
      <c r="H195" s="95">
        <f t="shared" si="156"/>
        <v>0</v>
      </c>
      <c r="I195" s="93"/>
      <c r="J195" s="96"/>
      <c r="K195" s="49"/>
      <c r="L195" s="93"/>
      <c r="M195" s="97" t="s">
        <v>130</v>
      </c>
      <c r="N195" s="97" t="s">
        <v>305</v>
      </c>
      <c r="O195" s="183"/>
      <c r="P195" s="183"/>
      <c r="Q195" s="183"/>
      <c r="R195" s="131"/>
      <c r="S195" s="183"/>
      <c r="T195" s="183"/>
      <c r="U195" s="183"/>
      <c r="V195" s="183"/>
      <c r="W195" s="183"/>
      <c r="X195" s="183"/>
      <c r="Y195" s="183"/>
      <c r="Z195" s="183"/>
      <c r="AA195" s="183"/>
      <c r="AB195" s="184">
        <v>0.79404300000000005</v>
      </c>
      <c r="AC195" s="184">
        <v>0.79404300000000005</v>
      </c>
      <c r="AD195" s="95"/>
      <c r="AE195" s="95"/>
      <c r="AF195" s="95"/>
      <c r="AG195" s="95">
        <f t="shared" si="146"/>
        <v>0</v>
      </c>
      <c r="AH195" s="95">
        <f t="shared" si="147"/>
        <v>0</v>
      </c>
      <c r="AI195" s="95">
        <f t="shared" si="157"/>
        <v>0</v>
      </c>
      <c r="AJ195" s="95">
        <f t="shared" si="158"/>
        <v>0</v>
      </c>
      <c r="AK195" s="95">
        <f t="shared" si="159"/>
        <v>0</v>
      </c>
      <c r="AL195" s="133">
        <f t="shared" si="160"/>
        <v>0</v>
      </c>
      <c r="AM195" s="199">
        <f t="shared" si="161"/>
        <v>0</v>
      </c>
      <c r="AN195" s="106">
        <v>0</v>
      </c>
      <c r="AO195" s="106">
        <v>113.39</v>
      </c>
      <c r="AP195" s="106">
        <v>0</v>
      </c>
      <c r="AQ195" s="106">
        <f t="shared" si="162"/>
        <v>113.39</v>
      </c>
      <c r="AR195" s="193">
        <f t="shared" si="163"/>
        <v>90.03653577</v>
      </c>
      <c r="AS195" s="113"/>
      <c r="AT195" s="113"/>
      <c r="AU195" s="113"/>
      <c r="AV195" s="95">
        <f t="shared" si="153"/>
        <v>0</v>
      </c>
      <c r="AW195" s="113"/>
      <c r="AX195" s="113"/>
      <c r="AY195" s="113"/>
      <c r="AZ195" s="95">
        <f t="shared" si="154"/>
        <v>0</v>
      </c>
      <c r="BA195" s="197">
        <f t="shared" si="155"/>
        <v>0</v>
      </c>
      <c r="BB195" s="94">
        <f t="shared" si="164"/>
        <v>0</v>
      </c>
      <c r="BC195" s="105">
        <f t="shared" si="137"/>
        <v>0</v>
      </c>
      <c r="BD195" s="94">
        <f t="shared" si="165"/>
        <v>113.39</v>
      </c>
      <c r="BE195" s="94">
        <f t="shared" si="138"/>
        <v>90.03653577</v>
      </c>
      <c r="BF195" s="94">
        <f t="shared" si="166"/>
        <v>0</v>
      </c>
      <c r="BG195" s="94">
        <f t="shared" si="139"/>
        <v>0</v>
      </c>
      <c r="BH195" s="94">
        <f t="shared" si="167"/>
        <v>113.39</v>
      </c>
      <c r="BI195" s="94">
        <f t="shared" si="168"/>
        <v>90.03653577</v>
      </c>
      <c r="BJ195" s="186">
        <f t="shared" si="169"/>
        <v>0</v>
      </c>
      <c r="BK195" s="182">
        <f t="shared" si="170"/>
        <v>0</v>
      </c>
      <c r="BL195" s="98">
        <f t="shared" si="171"/>
        <v>0</v>
      </c>
      <c r="BM195" s="99">
        <f t="shared" si="148"/>
        <v>0</v>
      </c>
      <c r="BN195" s="99">
        <f t="shared" si="149"/>
        <v>0</v>
      </c>
      <c r="BO195" s="121"/>
      <c r="BP195" s="121"/>
      <c r="BQ195" s="121"/>
      <c r="BR195" s="121"/>
      <c r="BS195" s="121"/>
      <c r="BT195" s="121"/>
      <c r="BU195" s="182">
        <v>0</v>
      </c>
      <c r="BV195" s="121"/>
      <c r="BW195" s="121"/>
      <c r="BX195" s="121"/>
      <c r="BY195" s="121"/>
      <c r="BZ195" s="121"/>
      <c r="CA195" s="95">
        <f t="shared" si="150"/>
        <v>0</v>
      </c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17"/>
      <c r="CP195" s="121"/>
      <c r="CQ195" s="121"/>
      <c r="CR195" s="117"/>
      <c r="CS195" s="113"/>
      <c r="CT195" s="106">
        <v>0</v>
      </c>
      <c r="CU195" s="187">
        <f t="shared" si="151"/>
        <v>90.03653577</v>
      </c>
      <c r="CV195" s="187">
        <f t="shared" si="152"/>
        <v>90.03653577</v>
      </c>
      <c r="CW195" s="240"/>
    </row>
    <row r="196" spans="1:101" s="51" customFormat="1" ht="19.899999999999999" customHeight="1" x14ac:dyDescent="0.3">
      <c r="A196" s="92" t="s">
        <v>169</v>
      </c>
      <c r="B196" s="49">
        <v>10035411331</v>
      </c>
      <c r="C196" s="92" t="s">
        <v>286</v>
      </c>
      <c r="D196" s="93" t="s">
        <v>255</v>
      </c>
      <c r="E196" s="93"/>
      <c r="F196" s="105"/>
      <c r="G196" s="196"/>
      <c r="H196" s="106">
        <f t="shared" si="156"/>
        <v>0</v>
      </c>
      <c r="I196" s="104"/>
      <c r="J196" s="107"/>
      <c r="K196" s="50"/>
      <c r="L196" s="104"/>
      <c r="M196" s="108" t="s">
        <v>144</v>
      </c>
      <c r="N196" s="108" t="s">
        <v>306</v>
      </c>
      <c r="O196" s="193"/>
      <c r="P196" s="193"/>
      <c r="Q196" s="193"/>
      <c r="R196" s="109"/>
      <c r="S196" s="193"/>
      <c r="T196" s="193"/>
      <c r="U196" s="193"/>
      <c r="V196" s="193"/>
      <c r="W196" s="193"/>
      <c r="X196" s="193"/>
      <c r="Y196" s="193"/>
      <c r="Z196" s="193"/>
      <c r="AA196" s="193"/>
      <c r="AB196" s="194">
        <v>0.77281999999999995</v>
      </c>
      <c r="AC196" s="194">
        <v>0.77281999999999995</v>
      </c>
      <c r="AD196" s="106"/>
      <c r="AE196" s="118"/>
      <c r="AF196" s="106"/>
      <c r="AG196" s="106">
        <f t="shared" si="146"/>
        <v>0</v>
      </c>
      <c r="AH196" s="106">
        <f t="shared" si="147"/>
        <v>0</v>
      </c>
      <c r="AI196" s="106">
        <f t="shared" si="157"/>
        <v>0</v>
      </c>
      <c r="AJ196" s="106">
        <f t="shared" si="158"/>
        <v>0</v>
      </c>
      <c r="AK196" s="106">
        <f t="shared" si="159"/>
        <v>0</v>
      </c>
      <c r="AL196" s="132">
        <f t="shared" si="160"/>
        <v>0</v>
      </c>
      <c r="AM196" s="198">
        <f t="shared" si="161"/>
        <v>0</v>
      </c>
      <c r="AN196" s="106">
        <v>0</v>
      </c>
      <c r="AO196" s="106">
        <v>119.46</v>
      </c>
      <c r="AP196" s="106">
        <v>0</v>
      </c>
      <c r="AQ196" s="95">
        <f t="shared" si="162"/>
        <v>119.46</v>
      </c>
      <c r="AR196" s="183">
        <f t="shared" si="163"/>
        <v>92.321077199999991</v>
      </c>
      <c r="AS196" s="113"/>
      <c r="AT196" s="113"/>
      <c r="AU196" s="113"/>
      <c r="AV196" s="95">
        <f t="shared" si="153"/>
        <v>0</v>
      </c>
      <c r="AW196" s="113"/>
      <c r="AX196" s="113"/>
      <c r="AY196" s="113"/>
      <c r="AZ196" s="95">
        <f t="shared" si="154"/>
        <v>0</v>
      </c>
      <c r="BA196" s="197">
        <f t="shared" si="155"/>
        <v>0</v>
      </c>
      <c r="BB196" s="94">
        <f t="shared" si="164"/>
        <v>0</v>
      </c>
      <c r="BC196" s="105">
        <f t="shared" si="137"/>
        <v>0</v>
      </c>
      <c r="BD196" s="94">
        <f t="shared" si="165"/>
        <v>119.46</v>
      </c>
      <c r="BE196" s="94">
        <f t="shared" si="138"/>
        <v>92.321077199999991</v>
      </c>
      <c r="BF196" s="94">
        <f t="shared" si="166"/>
        <v>0</v>
      </c>
      <c r="BG196" s="94">
        <f t="shared" si="139"/>
        <v>0</v>
      </c>
      <c r="BH196" s="94">
        <f t="shared" si="167"/>
        <v>119.46</v>
      </c>
      <c r="BI196" s="94">
        <f t="shared" si="168"/>
        <v>92.321077199999991</v>
      </c>
      <c r="BJ196" s="186">
        <f t="shared" si="169"/>
        <v>0</v>
      </c>
      <c r="BK196" s="182">
        <f t="shared" si="170"/>
        <v>0</v>
      </c>
      <c r="BL196" s="98">
        <f t="shared" si="171"/>
        <v>0</v>
      </c>
      <c r="BM196" s="99">
        <f t="shared" si="148"/>
        <v>0</v>
      </c>
      <c r="BN196" s="99">
        <f t="shared" si="149"/>
        <v>0</v>
      </c>
      <c r="BO196" s="121"/>
      <c r="BP196" s="121"/>
      <c r="BQ196" s="121"/>
      <c r="BR196" s="121"/>
      <c r="BS196" s="121"/>
      <c r="BT196" s="121"/>
      <c r="BU196" s="182">
        <v>0</v>
      </c>
      <c r="BV196" s="121"/>
      <c r="BW196" s="121"/>
      <c r="BX196" s="121"/>
      <c r="BY196" s="121"/>
      <c r="BZ196" s="121"/>
      <c r="CA196" s="95">
        <f t="shared" si="150"/>
        <v>0</v>
      </c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17"/>
      <c r="CP196" s="121"/>
      <c r="CQ196" s="121"/>
      <c r="CR196" s="117"/>
      <c r="CS196" s="113"/>
      <c r="CT196" s="106">
        <v>0</v>
      </c>
      <c r="CU196" s="187">
        <f t="shared" si="151"/>
        <v>92.321077199999991</v>
      </c>
      <c r="CV196" s="187">
        <f t="shared" si="152"/>
        <v>92.321077199999991</v>
      </c>
      <c r="CW196" s="240"/>
    </row>
    <row r="197" spans="1:101" s="51" customFormat="1" ht="19.899999999999999" customHeight="1" x14ac:dyDescent="0.3">
      <c r="A197" s="148" t="s">
        <v>169</v>
      </c>
      <c r="B197" s="50">
        <v>10035411331</v>
      </c>
      <c r="C197" s="148" t="s">
        <v>286</v>
      </c>
      <c r="D197" s="104" t="s">
        <v>255</v>
      </c>
      <c r="E197" s="104"/>
      <c r="F197" s="94"/>
      <c r="G197" s="182"/>
      <c r="H197" s="95">
        <f t="shared" si="156"/>
        <v>0</v>
      </c>
      <c r="I197" s="93"/>
      <c r="J197" s="96"/>
      <c r="K197" s="49"/>
      <c r="L197" s="93"/>
      <c r="M197" s="97" t="s">
        <v>146</v>
      </c>
      <c r="N197" s="97" t="s">
        <v>307</v>
      </c>
      <c r="O197" s="183"/>
      <c r="P197" s="183"/>
      <c r="Q197" s="183"/>
      <c r="R197" s="131"/>
      <c r="S197" s="183"/>
      <c r="T197" s="183"/>
      <c r="U197" s="183"/>
      <c r="V197" s="183"/>
      <c r="W197" s="183"/>
      <c r="X197" s="183"/>
      <c r="Y197" s="183"/>
      <c r="Z197" s="183"/>
      <c r="AA197" s="183"/>
      <c r="AB197" s="184">
        <v>0.78904799999999997</v>
      </c>
      <c r="AC197" s="184">
        <v>0.78904799999999997</v>
      </c>
      <c r="AD197" s="95"/>
      <c r="AE197" s="95"/>
      <c r="AF197" s="95"/>
      <c r="AG197" s="95">
        <f t="shared" si="146"/>
        <v>0</v>
      </c>
      <c r="AH197" s="95">
        <f t="shared" si="147"/>
        <v>0</v>
      </c>
      <c r="AI197" s="95">
        <f t="shared" si="157"/>
        <v>0</v>
      </c>
      <c r="AJ197" s="95">
        <f t="shared" si="158"/>
        <v>0</v>
      </c>
      <c r="AK197" s="95">
        <f t="shared" si="159"/>
        <v>0</v>
      </c>
      <c r="AL197" s="133">
        <f t="shared" si="160"/>
        <v>0</v>
      </c>
      <c r="AM197" s="199">
        <f t="shared" si="161"/>
        <v>0</v>
      </c>
      <c r="AN197" s="106">
        <v>0</v>
      </c>
      <c r="AO197" s="106">
        <v>126.73</v>
      </c>
      <c r="AP197" s="106">
        <v>0</v>
      </c>
      <c r="AQ197" s="106">
        <f t="shared" si="162"/>
        <v>126.73</v>
      </c>
      <c r="AR197" s="193">
        <f t="shared" si="163"/>
        <v>99.996053039999993</v>
      </c>
      <c r="AS197" s="113"/>
      <c r="AT197" s="113"/>
      <c r="AU197" s="113"/>
      <c r="AV197" s="95">
        <f t="shared" si="153"/>
        <v>0</v>
      </c>
      <c r="AW197" s="113"/>
      <c r="AX197" s="113"/>
      <c r="AY197" s="113"/>
      <c r="AZ197" s="95">
        <f t="shared" si="154"/>
        <v>0</v>
      </c>
      <c r="BA197" s="197">
        <f t="shared" si="155"/>
        <v>0</v>
      </c>
      <c r="BB197" s="94">
        <f t="shared" si="164"/>
        <v>0</v>
      </c>
      <c r="BC197" s="105">
        <f t="shared" si="137"/>
        <v>0</v>
      </c>
      <c r="BD197" s="94">
        <f t="shared" si="165"/>
        <v>126.73</v>
      </c>
      <c r="BE197" s="94">
        <f t="shared" si="138"/>
        <v>99.996053039999993</v>
      </c>
      <c r="BF197" s="94">
        <f t="shared" si="166"/>
        <v>0</v>
      </c>
      <c r="BG197" s="94">
        <f t="shared" si="139"/>
        <v>0</v>
      </c>
      <c r="BH197" s="94">
        <f t="shared" si="167"/>
        <v>126.73</v>
      </c>
      <c r="BI197" s="94">
        <f t="shared" si="168"/>
        <v>99.996053039999993</v>
      </c>
      <c r="BJ197" s="186">
        <f t="shared" si="169"/>
        <v>0</v>
      </c>
      <c r="BK197" s="182">
        <f t="shared" si="170"/>
        <v>0</v>
      </c>
      <c r="BL197" s="98">
        <f t="shared" si="171"/>
        <v>0</v>
      </c>
      <c r="BM197" s="99">
        <f t="shared" si="148"/>
        <v>0</v>
      </c>
      <c r="BN197" s="99">
        <f t="shared" si="149"/>
        <v>0</v>
      </c>
      <c r="BO197" s="121"/>
      <c r="BP197" s="121"/>
      <c r="BQ197" s="121"/>
      <c r="BR197" s="121"/>
      <c r="BS197" s="121"/>
      <c r="BT197" s="121"/>
      <c r="BU197" s="182">
        <v>0</v>
      </c>
      <c r="BV197" s="121"/>
      <c r="BW197" s="121"/>
      <c r="BX197" s="121"/>
      <c r="BY197" s="121"/>
      <c r="BZ197" s="121"/>
      <c r="CA197" s="95">
        <f t="shared" si="150"/>
        <v>0</v>
      </c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17"/>
      <c r="CP197" s="121"/>
      <c r="CQ197" s="121"/>
      <c r="CR197" s="117"/>
      <c r="CS197" s="113"/>
      <c r="CT197" s="106">
        <v>0</v>
      </c>
      <c r="CU197" s="187">
        <f t="shared" si="151"/>
        <v>99.996053039999993</v>
      </c>
      <c r="CV197" s="187">
        <f t="shared" si="152"/>
        <v>99.996053039999993</v>
      </c>
      <c r="CW197" s="240"/>
    </row>
    <row r="198" spans="1:101" s="51" customFormat="1" ht="19.899999999999999" customHeight="1" x14ac:dyDescent="0.3">
      <c r="A198" s="92" t="s">
        <v>169</v>
      </c>
      <c r="B198" s="49">
        <v>10035411331</v>
      </c>
      <c r="C198" s="92" t="s">
        <v>286</v>
      </c>
      <c r="D198" s="93" t="s">
        <v>255</v>
      </c>
      <c r="E198" s="93"/>
      <c r="F198" s="105"/>
      <c r="G198" s="196"/>
      <c r="H198" s="106">
        <f t="shared" si="156"/>
        <v>0</v>
      </c>
      <c r="I198" s="104"/>
      <c r="J198" s="107"/>
      <c r="K198" s="50"/>
      <c r="L198" s="104"/>
      <c r="M198" s="108" t="s">
        <v>148</v>
      </c>
      <c r="N198" s="108" t="s">
        <v>308</v>
      </c>
      <c r="O198" s="193"/>
      <c r="P198" s="193"/>
      <c r="Q198" s="193"/>
      <c r="R198" s="109"/>
      <c r="S198" s="193"/>
      <c r="T198" s="193"/>
      <c r="U198" s="193"/>
      <c r="V198" s="193"/>
      <c r="W198" s="193"/>
      <c r="X198" s="193"/>
      <c r="Y198" s="193"/>
      <c r="Z198" s="193"/>
      <c r="AA198" s="193"/>
      <c r="AB198" s="194">
        <v>0.86588399999999999</v>
      </c>
      <c r="AC198" s="194">
        <v>0.86588399999999999</v>
      </c>
      <c r="AD198" s="106"/>
      <c r="AE198" s="118"/>
      <c r="AF198" s="106"/>
      <c r="AG198" s="106">
        <f t="shared" si="146"/>
        <v>0</v>
      </c>
      <c r="AH198" s="106">
        <f t="shared" si="147"/>
        <v>0</v>
      </c>
      <c r="AI198" s="106">
        <f t="shared" si="157"/>
        <v>0</v>
      </c>
      <c r="AJ198" s="106">
        <f t="shared" si="158"/>
        <v>0</v>
      </c>
      <c r="AK198" s="106">
        <f t="shared" si="159"/>
        <v>0</v>
      </c>
      <c r="AL198" s="132">
        <f t="shared" si="160"/>
        <v>0</v>
      </c>
      <c r="AM198" s="198">
        <f t="shared" si="161"/>
        <v>0</v>
      </c>
      <c r="AN198" s="106">
        <v>0</v>
      </c>
      <c r="AO198" s="106">
        <v>1314.34</v>
      </c>
      <c r="AP198" s="106">
        <v>0</v>
      </c>
      <c r="AQ198" s="95">
        <f t="shared" si="162"/>
        <v>1314.34</v>
      </c>
      <c r="AR198" s="183">
        <f t="shared" si="163"/>
        <v>1138.0659765599999</v>
      </c>
      <c r="AS198" s="113"/>
      <c r="AT198" s="113"/>
      <c r="AU198" s="113"/>
      <c r="AV198" s="95">
        <f t="shared" si="153"/>
        <v>0</v>
      </c>
      <c r="AW198" s="113"/>
      <c r="AX198" s="113"/>
      <c r="AY198" s="113"/>
      <c r="AZ198" s="95">
        <f t="shared" si="154"/>
        <v>0</v>
      </c>
      <c r="BA198" s="197">
        <f t="shared" si="155"/>
        <v>0</v>
      </c>
      <c r="BB198" s="94">
        <f t="shared" si="164"/>
        <v>0</v>
      </c>
      <c r="BC198" s="105">
        <f t="shared" si="137"/>
        <v>0</v>
      </c>
      <c r="BD198" s="94">
        <f t="shared" si="165"/>
        <v>1314.34</v>
      </c>
      <c r="BE198" s="94">
        <f t="shared" si="138"/>
        <v>1138.0659765599999</v>
      </c>
      <c r="BF198" s="94">
        <f t="shared" si="166"/>
        <v>0</v>
      </c>
      <c r="BG198" s="94">
        <f t="shared" si="139"/>
        <v>0</v>
      </c>
      <c r="BH198" s="94">
        <f t="shared" si="167"/>
        <v>1314.34</v>
      </c>
      <c r="BI198" s="94">
        <f t="shared" si="168"/>
        <v>1138.0659765599999</v>
      </c>
      <c r="BJ198" s="186">
        <f t="shared" si="169"/>
        <v>0</v>
      </c>
      <c r="BK198" s="182">
        <f t="shared" si="170"/>
        <v>0</v>
      </c>
      <c r="BL198" s="98">
        <f t="shared" si="171"/>
        <v>0</v>
      </c>
      <c r="BM198" s="99">
        <f t="shared" si="148"/>
        <v>0</v>
      </c>
      <c r="BN198" s="99">
        <f t="shared" si="149"/>
        <v>0</v>
      </c>
      <c r="BO198" s="121"/>
      <c r="BP198" s="121"/>
      <c r="BQ198" s="121"/>
      <c r="BR198" s="121"/>
      <c r="BS198" s="121"/>
      <c r="BT198" s="121"/>
      <c r="BU198" s="182">
        <v>0</v>
      </c>
      <c r="BV198" s="121"/>
      <c r="BW198" s="121"/>
      <c r="BX198" s="121"/>
      <c r="BY198" s="121"/>
      <c r="BZ198" s="121"/>
      <c r="CA198" s="95">
        <f t="shared" si="150"/>
        <v>0</v>
      </c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17"/>
      <c r="CP198" s="121"/>
      <c r="CQ198" s="121"/>
      <c r="CR198" s="117"/>
      <c r="CS198" s="113"/>
      <c r="CT198" s="106">
        <v>0</v>
      </c>
      <c r="CU198" s="187">
        <f t="shared" si="151"/>
        <v>1138.0659765599999</v>
      </c>
      <c r="CV198" s="187">
        <f t="shared" si="152"/>
        <v>1138.0659765599999</v>
      </c>
      <c r="CW198" s="240"/>
    </row>
    <row r="199" spans="1:101" s="51" customFormat="1" ht="19.899999999999999" customHeight="1" x14ac:dyDescent="0.3">
      <c r="A199" s="103" t="s">
        <v>169</v>
      </c>
      <c r="B199" s="50">
        <v>10035411331</v>
      </c>
      <c r="C199" s="103" t="s">
        <v>286</v>
      </c>
      <c r="D199" s="104" t="s">
        <v>255</v>
      </c>
      <c r="E199" s="104"/>
      <c r="F199" s="94"/>
      <c r="G199" s="182"/>
      <c r="H199" s="95">
        <f t="shared" si="156"/>
        <v>0</v>
      </c>
      <c r="I199" s="93"/>
      <c r="J199" s="96"/>
      <c r="K199" s="49"/>
      <c r="L199" s="93"/>
      <c r="M199" s="97" t="s">
        <v>150</v>
      </c>
      <c r="N199" s="97" t="s">
        <v>309</v>
      </c>
      <c r="O199" s="183"/>
      <c r="P199" s="183"/>
      <c r="Q199" s="183"/>
      <c r="R199" s="131"/>
      <c r="S199" s="183"/>
      <c r="T199" s="183"/>
      <c r="U199" s="183"/>
      <c r="V199" s="183"/>
      <c r="W199" s="183"/>
      <c r="X199" s="183"/>
      <c r="Y199" s="183"/>
      <c r="Z199" s="183"/>
      <c r="AA199" s="183"/>
      <c r="AB199" s="184">
        <v>0.90526499999999999</v>
      </c>
      <c r="AC199" s="184">
        <v>0.90526499999999999</v>
      </c>
      <c r="AD199" s="95"/>
      <c r="AE199" s="95"/>
      <c r="AF199" s="95"/>
      <c r="AG199" s="95">
        <f t="shared" si="146"/>
        <v>0</v>
      </c>
      <c r="AH199" s="95">
        <f t="shared" si="147"/>
        <v>0</v>
      </c>
      <c r="AI199" s="95">
        <f t="shared" si="157"/>
        <v>0</v>
      </c>
      <c r="AJ199" s="95">
        <f t="shared" si="158"/>
        <v>0</v>
      </c>
      <c r="AK199" s="95">
        <f t="shared" si="159"/>
        <v>0</v>
      </c>
      <c r="AL199" s="133">
        <f t="shared" si="160"/>
        <v>0</v>
      </c>
      <c r="AM199" s="199">
        <f t="shared" si="161"/>
        <v>0</v>
      </c>
      <c r="AN199" s="106">
        <v>0</v>
      </c>
      <c r="AO199" s="106">
        <v>125.62</v>
      </c>
      <c r="AP199" s="106">
        <v>0</v>
      </c>
      <c r="AQ199" s="106">
        <f t="shared" si="162"/>
        <v>125.62</v>
      </c>
      <c r="AR199" s="193">
        <f t="shared" si="163"/>
        <v>113.7193893</v>
      </c>
      <c r="AS199" s="113"/>
      <c r="AT199" s="113"/>
      <c r="AU199" s="113"/>
      <c r="AV199" s="95">
        <f t="shared" si="153"/>
        <v>0</v>
      </c>
      <c r="AW199" s="113"/>
      <c r="AX199" s="113"/>
      <c r="AY199" s="113"/>
      <c r="AZ199" s="95">
        <f t="shared" si="154"/>
        <v>0</v>
      </c>
      <c r="BA199" s="197">
        <f t="shared" si="155"/>
        <v>0</v>
      </c>
      <c r="BB199" s="94">
        <f t="shared" si="164"/>
        <v>0</v>
      </c>
      <c r="BC199" s="105">
        <f t="shared" si="137"/>
        <v>0</v>
      </c>
      <c r="BD199" s="94">
        <f t="shared" si="165"/>
        <v>125.62</v>
      </c>
      <c r="BE199" s="94">
        <f t="shared" si="138"/>
        <v>113.7193893</v>
      </c>
      <c r="BF199" s="94">
        <f t="shared" si="166"/>
        <v>0</v>
      </c>
      <c r="BG199" s="94">
        <f t="shared" si="139"/>
        <v>0</v>
      </c>
      <c r="BH199" s="94">
        <f t="shared" si="167"/>
        <v>125.62</v>
      </c>
      <c r="BI199" s="94">
        <f t="shared" si="168"/>
        <v>113.7193893</v>
      </c>
      <c r="BJ199" s="186">
        <f t="shared" si="169"/>
        <v>0</v>
      </c>
      <c r="BK199" s="182">
        <f t="shared" si="170"/>
        <v>0</v>
      </c>
      <c r="BL199" s="98">
        <f t="shared" si="171"/>
        <v>0</v>
      </c>
      <c r="BM199" s="99">
        <f t="shared" si="148"/>
        <v>0</v>
      </c>
      <c r="BN199" s="99">
        <f t="shared" si="149"/>
        <v>0</v>
      </c>
      <c r="BO199" s="121"/>
      <c r="BP199" s="121"/>
      <c r="BQ199" s="121"/>
      <c r="BR199" s="121"/>
      <c r="BS199" s="121"/>
      <c r="BT199" s="121"/>
      <c r="BU199" s="182">
        <v>0</v>
      </c>
      <c r="BV199" s="121"/>
      <c r="BW199" s="121"/>
      <c r="BX199" s="121"/>
      <c r="BY199" s="121"/>
      <c r="BZ199" s="121"/>
      <c r="CA199" s="95">
        <f t="shared" si="150"/>
        <v>0</v>
      </c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17"/>
      <c r="CP199" s="121"/>
      <c r="CQ199" s="121"/>
      <c r="CR199" s="117"/>
      <c r="CS199" s="113"/>
      <c r="CT199" s="106">
        <v>0</v>
      </c>
      <c r="CU199" s="187">
        <f t="shared" si="151"/>
        <v>113.7193893</v>
      </c>
      <c r="CV199" s="187">
        <f t="shared" si="152"/>
        <v>113.7193893</v>
      </c>
      <c r="CW199" s="240"/>
    </row>
    <row r="200" spans="1:101" s="51" customFormat="1" ht="19.899999999999999" customHeight="1" x14ac:dyDescent="0.3">
      <c r="A200" s="92" t="s">
        <v>169</v>
      </c>
      <c r="B200" s="49">
        <v>10035411331</v>
      </c>
      <c r="C200" s="92" t="s">
        <v>286</v>
      </c>
      <c r="D200" s="93" t="s">
        <v>255</v>
      </c>
      <c r="E200" s="93"/>
      <c r="F200" s="105"/>
      <c r="G200" s="196"/>
      <c r="H200" s="106">
        <f t="shared" si="156"/>
        <v>0</v>
      </c>
      <c r="I200" s="104"/>
      <c r="J200" s="107"/>
      <c r="K200" s="50"/>
      <c r="L200" s="104"/>
      <c r="M200" s="108" t="s">
        <v>152</v>
      </c>
      <c r="N200" s="108" t="s">
        <v>310</v>
      </c>
      <c r="O200" s="193"/>
      <c r="P200" s="193"/>
      <c r="Q200" s="193"/>
      <c r="R200" s="109"/>
      <c r="S200" s="193"/>
      <c r="T200" s="193"/>
      <c r="U200" s="193"/>
      <c r="V200" s="193"/>
      <c r="W200" s="193"/>
      <c r="X200" s="193"/>
      <c r="Y200" s="193"/>
      <c r="Z200" s="193"/>
      <c r="AA200" s="193"/>
      <c r="AB200" s="194">
        <v>0.89259999999999995</v>
      </c>
      <c r="AC200" s="194">
        <v>0.89259999999999995</v>
      </c>
      <c r="AD200" s="106"/>
      <c r="AE200" s="118"/>
      <c r="AF200" s="106"/>
      <c r="AG200" s="106">
        <f t="shared" si="146"/>
        <v>0</v>
      </c>
      <c r="AH200" s="106">
        <f t="shared" si="147"/>
        <v>0</v>
      </c>
      <c r="AI200" s="106">
        <f t="shared" si="157"/>
        <v>0</v>
      </c>
      <c r="AJ200" s="106">
        <f t="shared" si="158"/>
        <v>0</v>
      </c>
      <c r="AK200" s="106">
        <f t="shared" si="159"/>
        <v>0</v>
      </c>
      <c r="AL200" s="132">
        <f t="shared" si="160"/>
        <v>0</v>
      </c>
      <c r="AM200" s="198">
        <f t="shared" si="161"/>
        <v>0</v>
      </c>
      <c r="AN200" s="106">
        <v>0</v>
      </c>
      <c r="AO200" s="106">
        <v>12483</v>
      </c>
      <c r="AP200" s="106">
        <v>0</v>
      </c>
      <c r="AQ200" s="95">
        <f t="shared" si="162"/>
        <v>12483</v>
      </c>
      <c r="AR200" s="183">
        <f t="shared" si="163"/>
        <v>11142.325799999999</v>
      </c>
      <c r="AS200" s="113"/>
      <c r="AT200" s="113"/>
      <c r="AU200" s="113"/>
      <c r="AV200" s="95">
        <f t="shared" si="153"/>
        <v>0</v>
      </c>
      <c r="AW200" s="113"/>
      <c r="AX200" s="113"/>
      <c r="AY200" s="113"/>
      <c r="AZ200" s="95">
        <f t="shared" si="154"/>
        <v>0</v>
      </c>
      <c r="BA200" s="197">
        <f t="shared" si="155"/>
        <v>0</v>
      </c>
      <c r="BB200" s="94">
        <f t="shared" si="164"/>
        <v>0</v>
      </c>
      <c r="BC200" s="105">
        <f t="shared" si="137"/>
        <v>0</v>
      </c>
      <c r="BD200" s="94">
        <f t="shared" si="165"/>
        <v>12483</v>
      </c>
      <c r="BE200" s="94">
        <f t="shared" si="138"/>
        <v>11142.325799999999</v>
      </c>
      <c r="BF200" s="94">
        <f t="shared" si="166"/>
        <v>0</v>
      </c>
      <c r="BG200" s="94">
        <f t="shared" si="139"/>
        <v>0</v>
      </c>
      <c r="BH200" s="94">
        <f t="shared" si="167"/>
        <v>12483</v>
      </c>
      <c r="BI200" s="94">
        <f t="shared" si="168"/>
        <v>11142.325799999999</v>
      </c>
      <c r="BJ200" s="186">
        <f t="shared" si="169"/>
        <v>0</v>
      </c>
      <c r="BK200" s="182">
        <f t="shared" si="170"/>
        <v>0</v>
      </c>
      <c r="BL200" s="98">
        <f t="shared" si="171"/>
        <v>0</v>
      </c>
      <c r="BM200" s="99">
        <f t="shared" si="148"/>
        <v>0</v>
      </c>
      <c r="BN200" s="99">
        <f t="shared" si="149"/>
        <v>0</v>
      </c>
      <c r="BO200" s="121"/>
      <c r="BP200" s="121"/>
      <c r="BQ200" s="121"/>
      <c r="BR200" s="121"/>
      <c r="BS200" s="121"/>
      <c r="BT200" s="121"/>
      <c r="BU200" s="182">
        <v>0</v>
      </c>
      <c r="BV200" s="121"/>
      <c r="BW200" s="121"/>
      <c r="BX200" s="121"/>
      <c r="BY200" s="121"/>
      <c r="BZ200" s="121"/>
      <c r="CA200" s="95">
        <f t="shared" si="150"/>
        <v>0</v>
      </c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17"/>
      <c r="CP200" s="121"/>
      <c r="CQ200" s="121"/>
      <c r="CR200" s="117"/>
      <c r="CS200" s="113"/>
      <c r="CT200" s="106">
        <v>0</v>
      </c>
      <c r="CU200" s="187">
        <f t="shared" si="151"/>
        <v>11142.325799999999</v>
      </c>
      <c r="CV200" s="187">
        <f t="shared" si="152"/>
        <v>11142.325799999999</v>
      </c>
      <c r="CW200" s="240"/>
    </row>
    <row r="201" spans="1:101" s="51" customFormat="1" ht="19.899999999999999" customHeight="1" x14ac:dyDescent="0.3">
      <c r="A201" s="148"/>
      <c r="B201" s="50">
        <v>10037019056</v>
      </c>
      <c r="C201" s="148" t="s">
        <v>311</v>
      </c>
      <c r="D201" s="104" t="s">
        <v>312</v>
      </c>
      <c r="E201" s="104"/>
      <c r="F201" s="94"/>
      <c r="G201" s="182"/>
      <c r="H201" s="95">
        <f t="shared" si="156"/>
        <v>0</v>
      </c>
      <c r="I201" s="93"/>
      <c r="J201" s="96"/>
      <c r="K201" s="49"/>
      <c r="L201" s="93"/>
      <c r="M201" s="97" t="s">
        <v>163</v>
      </c>
      <c r="N201" s="97" t="s">
        <v>313</v>
      </c>
      <c r="O201" s="183"/>
      <c r="P201" s="183"/>
      <c r="Q201" s="183"/>
      <c r="R201" s="131"/>
      <c r="S201" s="183"/>
      <c r="T201" s="183"/>
      <c r="U201" s="183"/>
      <c r="V201" s="183"/>
      <c r="W201" s="183"/>
      <c r="X201" s="183"/>
      <c r="Y201" s="183"/>
      <c r="Z201" s="183"/>
      <c r="AA201" s="183"/>
      <c r="AB201" s="184"/>
      <c r="AC201" s="184"/>
      <c r="AD201" s="95"/>
      <c r="AE201" s="95"/>
      <c r="AF201" s="95"/>
      <c r="AG201" s="95">
        <f t="shared" si="146"/>
        <v>0</v>
      </c>
      <c r="AH201" s="95">
        <f t="shared" si="147"/>
        <v>0</v>
      </c>
      <c r="AI201" s="95">
        <f t="shared" si="157"/>
        <v>0</v>
      </c>
      <c r="AJ201" s="95">
        <f t="shared" si="158"/>
        <v>0</v>
      </c>
      <c r="AK201" s="95">
        <f t="shared" si="159"/>
        <v>0</v>
      </c>
      <c r="AL201" s="133">
        <f t="shared" si="160"/>
        <v>0</v>
      </c>
      <c r="AM201" s="199">
        <f t="shared" si="161"/>
        <v>0</v>
      </c>
      <c r="AN201" s="113"/>
      <c r="AO201" s="113">
        <v>100</v>
      </c>
      <c r="AP201" s="113"/>
      <c r="AQ201" s="106">
        <f t="shared" si="162"/>
        <v>100</v>
      </c>
      <c r="AR201" s="193">
        <f t="shared" si="163"/>
        <v>0</v>
      </c>
      <c r="AS201" s="113"/>
      <c r="AT201" s="113"/>
      <c r="AU201" s="113"/>
      <c r="AV201" s="95">
        <f t="shared" si="153"/>
        <v>0</v>
      </c>
      <c r="AW201" s="113"/>
      <c r="AX201" s="113"/>
      <c r="AY201" s="113"/>
      <c r="AZ201" s="95">
        <f t="shared" si="154"/>
        <v>0</v>
      </c>
      <c r="BA201" s="197">
        <f t="shared" si="155"/>
        <v>0</v>
      </c>
      <c r="BB201" s="94">
        <f t="shared" si="164"/>
        <v>0</v>
      </c>
      <c r="BC201" s="105">
        <f t="shared" si="137"/>
        <v>0</v>
      </c>
      <c r="BD201" s="94">
        <f t="shared" si="165"/>
        <v>100</v>
      </c>
      <c r="BE201" s="94">
        <f t="shared" si="138"/>
        <v>0</v>
      </c>
      <c r="BF201" s="94">
        <f t="shared" si="166"/>
        <v>0</v>
      </c>
      <c r="BG201" s="94">
        <f t="shared" si="139"/>
        <v>0</v>
      </c>
      <c r="BH201" s="94">
        <f t="shared" si="167"/>
        <v>100</v>
      </c>
      <c r="BI201" s="94">
        <f t="shared" si="168"/>
        <v>0</v>
      </c>
      <c r="BJ201" s="186">
        <f t="shared" si="169"/>
        <v>0</v>
      </c>
      <c r="BK201" s="182">
        <f t="shared" si="170"/>
        <v>0</v>
      </c>
      <c r="BL201" s="98">
        <f t="shared" si="171"/>
        <v>0</v>
      </c>
      <c r="BM201" s="99">
        <f t="shared" si="148"/>
        <v>0</v>
      </c>
      <c r="BN201" s="99">
        <f t="shared" si="149"/>
        <v>0</v>
      </c>
      <c r="BO201" s="121"/>
      <c r="BP201" s="121"/>
      <c r="BQ201" s="121"/>
      <c r="BR201" s="121"/>
      <c r="BS201" s="121"/>
      <c r="BT201" s="121"/>
      <c r="BU201" s="182">
        <v>0</v>
      </c>
      <c r="BV201" s="121"/>
      <c r="BW201" s="121"/>
      <c r="BX201" s="121"/>
      <c r="BY201" s="121"/>
      <c r="BZ201" s="121"/>
      <c r="CA201" s="95">
        <f t="shared" si="150"/>
        <v>0</v>
      </c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17"/>
      <c r="CP201" s="121"/>
      <c r="CQ201" s="121"/>
      <c r="CR201" s="117"/>
      <c r="CS201" s="113"/>
      <c r="CT201" s="113"/>
      <c r="CU201" s="187"/>
      <c r="CV201" s="187"/>
      <c r="CW201" s="240"/>
    </row>
    <row r="202" spans="1:101" s="51" customFormat="1" ht="19.899999999999999" customHeight="1" x14ac:dyDescent="0.3">
      <c r="A202" s="92"/>
      <c r="B202" s="49">
        <v>10037019056</v>
      </c>
      <c r="C202" s="92" t="s">
        <v>311</v>
      </c>
      <c r="D202" s="93" t="s">
        <v>312</v>
      </c>
      <c r="E202" s="93"/>
      <c r="F202" s="105"/>
      <c r="G202" s="196"/>
      <c r="H202" s="106">
        <f t="shared" si="156"/>
        <v>0</v>
      </c>
      <c r="I202" s="104"/>
      <c r="J202" s="107"/>
      <c r="K202" s="50"/>
      <c r="L202" s="104"/>
      <c r="M202" s="108" t="s">
        <v>165</v>
      </c>
      <c r="N202" s="108" t="s">
        <v>164</v>
      </c>
      <c r="O202" s="193"/>
      <c r="P202" s="193"/>
      <c r="Q202" s="193"/>
      <c r="R202" s="109"/>
      <c r="S202" s="193"/>
      <c r="T202" s="193"/>
      <c r="U202" s="193"/>
      <c r="V202" s="193"/>
      <c r="W202" s="193"/>
      <c r="X202" s="193"/>
      <c r="Y202" s="193"/>
      <c r="Z202" s="193"/>
      <c r="AA202" s="193"/>
      <c r="AB202" s="194"/>
      <c r="AC202" s="194"/>
      <c r="AD202" s="106"/>
      <c r="AE202" s="118"/>
      <c r="AF202" s="106"/>
      <c r="AG202" s="106">
        <f t="shared" si="146"/>
        <v>0</v>
      </c>
      <c r="AH202" s="106">
        <f t="shared" si="147"/>
        <v>0</v>
      </c>
      <c r="AI202" s="106">
        <f t="shared" si="157"/>
        <v>0</v>
      </c>
      <c r="AJ202" s="106">
        <f t="shared" si="158"/>
        <v>0</v>
      </c>
      <c r="AK202" s="106">
        <f t="shared" si="159"/>
        <v>0</v>
      </c>
      <c r="AL202" s="132">
        <f t="shared" si="160"/>
        <v>0</v>
      </c>
      <c r="AM202" s="198">
        <f t="shared" si="161"/>
        <v>0</v>
      </c>
      <c r="AN202" s="113"/>
      <c r="AO202" s="113">
        <v>100</v>
      </c>
      <c r="AP202" s="113"/>
      <c r="AQ202" s="95">
        <f t="shared" si="162"/>
        <v>100</v>
      </c>
      <c r="AR202" s="183">
        <f t="shared" si="163"/>
        <v>0</v>
      </c>
      <c r="AS202" s="113"/>
      <c r="AT202" s="113"/>
      <c r="AU202" s="113"/>
      <c r="AV202" s="95">
        <f t="shared" si="153"/>
        <v>0</v>
      </c>
      <c r="AW202" s="113"/>
      <c r="AX202" s="113"/>
      <c r="AY202" s="113"/>
      <c r="AZ202" s="95">
        <f t="shared" si="154"/>
        <v>0</v>
      </c>
      <c r="BA202" s="197">
        <f t="shared" si="155"/>
        <v>0</v>
      </c>
      <c r="BB202" s="94">
        <f t="shared" si="164"/>
        <v>0</v>
      </c>
      <c r="BC202" s="105">
        <f t="shared" si="137"/>
        <v>0</v>
      </c>
      <c r="BD202" s="94">
        <f t="shared" si="165"/>
        <v>100</v>
      </c>
      <c r="BE202" s="94">
        <f t="shared" si="138"/>
        <v>0</v>
      </c>
      <c r="BF202" s="94">
        <f t="shared" si="166"/>
        <v>0</v>
      </c>
      <c r="BG202" s="94">
        <f t="shared" si="139"/>
        <v>0</v>
      </c>
      <c r="BH202" s="94">
        <f t="shared" si="167"/>
        <v>100</v>
      </c>
      <c r="BI202" s="94">
        <f t="shared" si="168"/>
        <v>0</v>
      </c>
      <c r="BJ202" s="186">
        <f t="shared" si="169"/>
        <v>0</v>
      </c>
      <c r="BK202" s="182">
        <f t="shared" si="170"/>
        <v>0</v>
      </c>
      <c r="BL202" s="98">
        <f t="shared" si="171"/>
        <v>0</v>
      </c>
      <c r="BM202" s="99">
        <f t="shared" si="148"/>
        <v>0</v>
      </c>
      <c r="BN202" s="99">
        <f t="shared" si="149"/>
        <v>0</v>
      </c>
      <c r="BO202" s="121"/>
      <c r="BP202" s="121"/>
      <c r="BQ202" s="121"/>
      <c r="BR202" s="121"/>
      <c r="BS202" s="121"/>
      <c r="BT202" s="121"/>
      <c r="BU202" s="182">
        <v>0</v>
      </c>
      <c r="BV202" s="121"/>
      <c r="BW202" s="121"/>
      <c r="BX202" s="121"/>
      <c r="BY202" s="121"/>
      <c r="BZ202" s="121"/>
      <c r="CA202" s="95">
        <f t="shared" si="150"/>
        <v>0</v>
      </c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17"/>
      <c r="CP202" s="121"/>
      <c r="CQ202" s="121"/>
      <c r="CR202" s="117"/>
      <c r="CS202" s="113"/>
      <c r="CT202" s="113"/>
      <c r="CU202" s="187"/>
      <c r="CV202" s="187"/>
      <c r="CW202" s="240"/>
    </row>
    <row r="203" spans="1:101" s="51" customFormat="1" ht="19.899999999999999" customHeight="1" x14ac:dyDescent="0.3">
      <c r="A203" s="103"/>
      <c r="B203" s="50">
        <v>10037019056</v>
      </c>
      <c r="C203" s="103" t="s">
        <v>311</v>
      </c>
      <c r="D203" s="104" t="s">
        <v>312</v>
      </c>
      <c r="E203" s="104"/>
      <c r="F203" s="94"/>
      <c r="G203" s="182"/>
      <c r="H203" s="95">
        <f t="shared" si="156"/>
        <v>0</v>
      </c>
      <c r="I203" s="93"/>
      <c r="J203" s="96"/>
      <c r="K203" s="49"/>
      <c r="L203" s="93"/>
      <c r="M203" s="97" t="s">
        <v>133</v>
      </c>
      <c r="N203" s="97" t="s">
        <v>166</v>
      </c>
      <c r="O203" s="183"/>
      <c r="P203" s="183"/>
      <c r="Q203" s="183"/>
      <c r="R203" s="131"/>
      <c r="S203" s="183"/>
      <c r="T203" s="183"/>
      <c r="U203" s="183"/>
      <c r="V203" s="183"/>
      <c r="W203" s="183"/>
      <c r="X203" s="183"/>
      <c r="Y203" s="183"/>
      <c r="Z203" s="183"/>
      <c r="AA203" s="183"/>
      <c r="AB203" s="184"/>
      <c r="AC203" s="184"/>
      <c r="AD203" s="95"/>
      <c r="AE203" s="95"/>
      <c r="AF203" s="95"/>
      <c r="AG203" s="95">
        <f t="shared" si="146"/>
        <v>0</v>
      </c>
      <c r="AH203" s="95">
        <f t="shared" si="147"/>
        <v>0</v>
      </c>
      <c r="AI203" s="95">
        <f t="shared" si="157"/>
        <v>0</v>
      </c>
      <c r="AJ203" s="95">
        <f t="shared" si="158"/>
        <v>0</v>
      </c>
      <c r="AK203" s="95">
        <f t="shared" si="159"/>
        <v>0</v>
      </c>
      <c r="AL203" s="133">
        <f t="shared" si="160"/>
        <v>0</v>
      </c>
      <c r="AM203" s="199">
        <f t="shared" si="161"/>
        <v>0</v>
      </c>
      <c r="AN203" s="113"/>
      <c r="AO203" s="113">
        <v>100</v>
      </c>
      <c r="AP203" s="113"/>
      <c r="AQ203" s="106">
        <f t="shared" si="162"/>
        <v>100</v>
      </c>
      <c r="AR203" s="193">
        <f t="shared" si="163"/>
        <v>0</v>
      </c>
      <c r="AS203" s="113"/>
      <c r="AT203" s="113"/>
      <c r="AU203" s="113"/>
      <c r="AV203" s="95">
        <f t="shared" si="153"/>
        <v>0</v>
      </c>
      <c r="AW203" s="113"/>
      <c r="AX203" s="113"/>
      <c r="AY203" s="113"/>
      <c r="AZ203" s="95">
        <f t="shared" si="154"/>
        <v>0</v>
      </c>
      <c r="BA203" s="197">
        <f t="shared" si="155"/>
        <v>0</v>
      </c>
      <c r="BB203" s="94">
        <f t="shared" si="164"/>
        <v>0</v>
      </c>
      <c r="BC203" s="105">
        <f t="shared" si="137"/>
        <v>0</v>
      </c>
      <c r="BD203" s="94">
        <f t="shared" si="165"/>
        <v>100</v>
      </c>
      <c r="BE203" s="94">
        <f t="shared" si="138"/>
        <v>0</v>
      </c>
      <c r="BF203" s="94">
        <f t="shared" si="166"/>
        <v>0</v>
      </c>
      <c r="BG203" s="94">
        <f t="shared" si="139"/>
        <v>0</v>
      </c>
      <c r="BH203" s="94">
        <f t="shared" si="167"/>
        <v>100</v>
      </c>
      <c r="BI203" s="94">
        <f t="shared" si="168"/>
        <v>0</v>
      </c>
      <c r="BJ203" s="186">
        <f t="shared" si="169"/>
        <v>0</v>
      </c>
      <c r="BK203" s="182">
        <f t="shared" si="170"/>
        <v>0</v>
      </c>
      <c r="BL203" s="98">
        <f t="shared" si="171"/>
        <v>0</v>
      </c>
      <c r="BM203" s="99">
        <f t="shared" si="148"/>
        <v>0</v>
      </c>
      <c r="BN203" s="99">
        <f t="shared" si="149"/>
        <v>0</v>
      </c>
      <c r="BO203" s="121"/>
      <c r="BP203" s="121"/>
      <c r="BQ203" s="121"/>
      <c r="BR203" s="121"/>
      <c r="BS203" s="121"/>
      <c r="BT203" s="121"/>
      <c r="BU203" s="182">
        <v>0</v>
      </c>
      <c r="BV203" s="121"/>
      <c r="BW203" s="121"/>
      <c r="BX203" s="121"/>
      <c r="BY203" s="121"/>
      <c r="BZ203" s="121"/>
      <c r="CA203" s="95">
        <f t="shared" si="150"/>
        <v>0</v>
      </c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17"/>
      <c r="CP203" s="121"/>
      <c r="CQ203" s="121"/>
      <c r="CR203" s="117"/>
      <c r="CS203" s="113"/>
      <c r="CT203" s="113"/>
      <c r="CU203" s="187"/>
      <c r="CV203" s="187"/>
      <c r="CW203" s="240"/>
    </row>
    <row r="204" spans="1:101" s="51" customFormat="1" ht="19.899999999999999" customHeight="1" x14ac:dyDescent="0.3">
      <c r="A204" s="92"/>
      <c r="B204" s="49">
        <v>10037019056</v>
      </c>
      <c r="C204" s="92" t="s">
        <v>311</v>
      </c>
      <c r="D204" s="93" t="s">
        <v>312</v>
      </c>
      <c r="E204" s="93"/>
      <c r="F204" s="105"/>
      <c r="G204" s="196"/>
      <c r="H204" s="106">
        <f t="shared" si="156"/>
        <v>0</v>
      </c>
      <c r="I204" s="104"/>
      <c r="J204" s="107"/>
      <c r="K204" s="50"/>
      <c r="L204" s="104"/>
      <c r="M204" s="108" t="s">
        <v>135</v>
      </c>
      <c r="N204" s="108" t="s">
        <v>134</v>
      </c>
      <c r="O204" s="193"/>
      <c r="P204" s="193"/>
      <c r="Q204" s="193"/>
      <c r="R204" s="109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4"/>
      <c r="AC204" s="194"/>
      <c r="AD204" s="106"/>
      <c r="AE204" s="118"/>
      <c r="AF204" s="106"/>
      <c r="AG204" s="106">
        <f t="shared" si="146"/>
        <v>0</v>
      </c>
      <c r="AH204" s="106">
        <f t="shared" si="147"/>
        <v>0</v>
      </c>
      <c r="AI204" s="106">
        <f t="shared" si="157"/>
        <v>0</v>
      </c>
      <c r="AJ204" s="106">
        <f t="shared" si="158"/>
        <v>0</v>
      </c>
      <c r="AK204" s="106">
        <f t="shared" si="159"/>
        <v>0</v>
      </c>
      <c r="AL204" s="132">
        <f t="shared" si="160"/>
        <v>0</v>
      </c>
      <c r="AM204" s="198">
        <f t="shared" si="161"/>
        <v>0</v>
      </c>
      <c r="AN204" s="113"/>
      <c r="AO204" s="113">
        <v>100</v>
      </c>
      <c r="AP204" s="113"/>
      <c r="AQ204" s="95">
        <f t="shared" si="162"/>
        <v>100</v>
      </c>
      <c r="AR204" s="183">
        <f t="shared" si="163"/>
        <v>0</v>
      </c>
      <c r="AS204" s="113"/>
      <c r="AT204" s="113"/>
      <c r="AU204" s="113"/>
      <c r="AV204" s="95">
        <f t="shared" si="153"/>
        <v>0</v>
      </c>
      <c r="AW204" s="113"/>
      <c r="AX204" s="113"/>
      <c r="AY204" s="113"/>
      <c r="AZ204" s="95">
        <f t="shared" si="154"/>
        <v>0</v>
      </c>
      <c r="BA204" s="197">
        <f t="shared" si="155"/>
        <v>0</v>
      </c>
      <c r="BB204" s="94">
        <f t="shared" si="164"/>
        <v>0</v>
      </c>
      <c r="BC204" s="105">
        <f t="shared" si="137"/>
        <v>0</v>
      </c>
      <c r="BD204" s="94">
        <f t="shared" si="165"/>
        <v>100</v>
      </c>
      <c r="BE204" s="94">
        <f t="shared" si="138"/>
        <v>0</v>
      </c>
      <c r="BF204" s="94">
        <f t="shared" si="166"/>
        <v>0</v>
      </c>
      <c r="BG204" s="94">
        <f t="shared" si="139"/>
        <v>0</v>
      </c>
      <c r="BH204" s="94">
        <f t="shared" si="167"/>
        <v>100</v>
      </c>
      <c r="BI204" s="94">
        <f t="shared" si="168"/>
        <v>0</v>
      </c>
      <c r="BJ204" s="186">
        <f t="shared" si="169"/>
        <v>0</v>
      </c>
      <c r="BK204" s="182">
        <f t="shared" si="170"/>
        <v>0</v>
      </c>
      <c r="BL204" s="98">
        <f t="shared" si="171"/>
        <v>0</v>
      </c>
      <c r="BM204" s="99">
        <f t="shared" si="148"/>
        <v>0</v>
      </c>
      <c r="BN204" s="99">
        <f t="shared" si="149"/>
        <v>0</v>
      </c>
      <c r="BO204" s="121"/>
      <c r="BP204" s="121"/>
      <c r="BQ204" s="121"/>
      <c r="BR204" s="121"/>
      <c r="BS204" s="121"/>
      <c r="BT204" s="121"/>
      <c r="BU204" s="182">
        <v>0</v>
      </c>
      <c r="BV204" s="121"/>
      <c r="BW204" s="121"/>
      <c r="BX204" s="121"/>
      <c r="BY204" s="121"/>
      <c r="BZ204" s="121"/>
      <c r="CA204" s="95">
        <f t="shared" si="150"/>
        <v>0</v>
      </c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17"/>
      <c r="CP204" s="121"/>
      <c r="CQ204" s="121"/>
      <c r="CR204" s="117"/>
      <c r="CS204" s="113"/>
      <c r="CT204" s="113"/>
      <c r="CU204" s="187"/>
      <c r="CV204" s="187"/>
      <c r="CW204" s="240"/>
    </row>
    <row r="205" spans="1:101" s="51" customFormat="1" ht="19.899999999999999" customHeight="1" x14ac:dyDescent="0.3">
      <c r="A205" s="148"/>
      <c r="B205" s="50">
        <v>10037019056</v>
      </c>
      <c r="C205" s="148" t="s">
        <v>311</v>
      </c>
      <c r="D205" s="104" t="s">
        <v>312</v>
      </c>
      <c r="E205" s="104"/>
      <c r="F205" s="94"/>
      <c r="G205" s="182"/>
      <c r="H205" s="95">
        <f t="shared" si="156"/>
        <v>0</v>
      </c>
      <c r="I205" s="93"/>
      <c r="J205" s="96"/>
      <c r="K205" s="49"/>
      <c r="L205" s="93"/>
      <c r="M205" s="97" t="s">
        <v>137</v>
      </c>
      <c r="N205" s="97" t="s">
        <v>136</v>
      </c>
      <c r="O205" s="183"/>
      <c r="P205" s="183"/>
      <c r="Q205" s="183"/>
      <c r="R205" s="131"/>
      <c r="S205" s="183"/>
      <c r="T205" s="183"/>
      <c r="U205" s="183"/>
      <c r="V205" s="183"/>
      <c r="W205" s="183"/>
      <c r="X205" s="183"/>
      <c r="Y205" s="183"/>
      <c r="Z205" s="183"/>
      <c r="AA205" s="183"/>
      <c r="AB205" s="184"/>
      <c r="AC205" s="184"/>
      <c r="AD205" s="95"/>
      <c r="AE205" s="95"/>
      <c r="AF205" s="95"/>
      <c r="AG205" s="95">
        <f t="shared" ref="AG205:AG236" si="172">SUM(AD205:AF205)</f>
        <v>0</v>
      </c>
      <c r="AH205" s="95">
        <f t="shared" ref="AH205:AH241" si="173">(AD205*AB205)+((AE205+AF205)*AC205)</f>
        <v>0</v>
      </c>
      <c r="AI205" s="95">
        <f t="shared" si="157"/>
        <v>0</v>
      </c>
      <c r="AJ205" s="95">
        <f t="shared" si="158"/>
        <v>0</v>
      </c>
      <c r="AK205" s="95">
        <f t="shared" si="159"/>
        <v>0</v>
      </c>
      <c r="AL205" s="133">
        <f t="shared" si="160"/>
        <v>0</v>
      </c>
      <c r="AM205" s="199">
        <f t="shared" si="161"/>
        <v>0</v>
      </c>
      <c r="AN205" s="113"/>
      <c r="AO205" s="113">
        <v>100</v>
      </c>
      <c r="AP205" s="113"/>
      <c r="AQ205" s="106">
        <f t="shared" si="162"/>
        <v>100</v>
      </c>
      <c r="AR205" s="193">
        <f t="shared" si="163"/>
        <v>0</v>
      </c>
      <c r="AS205" s="113"/>
      <c r="AT205" s="113"/>
      <c r="AU205" s="113"/>
      <c r="AV205" s="95">
        <f t="shared" si="153"/>
        <v>0</v>
      </c>
      <c r="AW205" s="113"/>
      <c r="AX205" s="113"/>
      <c r="AY205" s="113"/>
      <c r="AZ205" s="95">
        <f t="shared" si="154"/>
        <v>0</v>
      </c>
      <c r="BA205" s="197">
        <f t="shared" si="155"/>
        <v>0</v>
      </c>
      <c r="BB205" s="94">
        <f t="shared" si="164"/>
        <v>0</v>
      </c>
      <c r="BC205" s="105">
        <f t="shared" si="137"/>
        <v>0</v>
      </c>
      <c r="BD205" s="94">
        <f t="shared" si="165"/>
        <v>100</v>
      </c>
      <c r="BE205" s="94">
        <f t="shared" si="138"/>
        <v>0</v>
      </c>
      <c r="BF205" s="94">
        <f t="shared" si="166"/>
        <v>0</v>
      </c>
      <c r="BG205" s="94">
        <f t="shared" si="139"/>
        <v>0</v>
      </c>
      <c r="BH205" s="94">
        <f t="shared" si="167"/>
        <v>100</v>
      </c>
      <c r="BI205" s="94">
        <f t="shared" si="168"/>
        <v>0</v>
      </c>
      <c r="BJ205" s="186">
        <f t="shared" si="169"/>
        <v>0</v>
      </c>
      <c r="BK205" s="182">
        <f t="shared" si="170"/>
        <v>0</v>
      </c>
      <c r="BL205" s="98">
        <f t="shared" si="171"/>
        <v>0</v>
      </c>
      <c r="BM205" s="99">
        <f t="shared" ref="BM205:BM224" si="174">AW205</f>
        <v>0</v>
      </c>
      <c r="BN205" s="99">
        <f t="shared" ref="BN205:BN224" si="175">AX205+AY205</f>
        <v>0</v>
      </c>
      <c r="BO205" s="121"/>
      <c r="BP205" s="121"/>
      <c r="BQ205" s="121"/>
      <c r="BR205" s="121"/>
      <c r="BS205" s="121"/>
      <c r="BT205" s="121"/>
      <c r="BU205" s="182">
        <v>0</v>
      </c>
      <c r="BV205" s="121"/>
      <c r="BW205" s="121"/>
      <c r="BX205" s="121"/>
      <c r="BY205" s="121"/>
      <c r="BZ205" s="121"/>
      <c r="CA205" s="95">
        <f t="shared" si="150"/>
        <v>0</v>
      </c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17"/>
      <c r="CP205" s="121"/>
      <c r="CQ205" s="121"/>
      <c r="CR205" s="117"/>
      <c r="CS205" s="113"/>
      <c r="CT205" s="113"/>
      <c r="CU205" s="187"/>
      <c r="CV205" s="187"/>
      <c r="CW205" s="240"/>
    </row>
    <row r="206" spans="1:101" s="51" customFormat="1" ht="19.899999999999999" customHeight="1" x14ac:dyDescent="0.3">
      <c r="A206" s="92"/>
      <c r="B206" s="49">
        <v>10037019056</v>
      </c>
      <c r="C206" s="92" t="s">
        <v>311</v>
      </c>
      <c r="D206" s="93" t="s">
        <v>312</v>
      </c>
      <c r="E206" s="93"/>
      <c r="F206" s="105"/>
      <c r="G206" s="196"/>
      <c r="H206" s="106">
        <f t="shared" si="156"/>
        <v>0</v>
      </c>
      <c r="I206" s="104"/>
      <c r="J206" s="107"/>
      <c r="K206" s="50"/>
      <c r="L206" s="104"/>
      <c r="M206" s="108" t="s">
        <v>139</v>
      </c>
      <c r="N206" s="108" t="s">
        <v>138</v>
      </c>
      <c r="O206" s="193"/>
      <c r="P206" s="193"/>
      <c r="Q206" s="193"/>
      <c r="R206" s="109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4"/>
      <c r="AC206" s="194"/>
      <c r="AD206" s="106"/>
      <c r="AE206" s="118"/>
      <c r="AF206" s="106"/>
      <c r="AG206" s="106">
        <f t="shared" si="172"/>
        <v>0</v>
      </c>
      <c r="AH206" s="106">
        <f t="shared" si="173"/>
        <v>0</v>
      </c>
      <c r="AI206" s="106">
        <f t="shared" si="157"/>
        <v>0</v>
      </c>
      <c r="AJ206" s="106">
        <f t="shared" si="158"/>
        <v>0</v>
      </c>
      <c r="AK206" s="106">
        <f t="shared" si="159"/>
        <v>0</v>
      </c>
      <c r="AL206" s="132">
        <f t="shared" si="160"/>
        <v>0</v>
      </c>
      <c r="AM206" s="198">
        <f t="shared" si="161"/>
        <v>0</v>
      </c>
      <c r="AN206" s="113"/>
      <c r="AO206" s="113">
        <v>100</v>
      </c>
      <c r="AP206" s="113"/>
      <c r="AQ206" s="95">
        <f t="shared" si="162"/>
        <v>100</v>
      </c>
      <c r="AR206" s="183">
        <f t="shared" si="163"/>
        <v>0</v>
      </c>
      <c r="AS206" s="113"/>
      <c r="AT206" s="113"/>
      <c r="AU206" s="113"/>
      <c r="AV206" s="95">
        <f t="shared" si="153"/>
        <v>0</v>
      </c>
      <c r="AW206" s="113"/>
      <c r="AX206" s="113"/>
      <c r="AY206" s="113"/>
      <c r="AZ206" s="95">
        <f t="shared" si="154"/>
        <v>0</v>
      </c>
      <c r="BA206" s="197">
        <f t="shared" si="155"/>
        <v>0</v>
      </c>
      <c r="BB206" s="94">
        <f t="shared" si="164"/>
        <v>0</v>
      </c>
      <c r="BC206" s="105">
        <f t="shared" ref="BC206:BC269" si="176">BB206*AB206</f>
        <v>0</v>
      </c>
      <c r="BD206" s="94">
        <f t="shared" si="165"/>
        <v>100</v>
      </c>
      <c r="BE206" s="94">
        <f t="shared" ref="BE206:BE269" si="177">BD206*AC206</f>
        <v>0</v>
      </c>
      <c r="BF206" s="94">
        <f t="shared" si="166"/>
        <v>0</v>
      </c>
      <c r="BG206" s="94">
        <f t="shared" ref="BG206:BG269" si="178">BF206*AC206</f>
        <v>0</v>
      </c>
      <c r="BH206" s="94">
        <f t="shared" si="167"/>
        <v>100</v>
      </c>
      <c r="BI206" s="94">
        <f t="shared" si="168"/>
        <v>0</v>
      </c>
      <c r="BJ206" s="186">
        <f t="shared" si="169"/>
        <v>0</v>
      </c>
      <c r="BK206" s="182">
        <f t="shared" si="170"/>
        <v>0</v>
      </c>
      <c r="BL206" s="98">
        <f t="shared" si="171"/>
        <v>0</v>
      </c>
      <c r="BM206" s="99">
        <f t="shared" si="174"/>
        <v>0</v>
      </c>
      <c r="BN206" s="99">
        <f t="shared" si="175"/>
        <v>0</v>
      </c>
      <c r="BO206" s="121"/>
      <c r="BP206" s="121"/>
      <c r="BQ206" s="121"/>
      <c r="BR206" s="121"/>
      <c r="BS206" s="121"/>
      <c r="BT206" s="121"/>
      <c r="BU206" s="182">
        <v>0</v>
      </c>
      <c r="BV206" s="121"/>
      <c r="BW206" s="121"/>
      <c r="BX206" s="121"/>
      <c r="BY206" s="121"/>
      <c r="BZ206" s="121"/>
      <c r="CA206" s="95">
        <f t="shared" si="150"/>
        <v>0</v>
      </c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17"/>
      <c r="CP206" s="121"/>
      <c r="CQ206" s="121"/>
      <c r="CR206" s="117"/>
      <c r="CS206" s="113"/>
      <c r="CT206" s="113"/>
      <c r="CU206" s="187"/>
      <c r="CV206" s="187"/>
      <c r="CW206" s="240"/>
    </row>
    <row r="207" spans="1:101" s="51" customFormat="1" ht="19.899999999999999" customHeight="1" x14ac:dyDescent="0.3">
      <c r="A207" s="103"/>
      <c r="B207" s="50">
        <v>10037019056</v>
      </c>
      <c r="C207" s="103" t="s">
        <v>311</v>
      </c>
      <c r="D207" s="104" t="s">
        <v>312</v>
      </c>
      <c r="E207" s="104"/>
      <c r="F207" s="94"/>
      <c r="G207" s="182"/>
      <c r="H207" s="95">
        <f t="shared" si="156"/>
        <v>0</v>
      </c>
      <c r="I207" s="93"/>
      <c r="J207" s="96"/>
      <c r="K207" s="49"/>
      <c r="L207" s="93"/>
      <c r="M207" s="97" t="s">
        <v>141</v>
      </c>
      <c r="N207" s="97" t="s">
        <v>140</v>
      </c>
      <c r="O207" s="183"/>
      <c r="P207" s="183"/>
      <c r="Q207" s="183"/>
      <c r="R207" s="131"/>
      <c r="S207" s="183"/>
      <c r="T207" s="183"/>
      <c r="U207" s="183"/>
      <c r="V207" s="183"/>
      <c r="W207" s="183"/>
      <c r="X207" s="183"/>
      <c r="Y207" s="183"/>
      <c r="Z207" s="183"/>
      <c r="AA207" s="183"/>
      <c r="AB207" s="184"/>
      <c r="AC207" s="184"/>
      <c r="AD207" s="95"/>
      <c r="AE207" s="95"/>
      <c r="AF207" s="95"/>
      <c r="AG207" s="95">
        <f t="shared" si="172"/>
        <v>0</v>
      </c>
      <c r="AH207" s="95">
        <f t="shared" si="173"/>
        <v>0</v>
      </c>
      <c r="AI207" s="95">
        <f t="shared" si="157"/>
        <v>0</v>
      </c>
      <c r="AJ207" s="95">
        <f t="shared" si="158"/>
        <v>0</v>
      </c>
      <c r="AK207" s="95">
        <f t="shared" si="159"/>
        <v>0</v>
      </c>
      <c r="AL207" s="133">
        <f t="shared" si="160"/>
        <v>0</v>
      </c>
      <c r="AM207" s="199">
        <f t="shared" si="161"/>
        <v>0</v>
      </c>
      <c r="AN207" s="113"/>
      <c r="AO207" s="113">
        <v>100</v>
      </c>
      <c r="AP207" s="113"/>
      <c r="AQ207" s="106">
        <f t="shared" si="162"/>
        <v>100</v>
      </c>
      <c r="AR207" s="193">
        <f t="shared" si="163"/>
        <v>0</v>
      </c>
      <c r="AS207" s="113"/>
      <c r="AT207" s="113"/>
      <c r="AU207" s="113"/>
      <c r="AV207" s="95">
        <f t="shared" si="153"/>
        <v>0</v>
      </c>
      <c r="AW207" s="113"/>
      <c r="AX207" s="113"/>
      <c r="AY207" s="113"/>
      <c r="AZ207" s="95">
        <f t="shared" si="154"/>
        <v>0</v>
      </c>
      <c r="BA207" s="197">
        <f t="shared" si="155"/>
        <v>0</v>
      </c>
      <c r="BB207" s="94">
        <f t="shared" si="164"/>
        <v>0</v>
      </c>
      <c r="BC207" s="105">
        <f t="shared" si="176"/>
        <v>0</v>
      </c>
      <c r="BD207" s="94">
        <f t="shared" si="165"/>
        <v>100</v>
      </c>
      <c r="BE207" s="94">
        <f t="shared" si="177"/>
        <v>0</v>
      </c>
      <c r="BF207" s="94">
        <f t="shared" si="166"/>
        <v>0</v>
      </c>
      <c r="BG207" s="94">
        <f t="shared" si="178"/>
        <v>0</v>
      </c>
      <c r="BH207" s="94">
        <f t="shared" si="167"/>
        <v>100</v>
      </c>
      <c r="BI207" s="94">
        <f t="shared" si="168"/>
        <v>0</v>
      </c>
      <c r="BJ207" s="186">
        <f t="shared" si="169"/>
        <v>0</v>
      </c>
      <c r="BK207" s="182">
        <f t="shared" si="170"/>
        <v>0</v>
      </c>
      <c r="BL207" s="98">
        <f t="shared" si="171"/>
        <v>0</v>
      </c>
      <c r="BM207" s="99">
        <f t="shared" si="174"/>
        <v>0</v>
      </c>
      <c r="BN207" s="99">
        <f t="shared" si="175"/>
        <v>0</v>
      </c>
      <c r="BO207" s="121"/>
      <c r="BP207" s="121"/>
      <c r="BQ207" s="121"/>
      <c r="BR207" s="121"/>
      <c r="BS207" s="121"/>
      <c r="BT207" s="121"/>
      <c r="BU207" s="182">
        <v>0</v>
      </c>
      <c r="BV207" s="121"/>
      <c r="BW207" s="121"/>
      <c r="BX207" s="121"/>
      <c r="BY207" s="121"/>
      <c r="BZ207" s="121"/>
      <c r="CA207" s="95">
        <f t="shared" si="150"/>
        <v>0</v>
      </c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17"/>
      <c r="CP207" s="121"/>
      <c r="CQ207" s="121"/>
      <c r="CR207" s="117"/>
      <c r="CS207" s="113"/>
      <c r="CT207" s="113"/>
      <c r="CU207" s="187"/>
      <c r="CV207" s="187"/>
      <c r="CW207" s="240"/>
    </row>
    <row r="208" spans="1:101" s="51" customFormat="1" ht="19.899999999999999" customHeight="1" x14ac:dyDescent="0.3">
      <c r="A208" s="92"/>
      <c r="B208" s="49">
        <v>10037019056</v>
      </c>
      <c r="C208" s="92" t="s">
        <v>311</v>
      </c>
      <c r="D208" s="93" t="s">
        <v>312</v>
      </c>
      <c r="E208" s="93"/>
      <c r="F208" s="105"/>
      <c r="G208" s="196"/>
      <c r="H208" s="106">
        <f t="shared" si="156"/>
        <v>0</v>
      </c>
      <c r="I208" s="104"/>
      <c r="J208" s="107"/>
      <c r="K208" s="50"/>
      <c r="L208" s="104"/>
      <c r="M208" s="108" t="s">
        <v>130</v>
      </c>
      <c r="N208" s="108" t="s">
        <v>142</v>
      </c>
      <c r="O208" s="193"/>
      <c r="P208" s="193"/>
      <c r="Q208" s="193"/>
      <c r="R208" s="109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4"/>
      <c r="AC208" s="194"/>
      <c r="AD208" s="106"/>
      <c r="AE208" s="118"/>
      <c r="AF208" s="106"/>
      <c r="AG208" s="106">
        <f t="shared" si="172"/>
        <v>0</v>
      </c>
      <c r="AH208" s="106">
        <f t="shared" si="173"/>
        <v>0</v>
      </c>
      <c r="AI208" s="106">
        <f t="shared" si="157"/>
        <v>0</v>
      </c>
      <c r="AJ208" s="106">
        <f t="shared" si="158"/>
        <v>0</v>
      </c>
      <c r="AK208" s="106">
        <f t="shared" si="159"/>
        <v>0</v>
      </c>
      <c r="AL208" s="132">
        <f t="shared" si="160"/>
        <v>0</v>
      </c>
      <c r="AM208" s="198">
        <f t="shared" si="161"/>
        <v>0</v>
      </c>
      <c r="AN208" s="113"/>
      <c r="AO208" s="113">
        <v>100</v>
      </c>
      <c r="AP208" s="113"/>
      <c r="AQ208" s="95">
        <f t="shared" si="162"/>
        <v>100</v>
      </c>
      <c r="AR208" s="183">
        <f t="shared" si="163"/>
        <v>0</v>
      </c>
      <c r="AS208" s="113"/>
      <c r="AT208" s="113"/>
      <c r="AU208" s="113"/>
      <c r="AV208" s="95">
        <f t="shared" si="153"/>
        <v>0</v>
      </c>
      <c r="AW208" s="113"/>
      <c r="AX208" s="113"/>
      <c r="AY208" s="113"/>
      <c r="AZ208" s="95">
        <f t="shared" si="154"/>
        <v>0</v>
      </c>
      <c r="BA208" s="197">
        <f t="shared" si="155"/>
        <v>0</v>
      </c>
      <c r="BB208" s="94">
        <f t="shared" si="164"/>
        <v>0</v>
      </c>
      <c r="BC208" s="105">
        <f t="shared" si="176"/>
        <v>0</v>
      </c>
      <c r="BD208" s="94">
        <f t="shared" si="165"/>
        <v>100</v>
      </c>
      <c r="BE208" s="94">
        <f t="shared" si="177"/>
        <v>0</v>
      </c>
      <c r="BF208" s="94">
        <f t="shared" si="166"/>
        <v>0</v>
      </c>
      <c r="BG208" s="94">
        <f t="shared" si="178"/>
        <v>0</v>
      </c>
      <c r="BH208" s="94">
        <f t="shared" si="167"/>
        <v>100</v>
      </c>
      <c r="BI208" s="94">
        <f t="shared" si="168"/>
        <v>0</v>
      </c>
      <c r="BJ208" s="186">
        <f t="shared" si="169"/>
        <v>0</v>
      </c>
      <c r="BK208" s="182">
        <f t="shared" si="170"/>
        <v>0</v>
      </c>
      <c r="BL208" s="98">
        <f t="shared" si="171"/>
        <v>0</v>
      </c>
      <c r="BM208" s="99">
        <f t="shared" si="174"/>
        <v>0</v>
      </c>
      <c r="BN208" s="99">
        <f t="shared" si="175"/>
        <v>0</v>
      </c>
      <c r="BO208" s="121"/>
      <c r="BP208" s="121"/>
      <c r="BQ208" s="121"/>
      <c r="BR208" s="121"/>
      <c r="BS208" s="121"/>
      <c r="BT208" s="121"/>
      <c r="BU208" s="182">
        <v>0</v>
      </c>
      <c r="BV208" s="121"/>
      <c r="BW208" s="121"/>
      <c r="BX208" s="121"/>
      <c r="BY208" s="121"/>
      <c r="BZ208" s="121"/>
      <c r="CA208" s="95">
        <f t="shared" si="150"/>
        <v>0</v>
      </c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17"/>
      <c r="CP208" s="121"/>
      <c r="CQ208" s="121"/>
      <c r="CR208" s="117"/>
      <c r="CS208" s="113"/>
      <c r="CT208" s="113"/>
      <c r="CU208" s="187"/>
      <c r="CV208" s="187"/>
      <c r="CW208" s="240"/>
    </row>
    <row r="209" spans="1:101" s="51" customFormat="1" ht="19.899999999999999" customHeight="1" x14ac:dyDescent="0.3">
      <c r="A209" s="148"/>
      <c r="B209" s="50">
        <v>10037019056</v>
      </c>
      <c r="C209" s="148" t="s">
        <v>311</v>
      </c>
      <c r="D209" s="104" t="s">
        <v>312</v>
      </c>
      <c r="E209" s="104"/>
      <c r="F209" s="94"/>
      <c r="G209" s="182"/>
      <c r="H209" s="95">
        <f t="shared" si="156"/>
        <v>0</v>
      </c>
      <c r="I209" s="93"/>
      <c r="J209" s="96"/>
      <c r="K209" s="49"/>
      <c r="L209" s="93"/>
      <c r="M209" s="97" t="s">
        <v>144</v>
      </c>
      <c r="N209" s="97" t="s">
        <v>143</v>
      </c>
      <c r="O209" s="183"/>
      <c r="P209" s="183"/>
      <c r="Q209" s="183"/>
      <c r="R209" s="131"/>
      <c r="S209" s="183"/>
      <c r="T209" s="183"/>
      <c r="U209" s="183"/>
      <c r="V209" s="183"/>
      <c r="W209" s="183"/>
      <c r="X209" s="183"/>
      <c r="Y209" s="183"/>
      <c r="Z209" s="183"/>
      <c r="AA209" s="183"/>
      <c r="AB209" s="184"/>
      <c r="AC209" s="184"/>
      <c r="AD209" s="95"/>
      <c r="AE209" s="95"/>
      <c r="AF209" s="95"/>
      <c r="AG209" s="95">
        <f t="shared" si="172"/>
        <v>0</v>
      </c>
      <c r="AH209" s="95">
        <f t="shared" si="173"/>
        <v>0</v>
      </c>
      <c r="AI209" s="95">
        <f t="shared" si="157"/>
        <v>-0.23</v>
      </c>
      <c r="AJ209" s="95">
        <f t="shared" si="158"/>
        <v>0</v>
      </c>
      <c r="AK209" s="95">
        <f t="shared" si="159"/>
        <v>0</v>
      </c>
      <c r="AL209" s="133">
        <f t="shared" si="160"/>
        <v>-0.23</v>
      </c>
      <c r="AM209" s="199">
        <f t="shared" si="161"/>
        <v>0</v>
      </c>
      <c r="AN209" s="113">
        <v>0.06</v>
      </c>
      <c r="AO209" s="113">
        <v>1431.72</v>
      </c>
      <c r="AP209" s="113"/>
      <c r="AQ209" s="106">
        <f t="shared" si="162"/>
        <v>1431.78</v>
      </c>
      <c r="AR209" s="193">
        <f t="shared" si="163"/>
        <v>0</v>
      </c>
      <c r="AS209" s="113">
        <v>0.23</v>
      </c>
      <c r="AT209" s="113">
        <v>0</v>
      </c>
      <c r="AU209" s="113"/>
      <c r="AV209" s="95">
        <f t="shared" si="153"/>
        <v>0.23</v>
      </c>
      <c r="AW209" s="113">
        <v>0.06</v>
      </c>
      <c r="AX209" s="113">
        <v>0.17</v>
      </c>
      <c r="AY209" s="113"/>
      <c r="AZ209" s="95">
        <f t="shared" si="154"/>
        <v>0.23</v>
      </c>
      <c r="BA209" s="197">
        <f t="shared" si="155"/>
        <v>0</v>
      </c>
      <c r="BB209" s="94">
        <f t="shared" si="164"/>
        <v>0</v>
      </c>
      <c r="BC209" s="105">
        <f t="shared" si="176"/>
        <v>0</v>
      </c>
      <c r="BD209" s="94">
        <f t="shared" si="165"/>
        <v>1431.55</v>
      </c>
      <c r="BE209" s="94">
        <f t="shared" si="177"/>
        <v>0</v>
      </c>
      <c r="BF209" s="94">
        <f t="shared" si="166"/>
        <v>0</v>
      </c>
      <c r="BG209" s="94">
        <f t="shared" si="178"/>
        <v>0</v>
      </c>
      <c r="BH209" s="94">
        <f t="shared" si="167"/>
        <v>1431.55</v>
      </c>
      <c r="BI209" s="94">
        <f t="shared" si="168"/>
        <v>0</v>
      </c>
      <c r="BJ209" s="186">
        <f t="shared" si="169"/>
        <v>0</v>
      </c>
      <c r="BK209" s="182">
        <f t="shared" si="170"/>
        <v>0</v>
      </c>
      <c r="BL209" s="98">
        <f t="shared" si="171"/>
        <v>0</v>
      </c>
      <c r="BM209" s="99">
        <f t="shared" si="174"/>
        <v>0.06</v>
      </c>
      <c r="BN209" s="99">
        <f t="shared" si="175"/>
        <v>0.17</v>
      </c>
      <c r="BO209" s="121"/>
      <c r="BP209" s="121"/>
      <c r="BQ209" s="121"/>
      <c r="BR209" s="121"/>
      <c r="BS209" s="121"/>
      <c r="BT209" s="121"/>
      <c r="BU209" s="182">
        <v>0</v>
      </c>
      <c r="BV209" s="121"/>
      <c r="BW209" s="121"/>
      <c r="BX209" s="121"/>
      <c r="BY209" s="121"/>
      <c r="BZ209" s="121"/>
      <c r="CA209" s="95">
        <f t="shared" si="150"/>
        <v>0</v>
      </c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17"/>
      <c r="CP209" s="121"/>
      <c r="CQ209" s="121"/>
      <c r="CR209" s="117"/>
      <c r="CS209" s="113"/>
      <c r="CT209" s="113"/>
      <c r="CU209" s="187"/>
      <c r="CV209" s="187"/>
      <c r="CW209" s="240"/>
    </row>
    <row r="210" spans="1:101" s="51" customFormat="1" ht="19.899999999999999" customHeight="1" x14ac:dyDescent="0.3">
      <c r="A210" s="92"/>
      <c r="B210" s="49">
        <v>10037019056</v>
      </c>
      <c r="C210" s="92" t="s">
        <v>311</v>
      </c>
      <c r="D210" s="93" t="s">
        <v>312</v>
      </c>
      <c r="E210" s="93"/>
      <c r="F210" s="105"/>
      <c r="G210" s="196"/>
      <c r="H210" s="106">
        <f t="shared" si="156"/>
        <v>0</v>
      </c>
      <c r="I210" s="104"/>
      <c r="J210" s="107"/>
      <c r="K210" s="50"/>
      <c r="L210" s="104"/>
      <c r="M210" s="108" t="s">
        <v>146</v>
      </c>
      <c r="N210" s="108" t="s">
        <v>145</v>
      </c>
      <c r="O210" s="193"/>
      <c r="P210" s="193"/>
      <c r="Q210" s="193"/>
      <c r="R210" s="109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4"/>
      <c r="AC210" s="194"/>
      <c r="AD210" s="106"/>
      <c r="AE210" s="118"/>
      <c r="AF210" s="106"/>
      <c r="AG210" s="106">
        <f t="shared" si="172"/>
        <v>0</v>
      </c>
      <c r="AH210" s="106">
        <f t="shared" si="173"/>
        <v>0</v>
      </c>
      <c r="AI210" s="106">
        <f t="shared" si="157"/>
        <v>-0.66</v>
      </c>
      <c r="AJ210" s="106">
        <f t="shared" si="158"/>
        <v>0</v>
      </c>
      <c r="AK210" s="106">
        <f t="shared" si="159"/>
        <v>0</v>
      </c>
      <c r="AL210" s="132">
        <f t="shared" si="160"/>
        <v>-0.66</v>
      </c>
      <c r="AM210" s="198">
        <f t="shared" si="161"/>
        <v>0</v>
      </c>
      <c r="AN210" s="113">
        <v>0.84</v>
      </c>
      <c r="AO210" s="113">
        <v>21148.62</v>
      </c>
      <c r="AP210" s="113"/>
      <c r="AQ210" s="95">
        <f t="shared" si="162"/>
        <v>21149.46</v>
      </c>
      <c r="AR210" s="183">
        <f t="shared" si="163"/>
        <v>0</v>
      </c>
      <c r="AS210" s="113">
        <v>0.66</v>
      </c>
      <c r="AT210" s="113">
        <v>0</v>
      </c>
      <c r="AU210" s="113"/>
      <c r="AV210" s="95">
        <f t="shared" si="153"/>
        <v>0.66</v>
      </c>
      <c r="AW210" s="113">
        <v>0.66</v>
      </c>
      <c r="AX210" s="113">
        <v>0</v>
      </c>
      <c r="AY210" s="113"/>
      <c r="AZ210" s="95">
        <f t="shared" si="154"/>
        <v>0.66</v>
      </c>
      <c r="BA210" s="197">
        <f t="shared" si="155"/>
        <v>0</v>
      </c>
      <c r="BB210" s="94">
        <f t="shared" si="164"/>
        <v>0.17999999999999994</v>
      </c>
      <c r="BC210" s="105">
        <f t="shared" si="176"/>
        <v>0</v>
      </c>
      <c r="BD210" s="94">
        <f t="shared" si="165"/>
        <v>21148.62</v>
      </c>
      <c r="BE210" s="94">
        <f t="shared" si="177"/>
        <v>0</v>
      </c>
      <c r="BF210" s="94">
        <f t="shared" si="166"/>
        <v>0</v>
      </c>
      <c r="BG210" s="94">
        <f t="shared" si="178"/>
        <v>0</v>
      </c>
      <c r="BH210" s="94">
        <f t="shared" si="167"/>
        <v>21148.799999999999</v>
      </c>
      <c r="BI210" s="94">
        <f t="shared" si="168"/>
        <v>0</v>
      </c>
      <c r="BJ210" s="186">
        <f t="shared" si="169"/>
        <v>0</v>
      </c>
      <c r="BK210" s="182">
        <f t="shared" si="170"/>
        <v>0</v>
      </c>
      <c r="BL210" s="98">
        <f t="shared" si="171"/>
        <v>0</v>
      </c>
      <c r="BM210" s="99">
        <f t="shared" si="174"/>
        <v>0.66</v>
      </c>
      <c r="BN210" s="99">
        <f t="shared" si="175"/>
        <v>0</v>
      </c>
      <c r="BO210" s="121"/>
      <c r="BP210" s="121"/>
      <c r="BQ210" s="121"/>
      <c r="BR210" s="121"/>
      <c r="BS210" s="121"/>
      <c r="BT210" s="121"/>
      <c r="BU210" s="182">
        <v>0</v>
      </c>
      <c r="BV210" s="121"/>
      <c r="BW210" s="121"/>
      <c r="BX210" s="121"/>
      <c r="BY210" s="121"/>
      <c r="BZ210" s="121"/>
      <c r="CA210" s="95">
        <f t="shared" si="150"/>
        <v>0</v>
      </c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17"/>
      <c r="CP210" s="121"/>
      <c r="CQ210" s="121"/>
      <c r="CR210" s="117"/>
      <c r="CS210" s="113"/>
      <c r="CT210" s="113"/>
      <c r="CU210" s="187"/>
      <c r="CV210" s="187"/>
      <c r="CW210" s="240"/>
    </row>
    <row r="211" spans="1:101" s="51" customFormat="1" ht="19.899999999999999" customHeight="1" x14ac:dyDescent="0.3">
      <c r="A211" s="103"/>
      <c r="B211" s="50">
        <v>10037019056</v>
      </c>
      <c r="C211" s="103" t="s">
        <v>311</v>
      </c>
      <c r="D211" s="104" t="s">
        <v>312</v>
      </c>
      <c r="E211" s="104"/>
      <c r="F211" s="94"/>
      <c r="G211" s="182"/>
      <c r="H211" s="95">
        <f t="shared" si="156"/>
        <v>0</v>
      </c>
      <c r="I211" s="93"/>
      <c r="J211" s="96"/>
      <c r="K211" s="49"/>
      <c r="L211" s="93"/>
      <c r="M211" s="97" t="s">
        <v>148</v>
      </c>
      <c r="N211" s="97" t="s">
        <v>147</v>
      </c>
      <c r="O211" s="183"/>
      <c r="P211" s="183"/>
      <c r="Q211" s="183"/>
      <c r="R211" s="131"/>
      <c r="S211" s="183"/>
      <c r="T211" s="183"/>
      <c r="U211" s="183"/>
      <c r="V211" s="183"/>
      <c r="W211" s="183"/>
      <c r="X211" s="183"/>
      <c r="Y211" s="183"/>
      <c r="Z211" s="183"/>
      <c r="AA211" s="183"/>
      <c r="AB211" s="184"/>
      <c r="AC211" s="184"/>
      <c r="AD211" s="95"/>
      <c r="AE211" s="95"/>
      <c r="AF211" s="95"/>
      <c r="AG211" s="95">
        <f t="shared" si="172"/>
        <v>0</v>
      </c>
      <c r="AH211" s="95">
        <f t="shared" si="173"/>
        <v>0</v>
      </c>
      <c r="AI211" s="95">
        <f t="shared" si="157"/>
        <v>-1.1200000000000001</v>
      </c>
      <c r="AJ211" s="95">
        <f t="shared" si="158"/>
        <v>-17769.14</v>
      </c>
      <c r="AK211" s="95">
        <f t="shared" si="159"/>
        <v>-7.67</v>
      </c>
      <c r="AL211" s="133">
        <f t="shared" si="160"/>
        <v>-17777.929999999997</v>
      </c>
      <c r="AM211" s="199">
        <f t="shared" si="161"/>
        <v>0</v>
      </c>
      <c r="AN211" s="113">
        <v>0.68</v>
      </c>
      <c r="AO211" s="113">
        <v>882.84</v>
      </c>
      <c r="AP211" s="113">
        <v>0.32</v>
      </c>
      <c r="AQ211" s="106">
        <f t="shared" si="162"/>
        <v>883.84</v>
      </c>
      <c r="AR211" s="193">
        <f t="shared" si="163"/>
        <v>0</v>
      </c>
      <c r="AS211" s="113">
        <v>1.1200000000000001</v>
      </c>
      <c r="AT211" s="113">
        <v>17769.14</v>
      </c>
      <c r="AU211" s="113">
        <v>7.67</v>
      </c>
      <c r="AV211" s="95">
        <f t="shared" si="153"/>
        <v>17777.929999999997</v>
      </c>
      <c r="AW211" s="113">
        <v>0.68</v>
      </c>
      <c r="AX211" s="113">
        <v>882.84</v>
      </c>
      <c r="AY211" s="113">
        <v>0.32</v>
      </c>
      <c r="AZ211" s="95">
        <f t="shared" si="154"/>
        <v>883.84</v>
      </c>
      <c r="BA211" s="197">
        <f t="shared" si="155"/>
        <v>0</v>
      </c>
      <c r="BB211" s="94">
        <f t="shared" si="164"/>
        <v>0</v>
      </c>
      <c r="BC211" s="105">
        <f t="shared" si="176"/>
        <v>0</v>
      </c>
      <c r="BD211" s="94">
        <f t="shared" si="165"/>
        <v>0</v>
      </c>
      <c r="BE211" s="94">
        <f t="shared" si="177"/>
        <v>0</v>
      </c>
      <c r="BF211" s="94">
        <f t="shared" si="166"/>
        <v>0</v>
      </c>
      <c r="BG211" s="94">
        <f t="shared" si="178"/>
        <v>0</v>
      </c>
      <c r="BH211" s="94">
        <f t="shared" si="167"/>
        <v>0</v>
      </c>
      <c r="BI211" s="94">
        <f t="shared" si="168"/>
        <v>0</v>
      </c>
      <c r="BJ211" s="186">
        <f t="shared" si="169"/>
        <v>-16894.089999999997</v>
      </c>
      <c r="BK211" s="182">
        <f t="shared" si="170"/>
        <v>0</v>
      </c>
      <c r="BL211" s="98">
        <f t="shared" si="171"/>
        <v>-16894.089999999997</v>
      </c>
      <c r="BM211" s="99">
        <f t="shared" si="174"/>
        <v>0.68</v>
      </c>
      <c r="BN211" s="99">
        <f t="shared" si="175"/>
        <v>883.16000000000008</v>
      </c>
      <c r="BO211" s="121"/>
      <c r="BP211" s="121"/>
      <c r="BQ211" s="121"/>
      <c r="BR211" s="121"/>
      <c r="BS211" s="121"/>
      <c r="BT211" s="121"/>
      <c r="BU211" s="182">
        <v>0</v>
      </c>
      <c r="BV211" s="121"/>
      <c r="BW211" s="121"/>
      <c r="BX211" s="121"/>
      <c r="BY211" s="121"/>
      <c r="BZ211" s="121"/>
      <c r="CA211" s="95">
        <f t="shared" si="150"/>
        <v>0</v>
      </c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17"/>
      <c r="CP211" s="121"/>
      <c r="CQ211" s="121"/>
      <c r="CR211" s="117"/>
      <c r="CS211" s="113"/>
      <c r="CT211" s="113"/>
      <c r="CU211" s="187"/>
      <c r="CV211" s="187"/>
      <c r="CW211" s="240"/>
    </row>
    <row r="212" spans="1:101" s="51" customFormat="1" ht="19.899999999999999" customHeight="1" x14ac:dyDescent="0.3">
      <c r="A212" s="92"/>
      <c r="B212" s="49">
        <v>10037019056</v>
      </c>
      <c r="C212" s="92" t="s">
        <v>311</v>
      </c>
      <c r="D212" s="93" t="s">
        <v>312</v>
      </c>
      <c r="E212" s="93"/>
      <c r="F212" s="105"/>
      <c r="G212" s="196"/>
      <c r="H212" s="106">
        <f t="shared" si="156"/>
        <v>0</v>
      </c>
      <c r="I212" s="104"/>
      <c r="J212" s="107"/>
      <c r="K212" s="50"/>
      <c r="L212" s="104"/>
      <c r="M212" s="108" t="s">
        <v>150</v>
      </c>
      <c r="N212" s="108" t="s">
        <v>149</v>
      </c>
      <c r="O212" s="193"/>
      <c r="P212" s="193"/>
      <c r="Q212" s="193"/>
      <c r="R212" s="109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4"/>
      <c r="AC212" s="194"/>
      <c r="AD212" s="106"/>
      <c r="AE212" s="118"/>
      <c r="AF212" s="106"/>
      <c r="AG212" s="106">
        <f t="shared" si="172"/>
        <v>0</v>
      </c>
      <c r="AH212" s="106">
        <f t="shared" si="173"/>
        <v>0</v>
      </c>
      <c r="AI212" s="106">
        <f t="shared" si="157"/>
        <v>-5.83</v>
      </c>
      <c r="AJ212" s="106">
        <f t="shared" si="158"/>
        <v>-9322.56</v>
      </c>
      <c r="AK212" s="106">
        <f t="shared" si="159"/>
        <v>-15.21</v>
      </c>
      <c r="AL212" s="132">
        <f t="shared" si="160"/>
        <v>-9343.5999999999985</v>
      </c>
      <c r="AM212" s="198">
        <f t="shared" si="161"/>
        <v>0</v>
      </c>
      <c r="AN212" s="113">
        <v>0.59</v>
      </c>
      <c r="AO212" s="113">
        <v>8902.74</v>
      </c>
      <c r="AP212" s="113">
        <v>2.46</v>
      </c>
      <c r="AQ212" s="95">
        <f t="shared" si="162"/>
        <v>8905.7899999999991</v>
      </c>
      <c r="AR212" s="183">
        <f t="shared" si="163"/>
        <v>0</v>
      </c>
      <c r="AS212" s="113">
        <v>5.83</v>
      </c>
      <c r="AT212" s="113">
        <v>9322.56</v>
      </c>
      <c r="AU212" s="113">
        <v>15.21</v>
      </c>
      <c r="AV212" s="95">
        <f t="shared" si="153"/>
        <v>9343.5999999999985</v>
      </c>
      <c r="AW212" s="113">
        <v>0.59</v>
      </c>
      <c r="AX212" s="113">
        <v>8902.74</v>
      </c>
      <c r="AY212" s="113">
        <v>2.46</v>
      </c>
      <c r="AZ212" s="95">
        <f t="shared" si="154"/>
        <v>8905.7899999999991</v>
      </c>
      <c r="BA212" s="197">
        <f t="shared" si="155"/>
        <v>0</v>
      </c>
      <c r="BB212" s="94">
        <f t="shared" si="164"/>
        <v>0</v>
      </c>
      <c r="BC212" s="105">
        <f t="shared" si="176"/>
        <v>0</v>
      </c>
      <c r="BD212" s="94">
        <f t="shared" si="165"/>
        <v>0</v>
      </c>
      <c r="BE212" s="94">
        <f t="shared" si="177"/>
        <v>0</v>
      </c>
      <c r="BF212" s="94">
        <f t="shared" si="166"/>
        <v>0</v>
      </c>
      <c r="BG212" s="94">
        <f t="shared" si="178"/>
        <v>0</v>
      </c>
      <c r="BH212" s="94">
        <f t="shared" si="167"/>
        <v>0</v>
      </c>
      <c r="BI212" s="94">
        <f t="shared" si="168"/>
        <v>0</v>
      </c>
      <c r="BJ212" s="186">
        <f t="shared" si="169"/>
        <v>-437.80999999999949</v>
      </c>
      <c r="BK212" s="182">
        <f t="shared" si="170"/>
        <v>0</v>
      </c>
      <c r="BL212" s="98">
        <f t="shared" si="171"/>
        <v>-437.80999999999949</v>
      </c>
      <c r="BM212" s="99">
        <f t="shared" si="174"/>
        <v>0.59</v>
      </c>
      <c r="BN212" s="99">
        <f t="shared" si="175"/>
        <v>8905.1999999999989</v>
      </c>
      <c r="BO212" s="121"/>
      <c r="BP212" s="121"/>
      <c r="BQ212" s="121"/>
      <c r="BR212" s="121"/>
      <c r="BS212" s="121"/>
      <c r="BT212" s="121"/>
      <c r="BU212" s="182">
        <v>0</v>
      </c>
      <c r="BV212" s="121"/>
      <c r="BW212" s="121"/>
      <c r="BX212" s="121"/>
      <c r="BY212" s="121"/>
      <c r="BZ212" s="121"/>
      <c r="CA212" s="95">
        <f t="shared" si="150"/>
        <v>0</v>
      </c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17"/>
      <c r="CP212" s="121"/>
      <c r="CQ212" s="121"/>
      <c r="CR212" s="117"/>
      <c r="CS212" s="113"/>
      <c r="CT212" s="113"/>
      <c r="CU212" s="187"/>
      <c r="CV212" s="187"/>
      <c r="CW212" s="240"/>
    </row>
    <row r="213" spans="1:101" s="51" customFormat="1" ht="19.899999999999999" customHeight="1" x14ac:dyDescent="0.3">
      <c r="A213" s="148" t="s">
        <v>314</v>
      </c>
      <c r="B213" s="50">
        <v>10024125537</v>
      </c>
      <c r="C213" s="148" t="s">
        <v>315</v>
      </c>
      <c r="D213" s="104" t="s">
        <v>316</v>
      </c>
      <c r="E213" s="104">
        <v>44838</v>
      </c>
      <c r="F213" s="94">
        <v>37705.879999999997</v>
      </c>
      <c r="G213" s="182">
        <v>0.53</v>
      </c>
      <c r="H213" s="95">
        <f t="shared" si="156"/>
        <v>19984.116399999999</v>
      </c>
      <c r="I213" s="93" t="s">
        <v>130</v>
      </c>
      <c r="J213" s="96" t="s">
        <v>317</v>
      </c>
      <c r="K213" s="49" t="s">
        <v>318</v>
      </c>
      <c r="L213" s="93"/>
      <c r="M213" s="97" t="s">
        <v>130</v>
      </c>
      <c r="N213" s="97" t="s">
        <v>319</v>
      </c>
      <c r="O213" s="183">
        <v>11567.34</v>
      </c>
      <c r="P213" s="183"/>
      <c r="Q213" s="183">
        <v>3451.84</v>
      </c>
      <c r="R213" s="131">
        <v>132.86000000000001</v>
      </c>
      <c r="S213" s="183">
        <v>0</v>
      </c>
      <c r="T213" s="183">
        <v>0</v>
      </c>
      <c r="U213" s="183">
        <v>0</v>
      </c>
      <c r="V213" s="183">
        <v>0</v>
      </c>
      <c r="W213" s="183">
        <v>0</v>
      </c>
      <c r="X213" s="183">
        <v>0</v>
      </c>
      <c r="Y213" s="183">
        <v>0</v>
      </c>
      <c r="Z213" s="183">
        <f>301.76-261.11-2434.55</f>
        <v>-2393.9</v>
      </c>
      <c r="AA213" s="183">
        <v>0</v>
      </c>
      <c r="AB213" s="184">
        <f>0.494926+1.669076</f>
        <v>2.164002</v>
      </c>
      <c r="AC213" s="184">
        <f>0.308976+0.157794</f>
        <v>0.46676999999999996</v>
      </c>
      <c r="AD213" s="95">
        <v>0.77</v>
      </c>
      <c r="AE213" s="95">
        <v>39179.01</v>
      </c>
      <c r="AF213" s="95">
        <v>0</v>
      </c>
      <c r="AG213" s="95">
        <f t="shared" si="172"/>
        <v>39179.78</v>
      </c>
      <c r="AH213" s="95">
        <f t="shared" si="173"/>
        <v>18289.25277924</v>
      </c>
      <c r="AI213" s="95">
        <f t="shared" si="157"/>
        <v>0.77</v>
      </c>
      <c r="AJ213" s="95">
        <f t="shared" si="158"/>
        <v>37414.410000000003</v>
      </c>
      <c r="AK213" s="95">
        <f t="shared" si="159"/>
        <v>0</v>
      </c>
      <c r="AL213" s="133">
        <f t="shared" si="160"/>
        <v>37415.18</v>
      </c>
      <c r="AM213" s="199">
        <f t="shared" si="161"/>
        <v>17465.59043724</v>
      </c>
      <c r="AN213" s="123">
        <v>2471.9899999999998</v>
      </c>
      <c r="AO213" s="123">
        <v>8797.0499999999993</v>
      </c>
      <c r="AP213" s="123">
        <v>4022.25</v>
      </c>
      <c r="AQ213" s="106">
        <f t="shared" si="162"/>
        <v>15291.289999999999</v>
      </c>
      <c r="AR213" s="193">
        <f t="shared" si="163"/>
        <v>11333.055964979998</v>
      </c>
      <c r="AS213" s="123">
        <v>0</v>
      </c>
      <c r="AT213" s="123">
        <v>1764.6</v>
      </c>
      <c r="AU213" s="123">
        <v>0</v>
      </c>
      <c r="AV213" s="95">
        <f t="shared" si="153"/>
        <v>1764.6</v>
      </c>
      <c r="AW213" s="123">
        <v>0</v>
      </c>
      <c r="AX213" s="123">
        <v>1764.6</v>
      </c>
      <c r="AY213" s="123">
        <v>0</v>
      </c>
      <c r="AZ213" s="95">
        <f t="shared" si="154"/>
        <v>1764.6</v>
      </c>
      <c r="BA213" s="197">
        <f t="shared" si="155"/>
        <v>823.66234199999985</v>
      </c>
      <c r="BB213" s="94">
        <f t="shared" si="164"/>
        <v>2471.9899999999998</v>
      </c>
      <c r="BC213" s="105">
        <f t="shared" si="176"/>
        <v>5349.3913039799991</v>
      </c>
      <c r="BD213" s="94">
        <f t="shared" si="165"/>
        <v>7032.4499999999989</v>
      </c>
      <c r="BE213" s="94">
        <f t="shared" si="177"/>
        <v>3282.5366864999992</v>
      </c>
      <c r="BF213" s="94">
        <f t="shared" si="166"/>
        <v>4022.25</v>
      </c>
      <c r="BG213" s="94">
        <f t="shared" si="178"/>
        <v>1877.4656324999999</v>
      </c>
      <c r="BH213" s="94">
        <f t="shared" si="167"/>
        <v>13526.689999999999</v>
      </c>
      <c r="BI213" s="94">
        <f t="shared" si="168"/>
        <v>10509.393622979998</v>
      </c>
      <c r="BJ213" s="186">
        <f t="shared" si="169"/>
        <v>39179.78</v>
      </c>
      <c r="BK213" s="182">
        <f t="shared" si="170"/>
        <v>18289.25277924</v>
      </c>
      <c r="BL213" s="98">
        <f t="shared" si="171"/>
        <v>39179.78</v>
      </c>
      <c r="BM213" s="99">
        <f t="shared" si="174"/>
        <v>0</v>
      </c>
      <c r="BN213" s="99">
        <f t="shared" si="175"/>
        <v>1764.6</v>
      </c>
      <c r="BO213" s="121"/>
      <c r="BP213" s="121"/>
      <c r="BQ213" s="121"/>
      <c r="BR213" s="121"/>
      <c r="BS213" s="121"/>
      <c r="BT213" s="121"/>
      <c r="BU213" s="182">
        <v>0</v>
      </c>
      <c r="BV213" s="121"/>
      <c r="BW213" s="121"/>
      <c r="BX213" s="121"/>
      <c r="BY213" s="121"/>
      <c r="BZ213" s="121"/>
      <c r="CA213" s="95">
        <f t="shared" si="150"/>
        <v>0</v>
      </c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17">
        <v>0</v>
      </c>
      <c r="CP213" s="121"/>
      <c r="CQ213" s="121"/>
      <c r="CR213" s="117">
        <v>0</v>
      </c>
      <c r="CS213" s="113"/>
      <c r="CT213" s="113"/>
      <c r="CU213" s="187">
        <f>(BB213* AB213)+(BD213* AC213)+(BF213* AC213)+(S213+T213+U213+V213+W213+X213+Y213+Z213)</f>
        <v>8115.4936229799987</v>
      </c>
      <c r="CV213" s="187">
        <f>CU213-O213</f>
        <v>-3451.8463770200015</v>
      </c>
      <c r="CW213" s="240"/>
    </row>
    <row r="214" spans="1:101" s="51" customFormat="1" ht="19.899999999999999" customHeight="1" x14ac:dyDescent="0.3">
      <c r="A214" s="92" t="s">
        <v>314</v>
      </c>
      <c r="B214" s="49">
        <v>10024125537</v>
      </c>
      <c r="C214" s="92" t="s">
        <v>315</v>
      </c>
      <c r="D214" s="93" t="s">
        <v>316</v>
      </c>
      <c r="E214" s="93">
        <v>44838</v>
      </c>
      <c r="F214" s="105">
        <v>37705.879999999997</v>
      </c>
      <c r="G214" s="196">
        <v>0.53</v>
      </c>
      <c r="H214" s="106">
        <f t="shared" si="156"/>
        <v>19984.116399999999</v>
      </c>
      <c r="I214" s="104" t="s">
        <v>130</v>
      </c>
      <c r="J214" s="107" t="s">
        <v>317</v>
      </c>
      <c r="K214" s="50" t="s">
        <v>318</v>
      </c>
      <c r="L214" s="104"/>
      <c r="M214" s="108" t="s">
        <v>144</v>
      </c>
      <c r="N214" s="108" t="s">
        <v>145</v>
      </c>
      <c r="O214" s="193">
        <v>17595.84</v>
      </c>
      <c r="P214" s="193"/>
      <c r="Q214" s="193">
        <v>4873.4799999999996</v>
      </c>
      <c r="R214" s="109">
        <v>183.73</v>
      </c>
      <c r="S214" s="193">
        <f>166.68+43.86</f>
        <v>210.54000000000002</v>
      </c>
      <c r="T214" s="193">
        <v>0</v>
      </c>
      <c r="U214" s="193">
        <v>0</v>
      </c>
      <c r="V214" s="193">
        <v>0</v>
      </c>
      <c r="W214" s="193">
        <v>0</v>
      </c>
      <c r="X214" s="193">
        <v>0</v>
      </c>
      <c r="Y214" s="193">
        <v>0</v>
      </c>
      <c r="Z214" s="193">
        <f>466.19-395.1+743.05</f>
        <v>814.13999999999987</v>
      </c>
      <c r="AA214" s="193">
        <v>0</v>
      </c>
      <c r="AB214" s="194">
        <f>0.505318+1.704124</f>
        <v>2.2094420000000001</v>
      </c>
      <c r="AC214" s="194">
        <f>0.315464+0.161108</f>
        <v>0.476572</v>
      </c>
      <c r="AD214" s="106">
        <v>1.2</v>
      </c>
      <c r="AE214" s="118">
        <v>24142.92</v>
      </c>
      <c r="AF214" s="106">
        <v>0</v>
      </c>
      <c r="AG214" s="106">
        <f t="shared" si="172"/>
        <v>24144.12</v>
      </c>
      <c r="AH214" s="106">
        <f t="shared" si="173"/>
        <v>11508.491000639999</v>
      </c>
      <c r="AI214" s="106">
        <f t="shared" si="157"/>
        <v>1.2</v>
      </c>
      <c r="AJ214" s="106">
        <f t="shared" si="158"/>
        <v>10986.269999999999</v>
      </c>
      <c r="AK214" s="106">
        <f t="shared" si="159"/>
        <v>0</v>
      </c>
      <c r="AL214" s="132">
        <f t="shared" si="160"/>
        <v>10987.47</v>
      </c>
      <c r="AM214" s="198">
        <f t="shared" si="161"/>
        <v>5238.3999968399994</v>
      </c>
      <c r="AN214" s="123">
        <v>3021.87</v>
      </c>
      <c r="AO214" s="123">
        <v>14791.5</v>
      </c>
      <c r="AP214" s="123">
        <v>8900.85</v>
      </c>
      <c r="AQ214" s="95">
        <f t="shared" si="162"/>
        <v>26714.22</v>
      </c>
      <c r="AR214" s="183">
        <f t="shared" si="163"/>
        <v>17967.75712074</v>
      </c>
      <c r="AS214" s="123">
        <v>0</v>
      </c>
      <c r="AT214" s="123">
        <v>13156.65</v>
      </c>
      <c r="AU214" s="123">
        <v>0</v>
      </c>
      <c r="AV214" s="95">
        <f t="shared" si="153"/>
        <v>13156.65</v>
      </c>
      <c r="AW214" s="123">
        <v>0</v>
      </c>
      <c r="AX214" s="113">
        <v>13156.65</v>
      </c>
      <c r="AY214" s="123">
        <v>0</v>
      </c>
      <c r="AZ214" s="95">
        <f t="shared" si="154"/>
        <v>13156.65</v>
      </c>
      <c r="BA214" s="197">
        <f t="shared" si="155"/>
        <v>6270.0910038000002</v>
      </c>
      <c r="BB214" s="94">
        <f t="shared" si="164"/>
        <v>3021.87</v>
      </c>
      <c r="BC214" s="105">
        <f t="shared" si="176"/>
        <v>6676.64649654</v>
      </c>
      <c r="BD214" s="94">
        <f t="shared" si="165"/>
        <v>1634.8500000000004</v>
      </c>
      <c r="BE214" s="94">
        <f t="shared" si="177"/>
        <v>779.12373420000017</v>
      </c>
      <c r="BF214" s="94">
        <f t="shared" si="166"/>
        <v>8900.85</v>
      </c>
      <c r="BG214" s="94">
        <f t="shared" si="178"/>
        <v>4241.8958861999999</v>
      </c>
      <c r="BH214" s="94">
        <f t="shared" si="167"/>
        <v>13557.57</v>
      </c>
      <c r="BI214" s="94">
        <f t="shared" si="168"/>
        <v>11697.666116939999</v>
      </c>
      <c r="BJ214" s="186">
        <f t="shared" si="169"/>
        <v>24144.12</v>
      </c>
      <c r="BK214" s="182">
        <f t="shared" si="170"/>
        <v>11508.491000639999</v>
      </c>
      <c r="BL214" s="98">
        <f t="shared" si="171"/>
        <v>24144.12</v>
      </c>
      <c r="BM214" s="99">
        <f t="shared" si="174"/>
        <v>0</v>
      </c>
      <c r="BN214" s="99">
        <f t="shared" si="175"/>
        <v>13156.65</v>
      </c>
      <c r="BO214" s="121"/>
      <c r="BP214" s="121"/>
      <c r="BQ214" s="121"/>
      <c r="BR214" s="121"/>
      <c r="BS214" s="121"/>
      <c r="BT214" s="121"/>
      <c r="BU214" s="182">
        <v>0</v>
      </c>
      <c r="BV214" s="121"/>
      <c r="BW214" s="121"/>
      <c r="BX214" s="121"/>
      <c r="BY214" s="121"/>
      <c r="BZ214" s="121"/>
      <c r="CA214" s="95">
        <f t="shared" si="150"/>
        <v>0</v>
      </c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17">
        <v>0</v>
      </c>
      <c r="CP214" s="121"/>
      <c r="CQ214" s="121"/>
      <c r="CR214" s="117">
        <v>0</v>
      </c>
      <c r="CS214" s="113"/>
      <c r="CT214" s="113"/>
      <c r="CU214" s="187">
        <f>(BB214* AB214)+(BD214* AC214)+(BF214* AC214)+(S214+T214+U214+V214+W214+X214+Y214+Z214)</f>
        <v>12722.34611694</v>
      </c>
      <c r="CV214" s="187">
        <f>CU214-O214</f>
        <v>-4873.4938830600004</v>
      </c>
      <c r="CW214" s="240"/>
    </row>
    <row r="215" spans="1:101" s="51" customFormat="1" ht="19.899999999999999" customHeight="1" x14ac:dyDescent="0.3">
      <c r="A215" s="103" t="s">
        <v>314</v>
      </c>
      <c r="B215" s="50">
        <v>10024125537</v>
      </c>
      <c r="C215" s="103" t="s">
        <v>315</v>
      </c>
      <c r="D215" s="104" t="s">
        <v>316</v>
      </c>
      <c r="E215" s="104">
        <v>44838</v>
      </c>
      <c r="F215" s="94">
        <v>37705.879999999997</v>
      </c>
      <c r="G215" s="182">
        <v>0.53</v>
      </c>
      <c r="H215" s="95">
        <f t="shared" si="156"/>
        <v>19984.116399999999</v>
      </c>
      <c r="I215" s="93" t="s">
        <v>130</v>
      </c>
      <c r="J215" s="96" t="s">
        <v>317</v>
      </c>
      <c r="K215" s="49" t="s">
        <v>318</v>
      </c>
      <c r="L215" s="93"/>
      <c r="M215" s="97" t="s">
        <v>146</v>
      </c>
      <c r="N215" s="97" t="s">
        <v>147</v>
      </c>
      <c r="O215" s="183">
        <v>47518.33</v>
      </c>
      <c r="P215" s="183"/>
      <c r="Q215" s="183">
        <v>6481.88</v>
      </c>
      <c r="R215" s="131">
        <v>231.47</v>
      </c>
      <c r="S215" s="183">
        <f>26.49+26.49</f>
        <v>52.98</v>
      </c>
      <c r="T215" s="183">
        <v>0</v>
      </c>
      <c r="U215" s="183">
        <v>0</v>
      </c>
      <c r="V215" s="183">
        <v>0</v>
      </c>
      <c r="W215" s="183">
        <v>0</v>
      </c>
      <c r="X215" s="183">
        <v>0</v>
      </c>
      <c r="Y215" s="183">
        <v>0</v>
      </c>
      <c r="Z215" s="183">
        <f>3486.32+599.76-502.32</f>
        <v>3583.7599999999998</v>
      </c>
      <c r="AA215" s="183">
        <v>0</v>
      </c>
      <c r="AB215" s="184">
        <f>0.508283+1.778455</f>
        <v>2.2867379999999997</v>
      </c>
      <c r="AC215" s="184">
        <f>0.319708+0.146628</f>
        <v>0.46633599999999997</v>
      </c>
      <c r="AD215" s="95">
        <v>3.03</v>
      </c>
      <c r="AE215" s="95">
        <v>17134.82</v>
      </c>
      <c r="AF215" s="95">
        <v>7.0000000000000007E-2</v>
      </c>
      <c r="AG215" s="95">
        <f t="shared" si="172"/>
        <v>17137.919999999998</v>
      </c>
      <c r="AH215" s="95">
        <f t="shared" si="173"/>
        <v>7997.544879179999</v>
      </c>
      <c r="AI215" s="95">
        <f t="shared" si="157"/>
        <v>3.03</v>
      </c>
      <c r="AJ215" s="95">
        <f t="shared" si="158"/>
        <v>14202.47</v>
      </c>
      <c r="AK215" s="95">
        <f t="shared" si="159"/>
        <v>7.0000000000000007E-2</v>
      </c>
      <c r="AL215" s="133">
        <f t="shared" si="160"/>
        <v>14205.57</v>
      </c>
      <c r="AM215" s="199">
        <f t="shared" si="161"/>
        <v>6630.0845095799996</v>
      </c>
      <c r="AN215" s="123">
        <v>5876.89</v>
      </c>
      <c r="AO215" s="123">
        <v>34279.949999999997</v>
      </c>
      <c r="AP215" s="123">
        <v>20033.400000000001</v>
      </c>
      <c r="AQ215" s="106">
        <f t="shared" si="162"/>
        <v>60190.239999999998</v>
      </c>
      <c r="AR215" s="193">
        <f t="shared" si="163"/>
        <v>38767.178070419992</v>
      </c>
      <c r="AS215" s="123">
        <v>0</v>
      </c>
      <c r="AT215" s="123">
        <v>2932.35</v>
      </c>
      <c r="AU215" s="123">
        <v>0</v>
      </c>
      <c r="AV215" s="95">
        <f t="shared" si="153"/>
        <v>2932.35</v>
      </c>
      <c r="AW215" s="123">
        <v>0</v>
      </c>
      <c r="AX215" s="123">
        <v>2932.35</v>
      </c>
      <c r="AY215" s="123">
        <v>0</v>
      </c>
      <c r="AZ215" s="95">
        <f t="shared" si="154"/>
        <v>2932.35</v>
      </c>
      <c r="BA215" s="197">
        <f t="shared" si="155"/>
        <v>1367.4603695999999</v>
      </c>
      <c r="BB215" s="94">
        <f t="shared" si="164"/>
        <v>5876.89</v>
      </c>
      <c r="BC215" s="105">
        <f t="shared" si="176"/>
        <v>13438.907684819998</v>
      </c>
      <c r="BD215" s="94">
        <f t="shared" si="165"/>
        <v>31347.599999999999</v>
      </c>
      <c r="BE215" s="94">
        <f t="shared" si="177"/>
        <v>14618.514393599999</v>
      </c>
      <c r="BF215" s="94">
        <f t="shared" si="166"/>
        <v>20033.400000000001</v>
      </c>
      <c r="BG215" s="94">
        <f t="shared" si="178"/>
        <v>9342.2956224000009</v>
      </c>
      <c r="BH215" s="94">
        <f t="shared" si="167"/>
        <v>57257.89</v>
      </c>
      <c r="BI215" s="94">
        <f t="shared" si="168"/>
        <v>37399.717700819994</v>
      </c>
      <c r="BJ215" s="186">
        <f t="shared" si="169"/>
        <v>17137.919999999998</v>
      </c>
      <c r="BK215" s="182">
        <f t="shared" si="170"/>
        <v>7997.544879179999</v>
      </c>
      <c r="BL215" s="98">
        <f t="shared" si="171"/>
        <v>17137.919999999998</v>
      </c>
      <c r="BM215" s="99">
        <f t="shared" si="174"/>
        <v>0</v>
      </c>
      <c r="BN215" s="99">
        <f t="shared" si="175"/>
        <v>2932.35</v>
      </c>
      <c r="BO215" s="121"/>
      <c r="BP215" s="121"/>
      <c r="BQ215" s="121"/>
      <c r="BR215" s="121"/>
      <c r="BS215" s="121"/>
      <c r="BT215" s="121"/>
      <c r="BU215" s="182">
        <v>0</v>
      </c>
      <c r="BV215" s="121"/>
      <c r="BW215" s="121"/>
      <c r="BX215" s="121"/>
      <c r="BY215" s="121"/>
      <c r="BZ215" s="121"/>
      <c r="CA215" s="95">
        <f t="shared" si="150"/>
        <v>0</v>
      </c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17">
        <v>0</v>
      </c>
      <c r="CP215" s="121"/>
      <c r="CQ215" s="121"/>
      <c r="CR215" s="117">
        <v>0</v>
      </c>
      <c r="CS215" s="113"/>
      <c r="CT215" s="113"/>
      <c r="CU215" s="187">
        <f>(BB215* AB215)+(BD215* AC215)+(BF215* AC215)+(S215+T215+U215+V215+W215+X215+Y215+Z215)</f>
        <v>41036.457700819992</v>
      </c>
      <c r="CV215" s="187">
        <f>CU215-O215</f>
        <v>-6481.8722991800096</v>
      </c>
      <c r="CW215" s="240"/>
    </row>
    <row r="216" spans="1:101" s="51" customFormat="1" ht="19.899999999999999" customHeight="1" x14ac:dyDescent="0.3">
      <c r="A216" s="92" t="s">
        <v>314</v>
      </c>
      <c r="B216" s="49">
        <v>10024125537</v>
      </c>
      <c r="C216" s="92" t="s">
        <v>315</v>
      </c>
      <c r="D216" s="93" t="s">
        <v>316</v>
      </c>
      <c r="E216" s="93">
        <v>44838</v>
      </c>
      <c r="F216" s="105">
        <v>37705.879999999997</v>
      </c>
      <c r="G216" s="196">
        <v>0.53</v>
      </c>
      <c r="H216" s="106">
        <f t="shared" si="156"/>
        <v>19984.116399999999</v>
      </c>
      <c r="I216" s="104" t="s">
        <v>130</v>
      </c>
      <c r="J216" s="107" t="s">
        <v>317</v>
      </c>
      <c r="K216" s="50" t="s">
        <v>318</v>
      </c>
      <c r="L216" s="104"/>
      <c r="M216" s="108" t="s">
        <v>148</v>
      </c>
      <c r="N216" s="108" t="s">
        <v>149</v>
      </c>
      <c r="O216" s="193">
        <v>40981.120000000003</v>
      </c>
      <c r="P216" s="193"/>
      <c r="Q216" s="193">
        <v>9027.18</v>
      </c>
      <c r="R216" s="109">
        <v>297.91000000000003</v>
      </c>
      <c r="S216" s="193">
        <f>88.03+44.02+0.35</f>
        <v>132.4</v>
      </c>
      <c r="T216" s="193">
        <v>0</v>
      </c>
      <c r="U216" s="193">
        <v>0</v>
      </c>
      <c r="V216" s="193">
        <v>0</v>
      </c>
      <c r="W216" s="193">
        <v>0</v>
      </c>
      <c r="X216" s="193">
        <v>0</v>
      </c>
      <c r="Y216" s="193">
        <v>0</v>
      </c>
      <c r="Z216" s="193">
        <f>7751.64</f>
        <v>7751.64</v>
      </c>
      <c r="AA216" s="193">
        <v>0</v>
      </c>
      <c r="AB216" s="194">
        <f>0.505883+1.888463</f>
        <v>2.3943460000000001</v>
      </c>
      <c r="AC216" s="194">
        <f>0.117543+0.322605</f>
        <v>0.44014799999999998</v>
      </c>
      <c r="AD216" s="106">
        <v>10.15</v>
      </c>
      <c r="AE216" s="118">
        <v>22049.55</v>
      </c>
      <c r="AF216" s="106">
        <v>4.7300000000000004</v>
      </c>
      <c r="AG216" s="106">
        <f t="shared" si="172"/>
        <v>22064.43</v>
      </c>
      <c r="AH216" s="106">
        <f t="shared" si="173"/>
        <v>9731.4498453399992</v>
      </c>
      <c r="AI216" s="106">
        <f t="shared" si="157"/>
        <v>10.15</v>
      </c>
      <c r="AJ216" s="106">
        <f t="shared" si="158"/>
        <v>12681.599999999999</v>
      </c>
      <c r="AK216" s="106">
        <f t="shared" si="159"/>
        <v>4.7300000000000004</v>
      </c>
      <c r="AL216" s="132">
        <f t="shared" si="160"/>
        <v>12696.479999999998</v>
      </c>
      <c r="AM216" s="198">
        <f t="shared" si="161"/>
        <v>5608.1653887399989</v>
      </c>
      <c r="AN216" s="123">
        <v>2997.48</v>
      </c>
      <c r="AO216" s="123">
        <v>26884.2</v>
      </c>
      <c r="AP216" s="123">
        <v>20863.8</v>
      </c>
      <c r="AQ216" s="95">
        <f t="shared" si="162"/>
        <v>50745.479999999996</v>
      </c>
      <c r="AR216" s="183">
        <f t="shared" si="163"/>
        <v>28193.19095208</v>
      </c>
      <c r="AS216" s="123">
        <v>0</v>
      </c>
      <c r="AT216" s="123">
        <v>9367.9500000000007</v>
      </c>
      <c r="AU216" s="123">
        <v>0</v>
      </c>
      <c r="AV216" s="95">
        <f t="shared" si="153"/>
        <v>9367.9500000000007</v>
      </c>
      <c r="AW216" s="123">
        <v>0</v>
      </c>
      <c r="AX216" s="123">
        <v>9367.9500000000007</v>
      </c>
      <c r="AY216" s="123">
        <v>0</v>
      </c>
      <c r="AZ216" s="95">
        <f t="shared" si="154"/>
        <v>9367.9500000000007</v>
      </c>
      <c r="BA216" s="197">
        <f t="shared" si="155"/>
        <v>4123.2844566000003</v>
      </c>
      <c r="BB216" s="94">
        <f t="shared" si="164"/>
        <v>2997.48</v>
      </c>
      <c r="BC216" s="105">
        <f t="shared" si="176"/>
        <v>7177.0042480800003</v>
      </c>
      <c r="BD216" s="94">
        <f t="shared" si="165"/>
        <v>17516.25</v>
      </c>
      <c r="BE216" s="94">
        <f t="shared" si="177"/>
        <v>7709.742405</v>
      </c>
      <c r="BF216" s="94">
        <f t="shared" si="166"/>
        <v>20863.8</v>
      </c>
      <c r="BG216" s="94">
        <f t="shared" si="178"/>
        <v>9183.1598423999985</v>
      </c>
      <c r="BH216" s="94">
        <f t="shared" si="167"/>
        <v>41377.53</v>
      </c>
      <c r="BI216" s="94">
        <f t="shared" si="168"/>
        <v>24069.906495479998</v>
      </c>
      <c r="BJ216" s="186">
        <f t="shared" si="169"/>
        <v>22064.43</v>
      </c>
      <c r="BK216" s="182">
        <f t="shared" si="170"/>
        <v>9731.4498453399992</v>
      </c>
      <c r="BL216" s="98">
        <f t="shared" si="171"/>
        <v>22064.43</v>
      </c>
      <c r="BM216" s="99">
        <f t="shared" si="174"/>
        <v>0</v>
      </c>
      <c r="BN216" s="99">
        <f t="shared" si="175"/>
        <v>9367.9500000000007</v>
      </c>
      <c r="BO216" s="121"/>
      <c r="BP216" s="121"/>
      <c r="BQ216" s="121"/>
      <c r="BR216" s="121"/>
      <c r="BS216" s="121"/>
      <c r="BT216" s="121"/>
      <c r="BU216" s="182">
        <v>0</v>
      </c>
      <c r="BV216" s="121"/>
      <c r="BW216" s="121"/>
      <c r="BX216" s="121"/>
      <c r="BY216" s="121"/>
      <c r="BZ216" s="121"/>
      <c r="CA216" s="95">
        <f t="shared" si="150"/>
        <v>0</v>
      </c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17">
        <v>0</v>
      </c>
      <c r="CP216" s="121"/>
      <c r="CQ216" s="121"/>
      <c r="CR216" s="117">
        <v>0</v>
      </c>
      <c r="CS216" s="113"/>
      <c r="CT216" s="113"/>
      <c r="CU216" s="187">
        <f>(BB216* AB216)+(BD216* AC216)+(BF216* AC216)+(S216+T216+U216+V216+W216+X216+Y216+Z216)</f>
        <v>31953.946495479999</v>
      </c>
      <c r="CV216" s="187">
        <f>CU216-O216</f>
        <v>-9027.1735045200039</v>
      </c>
      <c r="CW216" s="240"/>
    </row>
    <row r="217" spans="1:101" s="51" customFormat="1" ht="19.899999999999999" customHeight="1" x14ac:dyDescent="0.3">
      <c r="A217" s="148" t="s">
        <v>314</v>
      </c>
      <c r="B217" s="50">
        <v>10024125537</v>
      </c>
      <c r="C217" s="148" t="s">
        <v>315</v>
      </c>
      <c r="D217" s="104" t="s">
        <v>316</v>
      </c>
      <c r="E217" s="104">
        <v>44838</v>
      </c>
      <c r="F217" s="94">
        <v>37705.879999999997</v>
      </c>
      <c r="G217" s="182">
        <v>0.53</v>
      </c>
      <c r="H217" s="95">
        <f t="shared" si="156"/>
        <v>19984.116399999999</v>
      </c>
      <c r="I217" s="93" t="s">
        <v>130</v>
      </c>
      <c r="J217" s="96" t="s">
        <v>317</v>
      </c>
      <c r="K217" s="49" t="s">
        <v>318</v>
      </c>
      <c r="L217" s="93"/>
      <c r="M217" s="97" t="s">
        <v>150</v>
      </c>
      <c r="N217" s="97" t="s">
        <v>151</v>
      </c>
      <c r="O217" s="183">
        <v>89589.98</v>
      </c>
      <c r="P217" s="183"/>
      <c r="Q217" s="183">
        <v>11909.2</v>
      </c>
      <c r="R217" s="131">
        <v>398.59</v>
      </c>
      <c r="S217" s="183">
        <f>329.84+8.68</f>
        <v>338.52</v>
      </c>
      <c r="T217" s="183">
        <v>0</v>
      </c>
      <c r="U217" s="183">
        <v>0</v>
      </c>
      <c r="V217" s="183">
        <v>0</v>
      </c>
      <c r="W217" s="183">
        <v>0</v>
      </c>
      <c r="X217" s="183">
        <v>0</v>
      </c>
      <c r="Y217" s="183">
        <v>0</v>
      </c>
      <c r="Z217" s="183">
        <f>13659.83-6635.58</f>
        <v>7024.25</v>
      </c>
      <c r="AA217" s="183">
        <v>0</v>
      </c>
      <c r="AB217" s="184">
        <f>0.498807+1.862043</f>
        <v>2.3608500000000001</v>
      </c>
      <c r="AC217" s="184">
        <f>0.318092+0.115899</f>
        <v>0.43399100000000002</v>
      </c>
      <c r="AD217" s="95">
        <v>33.99</v>
      </c>
      <c r="AE217" s="95">
        <v>23483.14</v>
      </c>
      <c r="AF217" s="95">
        <v>1.92</v>
      </c>
      <c r="AG217" s="95">
        <f t="shared" si="172"/>
        <v>23519.05</v>
      </c>
      <c r="AH217" s="95">
        <f t="shared" si="173"/>
        <v>10272.549965959999</v>
      </c>
      <c r="AI217" s="95">
        <f t="shared" si="157"/>
        <v>33.99</v>
      </c>
      <c r="AJ217" s="95">
        <f t="shared" si="158"/>
        <v>23431.239999999998</v>
      </c>
      <c r="AK217" s="95">
        <f t="shared" si="159"/>
        <v>1.92</v>
      </c>
      <c r="AL217" s="133">
        <f t="shared" si="160"/>
        <v>23467.149999999998</v>
      </c>
      <c r="AM217" s="199">
        <f t="shared" si="161"/>
        <v>10250.025833059999</v>
      </c>
      <c r="AN217" s="123">
        <v>9067.44</v>
      </c>
      <c r="AO217" s="123">
        <v>76734.149999999994</v>
      </c>
      <c r="AP217" s="123">
        <v>36018.6</v>
      </c>
      <c r="AQ217" s="106">
        <f t="shared" si="162"/>
        <v>121820.19</v>
      </c>
      <c r="AR217" s="193">
        <f t="shared" si="163"/>
        <v>70340.54444925001</v>
      </c>
      <c r="AS217" s="123">
        <v>0</v>
      </c>
      <c r="AT217" s="113">
        <v>51.9</v>
      </c>
      <c r="AU217" s="123">
        <v>0</v>
      </c>
      <c r="AV217" s="95">
        <f t="shared" si="153"/>
        <v>51.9</v>
      </c>
      <c r="AW217" s="123">
        <v>0</v>
      </c>
      <c r="AX217" s="113">
        <v>51.9</v>
      </c>
      <c r="AY217" s="123">
        <v>0</v>
      </c>
      <c r="AZ217" s="95">
        <f t="shared" si="154"/>
        <v>51.9</v>
      </c>
      <c r="BA217" s="197">
        <f t="shared" si="155"/>
        <v>22.524132900000001</v>
      </c>
      <c r="BB217" s="94">
        <f t="shared" si="164"/>
        <v>9067.44</v>
      </c>
      <c r="BC217" s="105">
        <f t="shared" si="176"/>
        <v>21406.865724000003</v>
      </c>
      <c r="BD217" s="94">
        <f t="shared" si="165"/>
        <v>76682.25</v>
      </c>
      <c r="BE217" s="94">
        <f t="shared" si="177"/>
        <v>33279.406359749999</v>
      </c>
      <c r="BF217" s="94">
        <f t="shared" si="166"/>
        <v>36018.6</v>
      </c>
      <c r="BG217" s="94">
        <f t="shared" si="178"/>
        <v>15631.748232599999</v>
      </c>
      <c r="BH217" s="94">
        <f t="shared" si="167"/>
        <v>121768.29000000001</v>
      </c>
      <c r="BI217" s="94">
        <f t="shared" si="168"/>
        <v>70318.020316349997</v>
      </c>
      <c r="BJ217" s="186">
        <f t="shared" si="169"/>
        <v>23519.05</v>
      </c>
      <c r="BK217" s="182">
        <f t="shared" si="170"/>
        <v>10272.549965959999</v>
      </c>
      <c r="BL217" s="98">
        <f t="shared" si="171"/>
        <v>23519.05</v>
      </c>
      <c r="BM217" s="99">
        <f t="shared" si="174"/>
        <v>0</v>
      </c>
      <c r="BN217" s="99">
        <f t="shared" si="175"/>
        <v>51.9</v>
      </c>
      <c r="BO217" s="121"/>
      <c r="BP217" s="121"/>
      <c r="BQ217" s="121"/>
      <c r="BR217" s="121"/>
      <c r="BS217" s="121"/>
      <c r="BT217" s="121"/>
      <c r="BU217" s="182">
        <v>0</v>
      </c>
      <c r="BV217" s="121"/>
      <c r="BW217" s="121"/>
      <c r="BX217" s="121"/>
      <c r="BY217" s="121"/>
      <c r="BZ217" s="121"/>
      <c r="CA217" s="95">
        <f t="shared" si="150"/>
        <v>0</v>
      </c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17">
        <v>0</v>
      </c>
      <c r="CP217" s="121"/>
      <c r="CQ217" s="121"/>
      <c r="CR217" s="117">
        <v>0</v>
      </c>
      <c r="CS217" s="114"/>
      <c r="CT217" s="113"/>
      <c r="CU217" s="187">
        <f>(BB217* AB217)+(BD217* AC217)+(BF217* AC217)+(S217+T217+U217+V217+W217+X217+Y217+Z217)</f>
        <v>77680.790316350001</v>
      </c>
      <c r="CV217" s="187">
        <f>CU217-O217</f>
        <v>-11909.189683649995</v>
      </c>
      <c r="CW217" s="240"/>
    </row>
    <row r="218" spans="1:101" s="51" customFormat="1" ht="19.899999999999999" customHeight="1" x14ac:dyDescent="0.3">
      <c r="A218" s="92"/>
      <c r="B218" s="49">
        <v>10016165320</v>
      </c>
      <c r="C218" s="92" t="s">
        <v>320</v>
      </c>
      <c r="D218" s="93" t="s">
        <v>321</v>
      </c>
      <c r="E218" s="93" t="s">
        <v>141</v>
      </c>
      <c r="F218" s="105">
        <v>108566</v>
      </c>
      <c r="G218" s="196">
        <v>0.49890000000000001</v>
      </c>
      <c r="H218" s="106">
        <f t="shared" si="156"/>
        <v>54163.577400000002</v>
      </c>
      <c r="I218" s="104" t="s">
        <v>152</v>
      </c>
      <c r="J218" s="107" t="s">
        <v>322</v>
      </c>
      <c r="K218" s="50" t="s">
        <v>323</v>
      </c>
      <c r="L218" s="104"/>
      <c r="M218" s="108" t="s">
        <v>141</v>
      </c>
      <c r="N218" s="108" t="s">
        <v>142</v>
      </c>
      <c r="O218" s="193">
        <v>313230.2</v>
      </c>
      <c r="P218" s="193"/>
      <c r="Q218" s="193">
        <v>14861.32</v>
      </c>
      <c r="R218" s="109"/>
      <c r="S218" s="193">
        <v>75.739999999999995</v>
      </c>
      <c r="T218" s="193"/>
      <c r="U218" s="193">
        <v>138.72</v>
      </c>
      <c r="V218" s="193"/>
      <c r="W218" s="193"/>
      <c r="X218" s="193"/>
      <c r="Y218" s="193"/>
      <c r="Z218" s="193">
        <f>111.1+13141.23+51.5+47.44+(8.87+26.61-380)+949.74-0.13</f>
        <v>13956.36</v>
      </c>
      <c r="AA218" s="193"/>
      <c r="AB218" s="194">
        <f>0.271218+0.842748</f>
        <v>1.113966</v>
      </c>
      <c r="AC218" s="194">
        <f>0.271218+0.145585</f>
        <v>0.41680300000000003</v>
      </c>
      <c r="AD218" s="106">
        <v>0</v>
      </c>
      <c r="AE218" s="118">
        <v>10784.5</v>
      </c>
      <c r="AF218" s="106">
        <v>0</v>
      </c>
      <c r="AG218" s="106">
        <f t="shared" si="172"/>
        <v>10784.5</v>
      </c>
      <c r="AH218" s="106">
        <f t="shared" si="173"/>
        <v>4495.0119535000003</v>
      </c>
      <c r="AI218" s="106">
        <f t="shared" si="157"/>
        <v>0</v>
      </c>
      <c r="AJ218" s="106">
        <f t="shared" si="158"/>
        <v>10784.5</v>
      </c>
      <c r="AK218" s="106">
        <f t="shared" si="159"/>
        <v>0</v>
      </c>
      <c r="AL218" s="132">
        <f t="shared" si="160"/>
        <v>10784.5</v>
      </c>
      <c r="AM218" s="198">
        <f t="shared" si="161"/>
        <v>4495.0119535000003</v>
      </c>
      <c r="AN218" s="113">
        <v>60220.23</v>
      </c>
      <c r="AO218" s="113">
        <v>520905</v>
      </c>
      <c r="AP218" s="113"/>
      <c r="AQ218" s="95">
        <f t="shared" si="162"/>
        <v>581125.23</v>
      </c>
      <c r="AR218" s="183">
        <f t="shared" si="163"/>
        <v>284198.05544718</v>
      </c>
      <c r="AS218" s="113"/>
      <c r="AT218" s="113"/>
      <c r="AU218" s="113"/>
      <c r="AV218" s="95">
        <f t="shared" si="153"/>
        <v>0</v>
      </c>
      <c r="AW218" s="113"/>
      <c r="AX218" s="113"/>
      <c r="AY218" s="113"/>
      <c r="AZ218" s="95">
        <f t="shared" si="154"/>
        <v>0</v>
      </c>
      <c r="BA218" s="185">
        <f t="shared" si="155"/>
        <v>0</v>
      </c>
      <c r="BB218" s="94">
        <f t="shared" si="164"/>
        <v>60220.23</v>
      </c>
      <c r="BC218" s="94">
        <f t="shared" si="176"/>
        <v>67083.288732180008</v>
      </c>
      <c r="BD218" s="94">
        <f t="shared" si="165"/>
        <v>520905</v>
      </c>
      <c r="BE218" s="94">
        <f t="shared" si="177"/>
        <v>217114.76671500001</v>
      </c>
      <c r="BF218" s="94">
        <f t="shared" si="166"/>
        <v>0</v>
      </c>
      <c r="BG218" s="94">
        <f t="shared" si="178"/>
        <v>0</v>
      </c>
      <c r="BH218" s="94">
        <f t="shared" si="167"/>
        <v>581125.23</v>
      </c>
      <c r="BI218" s="94">
        <f t="shared" si="168"/>
        <v>284198.05544718</v>
      </c>
      <c r="BJ218" s="214">
        <f t="shared" si="169"/>
        <v>10784.5</v>
      </c>
      <c r="BK218" s="182">
        <f t="shared" si="170"/>
        <v>4495.0119535000003</v>
      </c>
      <c r="BL218" s="95">
        <f t="shared" si="171"/>
        <v>10784.5</v>
      </c>
      <c r="BM218" s="95">
        <f t="shared" si="174"/>
        <v>0</v>
      </c>
      <c r="BN218" s="95">
        <f t="shared" si="175"/>
        <v>0</v>
      </c>
      <c r="BO218" s="121"/>
      <c r="BP218" s="121"/>
      <c r="BQ218" s="121"/>
      <c r="BR218" s="121"/>
      <c r="BS218" s="121"/>
      <c r="BT218" s="121"/>
      <c r="BU218" s="182"/>
      <c r="BV218" s="121"/>
      <c r="BW218" s="121"/>
      <c r="BX218" s="121"/>
      <c r="BY218" s="121"/>
      <c r="BZ218" s="121"/>
      <c r="CA218" s="95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17"/>
      <c r="CP218" s="121"/>
      <c r="CQ218" s="121"/>
      <c r="CR218" s="117"/>
      <c r="CS218" s="113"/>
      <c r="CT218" s="113"/>
      <c r="CU218" s="187"/>
      <c r="CV218" s="187"/>
      <c r="CW218" s="240">
        <f t="shared" ref="CW218:CW225" si="179">((AG218*G218)-AH218)</f>
        <v>885.37509649999993</v>
      </c>
    </row>
    <row r="219" spans="1:101" s="51" customFormat="1" ht="19.899999999999999" customHeight="1" x14ac:dyDescent="0.3">
      <c r="A219" s="103"/>
      <c r="B219" s="50">
        <v>10016165320</v>
      </c>
      <c r="C219" s="103" t="s">
        <v>320</v>
      </c>
      <c r="D219" s="104" t="s">
        <v>321</v>
      </c>
      <c r="E219" s="104" t="s">
        <v>141</v>
      </c>
      <c r="F219" s="94">
        <v>108566</v>
      </c>
      <c r="G219" s="182">
        <v>0.49890000000000001</v>
      </c>
      <c r="H219" s="95">
        <f t="shared" si="156"/>
        <v>54163.577400000002</v>
      </c>
      <c r="I219" s="93" t="s">
        <v>152</v>
      </c>
      <c r="J219" s="96" t="s">
        <v>322</v>
      </c>
      <c r="K219" s="49" t="s">
        <v>323</v>
      </c>
      <c r="L219" s="93"/>
      <c r="M219" s="97" t="s">
        <v>130</v>
      </c>
      <c r="N219" s="97" t="s">
        <v>143</v>
      </c>
      <c r="O219" s="183">
        <v>318217.39</v>
      </c>
      <c r="P219" s="183"/>
      <c r="Q219" s="183">
        <v>14464.1</v>
      </c>
      <c r="R219" s="131"/>
      <c r="S219" s="183">
        <v>1432.9</v>
      </c>
      <c r="T219" s="183"/>
      <c r="U219" s="183">
        <v>138.72</v>
      </c>
      <c r="V219" s="183"/>
      <c r="W219" s="183"/>
      <c r="X219" s="183"/>
      <c r="Y219" s="183"/>
      <c r="Z219" s="183">
        <f>(7.56+21.23-380)+110.34+12364.05+235.89+47.44+851.25+0.2</f>
        <v>13257.96</v>
      </c>
      <c r="AA219" s="183"/>
      <c r="AB219" s="184">
        <f>0.269134+0.820223</f>
        <v>1.0893570000000001</v>
      </c>
      <c r="AC219" s="184">
        <f>0.141693+0.269134</f>
        <v>0.410827</v>
      </c>
      <c r="AD219" s="95">
        <v>0</v>
      </c>
      <c r="AE219" s="95">
        <v>53285.4</v>
      </c>
      <c r="AF219" s="95">
        <v>0</v>
      </c>
      <c r="AG219" s="95">
        <f t="shared" si="172"/>
        <v>53285.4</v>
      </c>
      <c r="AH219" s="95">
        <f t="shared" si="173"/>
        <v>21891.081025800002</v>
      </c>
      <c r="AI219" s="95">
        <f t="shared" si="157"/>
        <v>0</v>
      </c>
      <c r="AJ219" s="95">
        <f t="shared" si="158"/>
        <v>53285.4</v>
      </c>
      <c r="AK219" s="95">
        <f t="shared" si="159"/>
        <v>0</v>
      </c>
      <c r="AL219" s="133">
        <f t="shared" si="160"/>
        <v>53285.4</v>
      </c>
      <c r="AM219" s="199">
        <f t="shared" si="161"/>
        <v>21891.081025800002</v>
      </c>
      <c r="AN219" s="120">
        <v>69627.600000000006</v>
      </c>
      <c r="AO219" s="120">
        <v>518647.5</v>
      </c>
      <c r="AP219" s="120"/>
      <c r="AQ219" s="118">
        <f t="shared" si="162"/>
        <v>588275.1</v>
      </c>
      <c r="AR219" s="189">
        <f t="shared" si="163"/>
        <v>288923.7099357</v>
      </c>
      <c r="AS219" s="120"/>
      <c r="AT219" s="120"/>
      <c r="AU219" s="120"/>
      <c r="AV219" s="118">
        <f t="shared" si="153"/>
        <v>0</v>
      </c>
      <c r="AW219" s="120"/>
      <c r="AX219" s="120"/>
      <c r="AY219" s="120"/>
      <c r="AZ219" s="118">
        <f t="shared" si="154"/>
        <v>0</v>
      </c>
      <c r="BA219" s="197">
        <f t="shared" si="155"/>
        <v>0</v>
      </c>
      <c r="BB219" s="105">
        <f t="shared" si="164"/>
        <v>69627.600000000006</v>
      </c>
      <c r="BC219" s="105">
        <f t="shared" si="176"/>
        <v>75849.313453200011</v>
      </c>
      <c r="BD219" s="105">
        <f t="shared" si="165"/>
        <v>518647.5</v>
      </c>
      <c r="BE219" s="105">
        <f t="shared" si="177"/>
        <v>213074.39648249999</v>
      </c>
      <c r="BF219" s="105">
        <f t="shared" si="166"/>
        <v>0</v>
      </c>
      <c r="BG219" s="105">
        <f t="shared" si="178"/>
        <v>0</v>
      </c>
      <c r="BH219" s="105">
        <f t="shared" si="167"/>
        <v>588275.1</v>
      </c>
      <c r="BI219" s="105">
        <f t="shared" si="168"/>
        <v>288923.7099357</v>
      </c>
      <c r="BJ219" s="186">
        <f t="shared" si="169"/>
        <v>53285.4</v>
      </c>
      <c r="BK219" s="188">
        <f t="shared" si="170"/>
        <v>21891.081025800002</v>
      </c>
      <c r="BL219" s="98">
        <f t="shared" si="171"/>
        <v>53285.4</v>
      </c>
      <c r="BM219" s="99">
        <f t="shared" si="174"/>
        <v>0</v>
      </c>
      <c r="BN219" s="99">
        <f t="shared" si="175"/>
        <v>0</v>
      </c>
      <c r="BO219" s="124"/>
      <c r="BP219" s="124"/>
      <c r="BQ219" s="124"/>
      <c r="BR219" s="124"/>
      <c r="BS219" s="124"/>
      <c r="BT219" s="124"/>
      <c r="BU219" s="188"/>
      <c r="BV219" s="124"/>
      <c r="BW219" s="124"/>
      <c r="BX219" s="124"/>
      <c r="BY219" s="124"/>
      <c r="BZ219" s="124"/>
      <c r="CA219" s="118"/>
      <c r="CB219" s="124"/>
      <c r="CC219" s="124"/>
      <c r="CD219" s="124"/>
      <c r="CE219" s="124"/>
      <c r="CF219" s="124"/>
      <c r="CG219" s="124"/>
      <c r="CH219" s="124"/>
      <c r="CI219" s="124"/>
      <c r="CJ219" s="124"/>
      <c r="CK219" s="124"/>
      <c r="CL219" s="124"/>
      <c r="CM219" s="124"/>
      <c r="CN219" s="124"/>
      <c r="CO219" s="119"/>
      <c r="CP219" s="124"/>
      <c r="CQ219" s="124"/>
      <c r="CR219" s="119"/>
      <c r="CS219" s="120"/>
      <c r="CT219" s="120"/>
      <c r="CU219" s="187"/>
      <c r="CV219" s="187"/>
      <c r="CW219" s="240">
        <f t="shared" si="179"/>
        <v>4693.0050341999995</v>
      </c>
    </row>
    <row r="220" spans="1:101" s="51" customFormat="1" ht="19.899999999999999" customHeight="1" x14ac:dyDescent="0.3">
      <c r="A220" s="92"/>
      <c r="B220" s="49">
        <v>10016165320</v>
      </c>
      <c r="C220" s="92" t="s">
        <v>320</v>
      </c>
      <c r="D220" s="93" t="s">
        <v>321</v>
      </c>
      <c r="E220" s="93" t="s">
        <v>141</v>
      </c>
      <c r="F220" s="105">
        <v>108566</v>
      </c>
      <c r="G220" s="196">
        <v>0.49890000000000001</v>
      </c>
      <c r="H220" s="106">
        <f t="shared" si="156"/>
        <v>54163.577400000002</v>
      </c>
      <c r="I220" s="104" t="s">
        <v>152</v>
      </c>
      <c r="J220" s="107" t="s">
        <v>322</v>
      </c>
      <c r="K220" s="50" t="s">
        <v>323</v>
      </c>
      <c r="L220" s="104"/>
      <c r="M220" s="108" t="s">
        <v>144</v>
      </c>
      <c r="N220" s="108" t="s">
        <v>145</v>
      </c>
      <c r="O220" s="193">
        <v>275041.34999999998</v>
      </c>
      <c r="P220" s="193"/>
      <c r="Q220" s="193">
        <v>15056.03</v>
      </c>
      <c r="R220" s="109"/>
      <c r="S220" s="193">
        <v>2208.1799999999998</v>
      </c>
      <c r="T220" s="193"/>
      <c r="U220" s="193">
        <v>138.72</v>
      </c>
      <c r="V220" s="193"/>
      <c r="W220" s="193"/>
      <c r="X220" s="193"/>
      <c r="Y220" s="193"/>
      <c r="Z220" s="193">
        <f>-33624.9-380+(4.1+11.55)+ 307.77+109.53+ 8898+11554.29+47.44-0.14</f>
        <v>-13072.360000000002</v>
      </c>
      <c r="AA220" s="193"/>
      <c r="AB220" s="194">
        <f>0.837446+0.27788</f>
        <v>1.115326</v>
      </c>
      <c r="AC220" s="194">
        <f>0.144669+0.27788</f>
        <v>0.42254900000000001</v>
      </c>
      <c r="AD220" s="106">
        <v>0</v>
      </c>
      <c r="AE220" s="118">
        <v>87248.5</v>
      </c>
      <c r="AF220" s="106">
        <v>0</v>
      </c>
      <c r="AG220" s="106">
        <f t="shared" si="172"/>
        <v>87248.5</v>
      </c>
      <c r="AH220" s="106">
        <f t="shared" si="173"/>
        <v>36866.766426499998</v>
      </c>
      <c r="AI220" s="106">
        <f t="shared" si="157"/>
        <v>0</v>
      </c>
      <c r="AJ220" s="106">
        <f t="shared" si="158"/>
        <v>87248.5</v>
      </c>
      <c r="AK220" s="106">
        <f t="shared" si="159"/>
        <v>0</v>
      </c>
      <c r="AL220" s="132">
        <f t="shared" si="160"/>
        <v>87248.5</v>
      </c>
      <c r="AM220" s="198">
        <f t="shared" si="161"/>
        <v>36866.766426499998</v>
      </c>
      <c r="AN220" s="113">
        <v>60749.43</v>
      </c>
      <c r="AO220" s="113">
        <v>480312</v>
      </c>
      <c r="AP220" s="113"/>
      <c r="AQ220" s="95">
        <f t="shared" si="162"/>
        <v>541061.43000000005</v>
      </c>
      <c r="AR220" s="183">
        <f t="shared" si="163"/>
        <v>270710.77405218</v>
      </c>
      <c r="AS220" s="113"/>
      <c r="AT220" s="113"/>
      <c r="AU220" s="113"/>
      <c r="AV220" s="95">
        <f t="shared" si="153"/>
        <v>0</v>
      </c>
      <c r="AW220" s="113"/>
      <c r="AX220" s="113"/>
      <c r="AY220" s="113"/>
      <c r="AZ220" s="95">
        <f t="shared" si="154"/>
        <v>0</v>
      </c>
      <c r="BA220" s="185">
        <f t="shared" si="155"/>
        <v>0</v>
      </c>
      <c r="BB220" s="94">
        <f t="shared" si="164"/>
        <v>60749.43</v>
      </c>
      <c r="BC220" s="94">
        <f t="shared" si="176"/>
        <v>67755.418764180009</v>
      </c>
      <c r="BD220" s="94">
        <f t="shared" si="165"/>
        <v>480312</v>
      </c>
      <c r="BE220" s="94">
        <f t="shared" si="177"/>
        <v>202955.35528799999</v>
      </c>
      <c r="BF220" s="94">
        <f t="shared" si="166"/>
        <v>0</v>
      </c>
      <c r="BG220" s="94">
        <f t="shared" si="178"/>
        <v>0</v>
      </c>
      <c r="BH220" s="94">
        <f t="shared" si="167"/>
        <v>541061.43000000005</v>
      </c>
      <c r="BI220" s="94">
        <f t="shared" si="168"/>
        <v>270710.77405218</v>
      </c>
      <c r="BJ220" s="214">
        <f t="shared" si="169"/>
        <v>87248.5</v>
      </c>
      <c r="BK220" s="182">
        <f t="shared" si="170"/>
        <v>36866.766426499998</v>
      </c>
      <c r="BL220" s="95">
        <f t="shared" si="171"/>
        <v>87248.5</v>
      </c>
      <c r="BM220" s="95">
        <f t="shared" si="174"/>
        <v>0</v>
      </c>
      <c r="BN220" s="95">
        <f t="shared" si="175"/>
        <v>0</v>
      </c>
      <c r="BO220" s="121"/>
      <c r="BP220" s="121"/>
      <c r="BQ220" s="121"/>
      <c r="BR220" s="121"/>
      <c r="BS220" s="121"/>
      <c r="BT220" s="121"/>
      <c r="BU220" s="182"/>
      <c r="BV220" s="121"/>
      <c r="BW220" s="121"/>
      <c r="BX220" s="121"/>
      <c r="BY220" s="121"/>
      <c r="BZ220" s="121"/>
      <c r="CA220" s="95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17"/>
      <c r="CP220" s="121"/>
      <c r="CQ220" s="121"/>
      <c r="CR220" s="117"/>
      <c r="CS220" s="113"/>
      <c r="CT220" s="113"/>
      <c r="CU220" s="187"/>
      <c r="CV220" s="187"/>
      <c r="CW220" s="240">
        <f t="shared" si="179"/>
        <v>6661.5102235000013</v>
      </c>
    </row>
    <row r="221" spans="1:101" s="51" customFormat="1" ht="19.899999999999999" customHeight="1" x14ac:dyDescent="0.3">
      <c r="A221" s="148"/>
      <c r="B221" s="50">
        <v>10016165320</v>
      </c>
      <c r="C221" s="148" t="s">
        <v>320</v>
      </c>
      <c r="D221" s="104" t="s">
        <v>321</v>
      </c>
      <c r="E221" s="104" t="s">
        <v>141</v>
      </c>
      <c r="F221" s="94">
        <v>108566</v>
      </c>
      <c r="G221" s="182">
        <v>0.49890000000000001</v>
      </c>
      <c r="H221" s="95">
        <f t="shared" si="156"/>
        <v>54163.577400000002</v>
      </c>
      <c r="I221" s="93" t="s">
        <v>152</v>
      </c>
      <c r="J221" s="96" t="s">
        <v>322</v>
      </c>
      <c r="K221" s="49" t="s">
        <v>323</v>
      </c>
      <c r="L221" s="93"/>
      <c r="M221" s="97" t="s">
        <v>146</v>
      </c>
      <c r="N221" s="97" t="s">
        <v>147</v>
      </c>
      <c r="O221" s="183">
        <v>314907.06</v>
      </c>
      <c r="P221" s="183"/>
      <c r="Q221" s="183">
        <v>15479.53</v>
      </c>
      <c r="R221" s="131"/>
      <c r="S221" s="183">
        <v>2488.31</v>
      </c>
      <c r="T221" s="183"/>
      <c r="U221" s="183">
        <v>138.72</v>
      </c>
      <c r="V221" s="183"/>
      <c r="W221" s="183"/>
      <c r="X221" s="183"/>
      <c r="Y221" s="183"/>
      <c r="Z221" s="183">
        <f>246.22+7.32+24.15+246.22-380+109.01+11633.12+1900.55+47.44+464.76-0.08</f>
        <v>14298.710000000001</v>
      </c>
      <c r="AA221" s="183"/>
      <c r="AB221" s="184">
        <f>0.857968+0.270988</f>
        <v>1.1289560000000001</v>
      </c>
      <c r="AC221" s="184">
        <f>0.130922+0.270988</f>
        <v>0.40190999999999999</v>
      </c>
      <c r="AD221" s="95">
        <v>0</v>
      </c>
      <c r="AE221" s="95">
        <v>23180.2</v>
      </c>
      <c r="AF221" s="95">
        <v>0</v>
      </c>
      <c r="AG221" s="95">
        <f t="shared" si="172"/>
        <v>23180.2</v>
      </c>
      <c r="AH221" s="95">
        <f t="shared" si="173"/>
        <v>9316.3541820000009</v>
      </c>
      <c r="AI221" s="95">
        <f t="shared" si="157"/>
        <v>0</v>
      </c>
      <c r="AJ221" s="95">
        <f t="shared" si="158"/>
        <v>23180.2</v>
      </c>
      <c r="AK221" s="95">
        <f t="shared" si="159"/>
        <v>0</v>
      </c>
      <c r="AL221" s="133">
        <f t="shared" si="160"/>
        <v>23180.2</v>
      </c>
      <c r="AM221" s="199">
        <f t="shared" si="161"/>
        <v>9316.3541820000009</v>
      </c>
      <c r="AN221" s="120">
        <v>65294.46</v>
      </c>
      <c r="AO221" s="120">
        <v>519487.5</v>
      </c>
      <c r="AP221" s="120"/>
      <c r="AQ221" s="118">
        <f t="shared" si="162"/>
        <v>584781.96</v>
      </c>
      <c r="AR221" s="189">
        <f t="shared" si="163"/>
        <v>282501.79350875999</v>
      </c>
      <c r="AS221" s="120"/>
      <c r="AT221" s="120"/>
      <c r="AU221" s="120"/>
      <c r="AV221" s="118">
        <f t="shared" ref="AV221:AV252" si="180">SUM(AS221:AU221)</f>
        <v>0</v>
      </c>
      <c r="AW221" s="120"/>
      <c r="AX221" s="120"/>
      <c r="AY221" s="120"/>
      <c r="AZ221" s="118">
        <f t="shared" ref="AZ221:AZ252" si="181">SUM(AW221:AY221)</f>
        <v>0</v>
      </c>
      <c r="BA221" s="197">
        <f t="shared" si="155"/>
        <v>0</v>
      </c>
      <c r="BB221" s="105">
        <f t="shared" si="164"/>
        <v>65294.46</v>
      </c>
      <c r="BC221" s="105">
        <f t="shared" si="176"/>
        <v>73714.572383760009</v>
      </c>
      <c r="BD221" s="105">
        <f t="shared" si="165"/>
        <v>519487.5</v>
      </c>
      <c r="BE221" s="105">
        <f t="shared" si="177"/>
        <v>208787.22112499998</v>
      </c>
      <c r="BF221" s="105">
        <f t="shared" si="166"/>
        <v>0</v>
      </c>
      <c r="BG221" s="105">
        <f t="shared" si="178"/>
        <v>0</v>
      </c>
      <c r="BH221" s="105">
        <f t="shared" si="167"/>
        <v>584781.96</v>
      </c>
      <c r="BI221" s="105">
        <f t="shared" si="168"/>
        <v>282501.79350875999</v>
      </c>
      <c r="BJ221" s="186">
        <f t="shared" si="169"/>
        <v>23180.2</v>
      </c>
      <c r="BK221" s="188">
        <f t="shared" si="170"/>
        <v>9316.3541820000009</v>
      </c>
      <c r="BL221" s="98">
        <f t="shared" si="171"/>
        <v>23180.2</v>
      </c>
      <c r="BM221" s="99">
        <f t="shared" si="174"/>
        <v>0</v>
      </c>
      <c r="BN221" s="99">
        <f t="shared" si="175"/>
        <v>0</v>
      </c>
      <c r="BO221" s="124"/>
      <c r="BP221" s="124"/>
      <c r="BQ221" s="124"/>
      <c r="BR221" s="124"/>
      <c r="BS221" s="124"/>
      <c r="BT221" s="124"/>
      <c r="BU221" s="188"/>
      <c r="BV221" s="124"/>
      <c r="BW221" s="124"/>
      <c r="BX221" s="124"/>
      <c r="BY221" s="124"/>
      <c r="BZ221" s="124"/>
      <c r="CA221" s="118"/>
      <c r="CB221" s="124"/>
      <c r="CC221" s="124"/>
      <c r="CD221" s="124"/>
      <c r="CE221" s="124"/>
      <c r="CF221" s="124"/>
      <c r="CG221" s="124"/>
      <c r="CH221" s="124"/>
      <c r="CI221" s="124"/>
      <c r="CJ221" s="124"/>
      <c r="CK221" s="124"/>
      <c r="CL221" s="124"/>
      <c r="CM221" s="124"/>
      <c r="CN221" s="124"/>
      <c r="CO221" s="119"/>
      <c r="CP221" s="124"/>
      <c r="CQ221" s="124"/>
      <c r="CR221" s="119"/>
      <c r="CS221" s="120"/>
      <c r="CT221" s="120"/>
      <c r="CU221" s="187"/>
      <c r="CV221" s="187"/>
      <c r="CW221" s="240">
        <f t="shared" si="179"/>
        <v>2248.2475979999999</v>
      </c>
    </row>
    <row r="222" spans="1:101" s="51" customFormat="1" ht="19.899999999999999" customHeight="1" x14ac:dyDescent="0.3">
      <c r="A222" s="92"/>
      <c r="B222" s="49">
        <v>10016165320</v>
      </c>
      <c r="C222" s="92" t="s">
        <v>320</v>
      </c>
      <c r="D222" s="93" t="s">
        <v>321</v>
      </c>
      <c r="E222" s="93" t="s">
        <v>141</v>
      </c>
      <c r="F222" s="105">
        <v>108566</v>
      </c>
      <c r="G222" s="196">
        <v>0.49890000000000001</v>
      </c>
      <c r="H222" s="106">
        <f t="shared" si="156"/>
        <v>54163.577400000002</v>
      </c>
      <c r="I222" s="104" t="s">
        <v>152</v>
      </c>
      <c r="J222" s="107" t="s">
        <v>322</v>
      </c>
      <c r="K222" s="50" t="s">
        <v>323</v>
      </c>
      <c r="L222" s="104"/>
      <c r="M222" s="108" t="s">
        <v>148</v>
      </c>
      <c r="N222" s="108" t="s">
        <v>149</v>
      </c>
      <c r="O222" s="193">
        <v>311534.5</v>
      </c>
      <c r="P222" s="193"/>
      <c r="Q222" s="193">
        <v>18389.84</v>
      </c>
      <c r="R222" s="109"/>
      <c r="S222" s="193">
        <v>72.55</v>
      </c>
      <c r="T222" s="193"/>
      <c r="U222" s="193">
        <v>138.72</v>
      </c>
      <c r="V222" s="193"/>
      <c r="W222" s="193"/>
      <c r="X222" s="193"/>
      <c r="Y222" s="193"/>
      <c r="Z222" s="193">
        <f>19.01+53.08-380+108.15+11733.64+7289.48+47.44+631.34+7428.04-0.21</f>
        <v>26929.97</v>
      </c>
      <c r="AA222" s="193"/>
      <c r="AB222" s="194">
        <f>0.269701+0.882642</f>
        <v>1.1523430000000001</v>
      </c>
      <c r="AC222" s="194">
        <f>0.269701+0.103438</f>
        <v>0.373139</v>
      </c>
      <c r="AD222" s="106">
        <v>0</v>
      </c>
      <c r="AE222" s="118">
        <v>0</v>
      </c>
      <c r="AF222" s="106">
        <v>0</v>
      </c>
      <c r="AG222" s="106">
        <f t="shared" si="172"/>
        <v>0</v>
      </c>
      <c r="AH222" s="106">
        <f t="shared" si="173"/>
        <v>0</v>
      </c>
      <c r="AI222" s="106">
        <f t="shared" si="157"/>
        <v>0</v>
      </c>
      <c r="AJ222" s="106">
        <f t="shared" si="158"/>
        <v>0</v>
      </c>
      <c r="AK222" s="106">
        <f t="shared" si="159"/>
        <v>0</v>
      </c>
      <c r="AL222" s="132">
        <f t="shared" si="160"/>
        <v>0</v>
      </c>
      <c r="AM222" s="198">
        <f t="shared" si="161"/>
        <v>0</v>
      </c>
      <c r="AN222" s="113">
        <v>66318.100000000006</v>
      </c>
      <c r="AO222" s="113">
        <v>508074</v>
      </c>
      <c r="AP222" s="113"/>
      <c r="AQ222" s="95">
        <f t="shared" si="162"/>
        <v>574392.1</v>
      </c>
      <c r="AR222" s="183">
        <f t="shared" si="163"/>
        <v>266003.42259430001</v>
      </c>
      <c r="AS222" s="113"/>
      <c r="AT222" s="113"/>
      <c r="AU222" s="113"/>
      <c r="AV222" s="95">
        <f t="shared" si="180"/>
        <v>0</v>
      </c>
      <c r="AW222" s="113"/>
      <c r="AX222" s="113"/>
      <c r="AY222" s="113"/>
      <c r="AZ222" s="95">
        <f t="shared" si="181"/>
        <v>0</v>
      </c>
      <c r="BA222" s="185">
        <f t="shared" si="155"/>
        <v>0</v>
      </c>
      <c r="BB222" s="94">
        <f t="shared" si="164"/>
        <v>66318.100000000006</v>
      </c>
      <c r="BC222" s="94">
        <f t="shared" si="176"/>
        <v>76421.198308300009</v>
      </c>
      <c r="BD222" s="94">
        <f t="shared" si="165"/>
        <v>508074</v>
      </c>
      <c r="BE222" s="94">
        <f t="shared" si="177"/>
        <v>189582.22428600001</v>
      </c>
      <c r="BF222" s="94">
        <f t="shared" si="166"/>
        <v>0</v>
      </c>
      <c r="BG222" s="94">
        <f t="shared" si="178"/>
        <v>0</v>
      </c>
      <c r="BH222" s="94">
        <f t="shared" si="167"/>
        <v>574392.1</v>
      </c>
      <c r="BI222" s="94">
        <f t="shared" si="168"/>
        <v>266003.42259430001</v>
      </c>
      <c r="BJ222" s="214">
        <f>BL222+BS222+BQ223+BY222+CB222+CE222+CH222+CK222</f>
        <v>0</v>
      </c>
      <c r="BK222" s="182">
        <f t="shared" si="170"/>
        <v>0</v>
      </c>
      <c r="BL222" s="95">
        <f t="shared" si="171"/>
        <v>0</v>
      </c>
      <c r="BM222" s="95">
        <f t="shared" si="174"/>
        <v>0</v>
      </c>
      <c r="BN222" s="95">
        <f t="shared" si="175"/>
        <v>0</v>
      </c>
      <c r="BO222" s="121"/>
      <c r="BP222" s="121"/>
      <c r="BQ222" s="121"/>
      <c r="BR222" s="121"/>
      <c r="BS222" s="121"/>
      <c r="BT222" s="113"/>
      <c r="BU222" s="113"/>
      <c r="BV222" s="113"/>
      <c r="BW222" s="121"/>
      <c r="BX222" s="121"/>
      <c r="BY222" s="121"/>
      <c r="BZ222" s="121"/>
      <c r="CA222" s="95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17"/>
      <c r="CP222" s="121"/>
      <c r="CQ222" s="121"/>
      <c r="CR222" s="117"/>
      <c r="CS222" s="113"/>
      <c r="CT222" s="113"/>
      <c r="CU222" s="187"/>
      <c r="CV222" s="187"/>
      <c r="CW222" s="240">
        <f t="shared" si="179"/>
        <v>0</v>
      </c>
    </row>
    <row r="223" spans="1:101" s="51" customFormat="1" ht="19.899999999999999" customHeight="1" x14ac:dyDescent="0.3">
      <c r="A223" s="103"/>
      <c r="B223" s="50">
        <v>10016165320</v>
      </c>
      <c r="C223" s="103" t="s">
        <v>320</v>
      </c>
      <c r="D223" s="104" t="s">
        <v>321</v>
      </c>
      <c r="E223" s="104" t="s">
        <v>141</v>
      </c>
      <c r="F223" s="94">
        <v>108566</v>
      </c>
      <c r="G223" s="182">
        <v>0.49890000000000001</v>
      </c>
      <c r="H223" s="95">
        <f t="shared" si="156"/>
        <v>54163.577400000002</v>
      </c>
      <c r="I223" s="93" t="s">
        <v>152</v>
      </c>
      <c r="J223" s="96" t="s">
        <v>322</v>
      </c>
      <c r="K223" s="49" t="s">
        <v>323</v>
      </c>
      <c r="L223" s="93"/>
      <c r="M223" s="97" t="s">
        <v>150</v>
      </c>
      <c r="N223" s="97" t="s">
        <v>151</v>
      </c>
      <c r="O223" s="183">
        <v>336419.49</v>
      </c>
      <c r="P223" s="183"/>
      <c r="Q223" s="183">
        <v>19016</v>
      </c>
      <c r="R223" s="131"/>
      <c r="S223" s="183">
        <v>421.97</v>
      </c>
      <c r="T223" s="183"/>
      <c r="U223" s="183">
        <v>138.72</v>
      </c>
      <c r="V223" s="183"/>
      <c r="W223" s="183"/>
      <c r="X223" s="183"/>
      <c r="Y223" s="183"/>
      <c r="Z223" s="183">
        <f>19.78+60.79-380+129.5+11543.07+6752.56+47.44+ 1139.25+10857.87+0.28</f>
        <v>30170.54</v>
      </c>
      <c r="AA223" s="183"/>
      <c r="AB223" s="184">
        <f>0.870294+0.25724</f>
        <v>1.127534</v>
      </c>
      <c r="AC223" s="184">
        <f>0.101991+0.25724</f>
        <v>0.35923100000000002</v>
      </c>
      <c r="AD223" s="95">
        <v>0</v>
      </c>
      <c r="AE223" s="95">
        <v>0</v>
      </c>
      <c r="AF223" s="95">
        <v>0</v>
      </c>
      <c r="AG223" s="95">
        <f t="shared" si="172"/>
        <v>0</v>
      </c>
      <c r="AH223" s="95">
        <f t="shared" si="173"/>
        <v>0</v>
      </c>
      <c r="AI223" s="95">
        <f t="shared" si="157"/>
        <v>0</v>
      </c>
      <c r="AJ223" s="95">
        <f t="shared" si="158"/>
        <v>0</v>
      </c>
      <c r="AK223" s="95">
        <f t="shared" si="159"/>
        <v>0</v>
      </c>
      <c r="AL223" s="133">
        <f t="shared" si="160"/>
        <v>0</v>
      </c>
      <c r="AM223" s="199">
        <f t="shared" si="161"/>
        <v>0</v>
      </c>
      <c r="AN223" s="120">
        <v>73327.27</v>
      </c>
      <c r="AO223" s="120">
        <v>567861</v>
      </c>
      <c r="AP223" s="120"/>
      <c r="AQ223" s="118">
        <f t="shared" si="162"/>
        <v>641188.27</v>
      </c>
      <c r="AR223" s="189">
        <f t="shared" si="163"/>
        <v>286672.26494318002</v>
      </c>
      <c r="AS223" s="120"/>
      <c r="AT223" s="120"/>
      <c r="AU223" s="120"/>
      <c r="AV223" s="118">
        <f t="shared" si="180"/>
        <v>0</v>
      </c>
      <c r="AW223" s="120"/>
      <c r="AX223" s="120"/>
      <c r="AY223" s="120"/>
      <c r="AZ223" s="118">
        <f t="shared" si="181"/>
        <v>0</v>
      </c>
      <c r="BA223" s="197">
        <f t="shared" si="155"/>
        <v>0</v>
      </c>
      <c r="BB223" s="105">
        <f t="shared" si="164"/>
        <v>73327.27</v>
      </c>
      <c r="BC223" s="105">
        <f t="shared" si="176"/>
        <v>82678.990052180001</v>
      </c>
      <c r="BD223" s="105">
        <f t="shared" si="165"/>
        <v>567861</v>
      </c>
      <c r="BE223" s="105">
        <f t="shared" si="177"/>
        <v>203993.27489100001</v>
      </c>
      <c r="BF223" s="105">
        <f t="shared" si="166"/>
        <v>0</v>
      </c>
      <c r="BG223" s="105">
        <f t="shared" si="178"/>
        <v>0</v>
      </c>
      <c r="BH223" s="105">
        <f t="shared" si="167"/>
        <v>641188.27</v>
      </c>
      <c r="BI223" s="105">
        <f t="shared" si="168"/>
        <v>286672.26494318002</v>
      </c>
      <c r="BJ223" s="186">
        <f>BL223+BS223+BQ224+BY223+CB223+CE223+CH223+CK223</f>
        <v>0</v>
      </c>
      <c r="BK223" s="188">
        <f t="shared" si="170"/>
        <v>0</v>
      </c>
      <c r="BL223" s="98">
        <f t="shared" si="171"/>
        <v>0</v>
      </c>
      <c r="BM223" s="99">
        <f t="shared" si="174"/>
        <v>0</v>
      </c>
      <c r="BN223" s="99">
        <f t="shared" si="175"/>
        <v>0</v>
      </c>
      <c r="BO223" s="124"/>
      <c r="BP223" s="188"/>
      <c r="BQ223" s="124"/>
      <c r="BR223" s="124"/>
      <c r="BS223" s="124"/>
      <c r="BT223" s="124"/>
      <c r="BU223" s="124"/>
      <c r="BV223" s="124"/>
      <c r="BW223" s="124"/>
      <c r="BX223" s="124"/>
      <c r="BY223" s="124"/>
      <c r="BZ223" s="124"/>
      <c r="CA223" s="118"/>
      <c r="CB223" s="124"/>
      <c r="CC223" s="124"/>
      <c r="CD223" s="124"/>
      <c r="CE223" s="124"/>
      <c r="CF223" s="124"/>
      <c r="CG223" s="124"/>
      <c r="CH223" s="124"/>
      <c r="CI223" s="124"/>
      <c r="CJ223" s="124"/>
      <c r="CK223" s="124"/>
      <c r="CL223" s="124"/>
      <c r="CM223" s="124"/>
      <c r="CN223" s="124"/>
      <c r="CO223" s="119"/>
      <c r="CP223" s="124"/>
      <c r="CQ223" s="124"/>
      <c r="CR223" s="119"/>
      <c r="CS223" s="120"/>
      <c r="CT223" s="120"/>
      <c r="CU223" s="187"/>
      <c r="CV223" s="187"/>
      <c r="CW223" s="240">
        <f t="shared" si="179"/>
        <v>0</v>
      </c>
    </row>
    <row r="224" spans="1:101" s="51" customFormat="1" ht="19.899999999999999" customHeight="1" x14ac:dyDescent="0.3">
      <c r="A224" s="92"/>
      <c r="B224" s="49">
        <v>10016165320</v>
      </c>
      <c r="C224" s="92" t="s">
        <v>320</v>
      </c>
      <c r="D224" s="93" t="s">
        <v>321</v>
      </c>
      <c r="E224" s="93" t="s">
        <v>141</v>
      </c>
      <c r="F224" s="105">
        <v>108566</v>
      </c>
      <c r="G224" s="196">
        <v>0.49890000000000001</v>
      </c>
      <c r="H224" s="106">
        <f t="shared" si="156"/>
        <v>54163.577400000002</v>
      </c>
      <c r="I224" s="104" t="s">
        <v>152</v>
      </c>
      <c r="J224" s="107" t="s">
        <v>322</v>
      </c>
      <c r="K224" s="50" t="s">
        <v>323</v>
      </c>
      <c r="L224" s="104"/>
      <c r="M224" s="108" t="s">
        <v>152</v>
      </c>
      <c r="N224" s="108" t="s">
        <v>153</v>
      </c>
      <c r="O224" s="193">
        <v>331129.42</v>
      </c>
      <c r="P224" s="193"/>
      <c r="Q224" s="193">
        <v>18992.39</v>
      </c>
      <c r="R224" s="109"/>
      <c r="S224" s="193">
        <v>41.67</v>
      </c>
      <c r="T224" s="193"/>
      <c r="U224" s="193">
        <v>138.72</v>
      </c>
      <c r="V224" s="193"/>
      <c r="W224" s="193"/>
      <c r="X224" s="193"/>
      <c r="Y224" s="193"/>
      <c r="Z224" s="193">
        <f>10.69+30.11+8578.81+128.51 +11482.66 +1705.4 +47.44+4929.77</f>
        <v>26913.39</v>
      </c>
      <c r="AA224" s="193"/>
      <c r="AB224" s="194">
        <f>0.867953+0.243018</f>
        <v>1.1109709999999999</v>
      </c>
      <c r="AC224" s="194">
        <f>0.101717+0.243018</f>
        <v>0.34473500000000001</v>
      </c>
      <c r="AD224" s="106">
        <v>0</v>
      </c>
      <c r="AE224" s="118">
        <v>87286.17</v>
      </c>
      <c r="AF224" s="106">
        <v>0</v>
      </c>
      <c r="AG224" s="106">
        <f t="shared" si="172"/>
        <v>87286.17</v>
      </c>
      <c r="AH224" s="106">
        <f t="shared" si="173"/>
        <v>30090.597814950001</v>
      </c>
      <c r="AI224" s="106">
        <f t="shared" si="157"/>
        <v>0</v>
      </c>
      <c r="AJ224" s="106">
        <f t="shared" si="158"/>
        <v>87286.17</v>
      </c>
      <c r="AK224" s="106">
        <f t="shared" si="159"/>
        <v>0</v>
      </c>
      <c r="AL224" s="132">
        <f t="shared" si="160"/>
        <v>87286.17</v>
      </c>
      <c r="AM224" s="198">
        <f t="shared" si="161"/>
        <v>30090.597814950001</v>
      </c>
      <c r="AN224" s="113">
        <v>76747.33</v>
      </c>
      <c r="AO224" s="113">
        <v>579516</v>
      </c>
      <c r="AP224" s="113"/>
      <c r="AQ224" s="95">
        <f t="shared" si="162"/>
        <v>656263.32999999996</v>
      </c>
      <c r="AR224" s="183">
        <f t="shared" si="163"/>
        <v>285043.50621743</v>
      </c>
      <c r="AS224" s="113"/>
      <c r="AT224" s="113"/>
      <c r="AU224" s="113"/>
      <c r="AV224" s="95">
        <f t="shared" si="180"/>
        <v>0</v>
      </c>
      <c r="AW224" s="113"/>
      <c r="AX224" s="113"/>
      <c r="AY224" s="113"/>
      <c r="AZ224" s="95">
        <f t="shared" si="181"/>
        <v>0</v>
      </c>
      <c r="BA224" s="185">
        <f t="shared" si="155"/>
        <v>0</v>
      </c>
      <c r="BB224" s="94">
        <f t="shared" si="164"/>
        <v>76747.33</v>
      </c>
      <c r="BC224" s="94">
        <f t="shared" si="176"/>
        <v>85264.057957429992</v>
      </c>
      <c r="BD224" s="94">
        <f t="shared" si="165"/>
        <v>579516</v>
      </c>
      <c r="BE224" s="94">
        <f t="shared" si="177"/>
        <v>199779.44826</v>
      </c>
      <c r="BF224" s="94">
        <f t="shared" si="166"/>
        <v>0</v>
      </c>
      <c r="BG224" s="94">
        <f t="shared" si="178"/>
        <v>0</v>
      </c>
      <c r="BH224" s="94">
        <f t="shared" si="167"/>
        <v>656263.32999999996</v>
      </c>
      <c r="BI224" s="94">
        <f t="shared" si="168"/>
        <v>285043.50621743</v>
      </c>
      <c r="BJ224" s="214">
        <f t="shared" ref="BJ224:BJ239" si="182">BL224+BS224+BV224+BY224+CB224+CE224+CH224+CK224</f>
        <v>87286.17</v>
      </c>
      <c r="BK224" s="182">
        <f t="shared" si="170"/>
        <v>30090.597814950001</v>
      </c>
      <c r="BL224" s="95">
        <f t="shared" si="171"/>
        <v>87286.17</v>
      </c>
      <c r="BM224" s="95">
        <f t="shared" si="174"/>
        <v>0</v>
      </c>
      <c r="BN224" s="95">
        <f t="shared" si="175"/>
        <v>0</v>
      </c>
      <c r="BO224" s="121"/>
      <c r="BP224" s="182"/>
      <c r="BQ224" s="121"/>
      <c r="BR224" s="121"/>
      <c r="BS224" s="121"/>
      <c r="BT224" s="121"/>
      <c r="BU224" s="182"/>
      <c r="BV224" s="121"/>
      <c r="BW224" s="121"/>
      <c r="BX224" s="121"/>
      <c r="BY224" s="121"/>
      <c r="BZ224" s="121"/>
      <c r="CA224" s="95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17"/>
      <c r="CP224" s="121"/>
      <c r="CQ224" s="121"/>
      <c r="CR224" s="117"/>
      <c r="CS224" s="113"/>
      <c r="CT224" s="113"/>
      <c r="CU224" s="187"/>
      <c r="CV224" s="187"/>
      <c r="CW224" s="240">
        <f t="shared" si="179"/>
        <v>13456.472398049998</v>
      </c>
    </row>
    <row r="225" spans="1:101" s="51" customFormat="1" ht="19.899999999999999" customHeight="1" x14ac:dyDescent="0.3">
      <c r="A225" s="148"/>
      <c r="B225" s="50">
        <v>10016165320</v>
      </c>
      <c r="C225" s="148" t="s">
        <v>320</v>
      </c>
      <c r="D225" s="104" t="s">
        <v>321</v>
      </c>
      <c r="E225" s="104" t="s">
        <v>141</v>
      </c>
      <c r="F225" s="94">
        <v>108566</v>
      </c>
      <c r="G225" s="182">
        <v>0.49890000000000001</v>
      </c>
      <c r="H225" s="95">
        <f t="shared" si="156"/>
        <v>54163.577400000002</v>
      </c>
      <c r="I225" s="93" t="s">
        <v>152</v>
      </c>
      <c r="J225" s="96" t="s">
        <v>322</v>
      </c>
      <c r="K225" s="49" t="s">
        <v>323</v>
      </c>
      <c r="L225" s="104"/>
      <c r="M225" s="97" t="s">
        <v>155</v>
      </c>
      <c r="N225" s="108" t="s">
        <v>156</v>
      </c>
      <c r="O225" s="193">
        <v>318275.65999999997</v>
      </c>
      <c r="P225" s="193"/>
      <c r="Q225" s="193">
        <v>18850.349999999999</v>
      </c>
      <c r="R225" s="109"/>
      <c r="S225" s="193">
        <v>8.27</v>
      </c>
      <c r="T225" s="193"/>
      <c r="U225" s="193">
        <v>138.72</v>
      </c>
      <c r="V225" s="193"/>
      <c r="W225" s="193"/>
      <c r="X225" s="193"/>
      <c r="Y225" s="193"/>
      <c r="Z225" s="193">
        <f>74.68+221.29+139.32+12781.57+142.35+47.44+1275.97+4232.67-0.11</f>
        <v>18915.18</v>
      </c>
      <c r="AA225" s="193"/>
      <c r="AB225" s="194">
        <f>0.240562+0.8855981</f>
        <v>1.1261601000000001</v>
      </c>
      <c r="AC225" s="194">
        <f>0.240562+0.103784</f>
        <v>0.34434599999999999</v>
      </c>
      <c r="AD225" s="106">
        <v>109.25</v>
      </c>
      <c r="AE225" s="118">
        <v>71329.119999999995</v>
      </c>
      <c r="AF225" s="106">
        <v>0</v>
      </c>
      <c r="AG225" s="106">
        <f t="shared" si="172"/>
        <v>71438.37</v>
      </c>
      <c r="AH225" s="106">
        <f t="shared" si="173"/>
        <v>24684.930146444996</v>
      </c>
      <c r="AI225" s="106">
        <f t="shared" si="157"/>
        <v>109.25</v>
      </c>
      <c r="AJ225" s="106">
        <f t="shared" si="158"/>
        <v>71329.119999999995</v>
      </c>
      <c r="AK225" s="106">
        <f t="shared" si="159"/>
        <v>0</v>
      </c>
      <c r="AL225" s="132">
        <f t="shared" si="160"/>
        <v>71438.37</v>
      </c>
      <c r="AM225" s="198">
        <f t="shared" si="161"/>
        <v>24684.930146444996</v>
      </c>
      <c r="AN225" s="113">
        <v>72770.880000000005</v>
      </c>
      <c r="AO225" s="113">
        <v>576198</v>
      </c>
      <c r="AP225" s="113"/>
      <c r="AQ225" s="95">
        <f t="shared" si="162"/>
        <v>648968.88</v>
      </c>
      <c r="AR225" s="183">
        <f t="shared" si="163"/>
        <v>280363.13800588797</v>
      </c>
      <c r="AS225" s="113"/>
      <c r="AT225" s="113"/>
      <c r="AU225" s="113"/>
      <c r="AV225" s="95"/>
      <c r="AW225" s="113"/>
      <c r="AX225" s="113"/>
      <c r="AY225" s="113"/>
      <c r="AZ225" s="95"/>
      <c r="BA225" s="185"/>
      <c r="BB225" s="94">
        <f t="shared" si="164"/>
        <v>72770.880000000005</v>
      </c>
      <c r="BC225" s="94">
        <f t="shared" si="176"/>
        <v>81951.66149788801</v>
      </c>
      <c r="BD225" s="94">
        <f t="shared" si="165"/>
        <v>576198</v>
      </c>
      <c r="BE225" s="94">
        <f t="shared" si="177"/>
        <v>198411.47650799999</v>
      </c>
      <c r="BF225" s="94">
        <f t="shared" si="166"/>
        <v>0</v>
      </c>
      <c r="BG225" s="94">
        <f t="shared" si="178"/>
        <v>0</v>
      </c>
      <c r="BH225" s="94">
        <f t="shared" si="167"/>
        <v>648968.88</v>
      </c>
      <c r="BI225" s="94">
        <f t="shared" si="168"/>
        <v>280363.13800588797</v>
      </c>
      <c r="BJ225" s="214">
        <f t="shared" si="182"/>
        <v>71438.37</v>
      </c>
      <c r="BK225" s="182">
        <f t="shared" si="170"/>
        <v>24684.930146444996</v>
      </c>
      <c r="BL225" s="95">
        <f t="shared" si="171"/>
        <v>71438.37</v>
      </c>
      <c r="BM225" s="95"/>
      <c r="BN225" s="95"/>
      <c r="BO225" s="121"/>
      <c r="BP225" s="182"/>
      <c r="BQ225" s="121"/>
      <c r="BR225" s="121"/>
      <c r="BS225" s="121"/>
      <c r="BT225" s="121"/>
      <c r="BU225" s="182"/>
      <c r="BV225" s="121"/>
      <c r="BW225" s="121"/>
      <c r="BX225" s="121"/>
      <c r="BY225" s="121"/>
      <c r="BZ225" s="121"/>
      <c r="CA225" s="95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17"/>
      <c r="CP225" s="121"/>
      <c r="CQ225" s="121"/>
      <c r="CR225" s="117"/>
      <c r="CS225" s="114" t="s">
        <v>324</v>
      </c>
      <c r="CT225" s="113"/>
      <c r="CU225" s="187"/>
      <c r="CV225" s="187"/>
      <c r="CW225" s="240">
        <f t="shared" si="179"/>
        <v>10955.672646555002</v>
      </c>
    </row>
    <row r="226" spans="1:101" s="51" customFormat="1" ht="19.899999999999999" customHeight="1" x14ac:dyDescent="0.3">
      <c r="A226" s="92"/>
      <c r="B226" s="49">
        <v>10036951674</v>
      </c>
      <c r="C226" s="92" t="s">
        <v>311</v>
      </c>
      <c r="D226" s="93" t="s">
        <v>312</v>
      </c>
      <c r="E226" s="93"/>
      <c r="F226" s="94"/>
      <c r="G226" s="182"/>
      <c r="H226" s="95"/>
      <c r="I226" s="93"/>
      <c r="J226" s="96"/>
      <c r="K226" s="49"/>
      <c r="L226" s="93"/>
      <c r="M226" s="97" t="s">
        <v>129</v>
      </c>
      <c r="N226" s="97" t="s">
        <v>325</v>
      </c>
      <c r="O226" s="183"/>
      <c r="P226" s="183"/>
      <c r="Q226" s="183"/>
      <c r="R226" s="131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4"/>
      <c r="AC226" s="184"/>
      <c r="AD226" s="95"/>
      <c r="AE226" s="95"/>
      <c r="AF226" s="95"/>
      <c r="AG226" s="95">
        <f t="shared" si="172"/>
        <v>0</v>
      </c>
      <c r="AH226" s="95">
        <f t="shared" si="173"/>
        <v>0</v>
      </c>
      <c r="AI226" s="95">
        <f t="shared" si="157"/>
        <v>0</v>
      </c>
      <c r="AJ226" s="95">
        <f t="shared" si="158"/>
        <v>0</v>
      </c>
      <c r="AK226" s="95">
        <f t="shared" si="159"/>
        <v>0</v>
      </c>
      <c r="AL226" s="133">
        <f t="shared" si="160"/>
        <v>0</v>
      </c>
      <c r="AM226" s="199">
        <f t="shared" si="161"/>
        <v>0</v>
      </c>
      <c r="AN226" s="113">
        <v>505.39</v>
      </c>
      <c r="AO226" s="113">
        <v>3824.07</v>
      </c>
      <c r="AP226" s="113">
        <v>1009.83</v>
      </c>
      <c r="AQ226" s="106">
        <f t="shared" si="162"/>
        <v>5339.29</v>
      </c>
      <c r="AR226" s="193">
        <f t="shared" si="163"/>
        <v>0</v>
      </c>
      <c r="AS226" s="113">
        <v>0</v>
      </c>
      <c r="AT226" s="113">
        <v>0</v>
      </c>
      <c r="AU226" s="113">
        <v>0</v>
      </c>
      <c r="AV226" s="95">
        <f t="shared" ref="AV226:AV241" si="183">SUM(AS226:AU226)</f>
        <v>0</v>
      </c>
      <c r="AW226" s="113"/>
      <c r="AX226" s="113"/>
      <c r="AY226" s="113"/>
      <c r="AZ226" s="95"/>
      <c r="BA226" s="197"/>
      <c r="BB226" s="94">
        <f t="shared" si="164"/>
        <v>505.39</v>
      </c>
      <c r="BC226" s="105">
        <f t="shared" si="176"/>
        <v>0</v>
      </c>
      <c r="BD226" s="94">
        <f t="shared" si="165"/>
        <v>3824.07</v>
      </c>
      <c r="BE226" s="94">
        <f t="shared" si="177"/>
        <v>0</v>
      </c>
      <c r="BF226" s="94">
        <f t="shared" si="166"/>
        <v>1009.83</v>
      </c>
      <c r="BG226" s="94">
        <f t="shared" si="178"/>
        <v>0</v>
      </c>
      <c r="BH226" s="94">
        <f t="shared" si="167"/>
        <v>5339.29</v>
      </c>
      <c r="BI226" s="94">
        <f t="shared" si="168"/>
        <v>0</v>
      </c>
      <c r="BJ226" s="186">
        <f t="shared" si="182"/>
        <v>0</v>
      </c>
      <c r="BK226" s="182">
        <f t="shared" si="170"/>
        <v>0</v>
      </c>
      <c r="BL226" s="98">
        <f t="shared" si="171"/>
        <v>0</v>
      </c>
      <c r="BM226" s="99">
        <f t="shared" ref="BM226:BM239" si="184">AW226</f>
        <v>0</v>
      </c>
      <c r="BN226" s="99">
        <f t="shared" ref="BN226:BN239" si="185">AX226+AY226</f>
        <v>0</v>
      </c>
      <c r="BO226" s="121"/>
      <c r="BP226" s="121"/>
      <c r="BQ226" s="121"/>
      <c r="BR226" s="121"/>
      <c r="BS226" s="121"/>
      <c r="BT226" s="121"/>
      <c r="BU226" s="182"/>
      <c r="BV226" s="121"/>
      <c r="BW226" s="121"/>
      <c r="BX226" s="121"/>
      <c r="BY226" s="121"/>
      <c r="BZ226" s="121"/>
      <c r="CA226" s="95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17"/>
      <c r="CP226" s="121"/>
      <c r="CQ226" s="121"/>
      <c r="CR226" s="117"/>
      <c r="CS226" s="113"/>
      <c r="CT226" s="113"/>
      <c r="CU226" s="187">
        <f t="shared" ref="CU226:CU240" si="186">(BB226* AB226)+(BD226* AC226)+(BF226* AC226)+(S226+T226+U226+V226+W226+X226+Y226+Z226)</f>
        <v>0</v>
      </c>
      <c r="CV226" s="187">
        <f t="shared" ref="CV226:CV240" si="187">CU226-O226</f>
        <v>0</v>
      </c>
      <c r="CW226" s="240"/>
    </row>
    <row r="227" spans="1:101" s="51" customFormat="1" ht="19.899999999999999" customHeight="1" x14ac:dyDescent="0.3">
      <c r="A227" s="103"/>
      <c r="B227" s="50">
        <v>10036951674</v>
      </c>
      <c r="C227" s="103" t="s">
        <v>311</v>
      </c>
      <c r="D227" s="104" t="s">
        <v>312</v>
      </c>
      <c r="E227" s="104"/>
      <c r="F227" s="105"/>
      <c r="G227" s="196"/>
      <c r="H227" s="106"/>
      <c r="I227" s="104"/>
      <c r="J227" s="107"/>
      <c r="K227" s="50"/>
      <c r="L227" s="104"/>
      <c r="M227" s="108" t="s">
        <v>159</v>
      </c>
      <c r="N227" s="108" t="s">
        <v>162</v>
      </c>
      <c r="O227" s="193"/>
      <c r="P227" s="193"/>
      <c r="Q227" s="193"/>
      <c r="R227" s="109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4"/>
      <c r="AC227" s="194"/>
      <c r="AD227" s="106"/>
      <c r="AE227" s="118"/>
      <c r="AF227" s="106"/>
      <c r="AG227" s="106">
        <f t="shared" si="172"/>
        <v>0</v>
      </c>
      <c r="AH227" s="106">
        <f t="shared" si="173"/>
        <v>0</v>
      </c>
      <c r="AI227" s="106">
        <f t="shared" si="157"/>
        <v>0</v>
      </c>
      <c r="AJ227" s="106">
        <f t="shared" si="158"/>
        <v>0</v>
      </c>
      <c r="AK227" s="106">
        <f t="shared" si="159"/>
        <v>0</v>
      </c>
      <c r="AL227" s="132">
        <f t="shared" si="160"/>
        <v>0</v>
      </c>
      <c r="AM227" s="198">
        <f t="shared" si="161"/>
        <v>0</v>
      </c>
      <c r="AN227" s="113">
        <v>741.88</v>
      </c>
      <c r="AO227" s="113">
        <v>6479.64</v>
      </c>
      <c r="AP227" s="113">
        <v>1416</v>
      </c>
      <c r="AQ227" s="106">
        <f t="shared" si="162"/>
        <v>8637.52</v>
      </c>
      <c r="AR227" s="193">
        <f t="shared" si="163"/>
        <v>0</v>
      </c>
      <c r="AS227" s="113">
        <v>0</v>
      </c>
      <c r="AT227" s="113">
        <v>0</v>
      </c>
      <c r="AU227" s="113">
        <v>0</v>
      </c>
      <c r="AV227" s="95">
        <f t="shared" si="183"/>
        <v>0</v>
      </c>
      <c r="AW227" s="113"/>
      <c r="AX227" s="113"/>
      <c r="AY227" s="113"/>
      <c r="AZ227" s="95"/>
      <c r="BA227" s="197"/>
      <c r="BB227" s="94">
        <f t="shared" si="164"/>
        <v>741.88</v>
      </c>
      <c r="BC227" s="105">
        <f t="shared" si="176"/>
        <v>0</v>
      </c>
      <c r="BD227" s="94">
        <f t="shared" si="165"/>
        <v>6479.64</v>
      </c>
      <c r="BE227" s="94">
        <f t="shared" si="177"/>
        <v>0</v>
      </c>
      <c r="BF227" s="94">
        <f t="shared" si="166"/>
        <v>1416</v>
      </c>
      <c r="BG227" s="94">
        <f t="shared" si="178"/>
        <v>0</v>
      </c>
      <c r="BH227" s="94">
        <f t="shared" si="167"/>
        <v>8637.52</v>
      </c>
      <c r="BI227" s="94">
        <f t="shared" si="168"/>
        <v>0</v>
      </c>
      <c r="BJ227" s="186">
        <f t="shared" si="182"/>
        <v>0</v>
      </c>
      <c r="BK227" s="182">
        <f t="shared" si="170"/>
        <v>0</v>
      </c>
      <c r="BL227" s="98">
        <f t="shared" si="171"/>
        <v>0</v>
      </c>
      <c r="BM227" s="99">
        <f t="shared" si="184"/>
        <v>0</v>
      </c>
      <c r="BN227" s="99">
        <f t="shared" si="185"/>
        <v>0</v>
      </c>
      <c r="BO227" s="121"/>
      <c r="BP227" s="121"/>
      <c r="BQ227" s="121"/>
      <c r="BR227" s="121"/>
      <c r="BS227" s="121"/>
      <c r="BT227" s="121"/>
      <c r="BU227" s="182"/>
      <c r="BV227" s="121"/>
      <c r="BW227" s="121"/>
      <c r="BX227" s="121"/>
      <c r="BY227" s="121"/>
      <c r="BZ227" s="121"/>
      <c r="CA227" s="95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17"/>
      <c r="CP227" s="121"/>
      <c r="CQ227" s="121"/>
      <c r="CR227" s="117"/>
      <c r="CS227" s="113"/>
      <c r="CT227" s="113"/>
      <c r="CU227" s="187">
        <f t="shared" si="186"/>
        <v>0</v>
      </c>
      <c r="CV227" s="187">
        <f t="shared" si="187"/>
        <v>0</v>
      </c>
      <c r="CW227" s="240"/>
    </row>
    <row r="228" spans="1:101" s="51" customFormat="1" ht="19.899999999999999" customHeight="1" x14ac:dyDescent="0.3">
      <c r="A228" s="92"/>
      <c r="B228" s="49">
        <v>10036951674</v>
      </c>
      <c r="C228" s="92" t="s">
        <v>311</v>
      </c>
      <c r="D228" s="93" t="s">
        <v>312</v>
      </c>
      <c r="E228" s="93"/>
      <c r="F228" s="94"/>
      <c r="G228" s="182"/>
      <c r="H228" s="95"/>
      <c r="I228" s="93"/>
      <c r="J228" s="96"/>
      <c r="K228" s="49"/>
      <c r="L228" s="93"/>
      <c r="M228" s="97" t="s">
        <v>163</v>
      </c>
      <c r="N228" s="97" t="s">
        <v>164</v>
      </c>
      <c r="O228" s="183"/>
      <c r="P228" s="183"/>
      <c r="Q228" s="183"/>
      <c r="R228" s="131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4"/>
      <c r="AC228" s="184"/>
      <c r="AD228" s="95"/>
      <c r="AE228" s="95"/>
      <c r="AF228" s="95"/>
      <c r="AG228" s="95">
        <f t="shared" si="172"/>
        <v>0</v>
      </c>
      <c r="AH228" s="95">
        <f t="shared" si="173"/>
        <v>0</v>
      </c>
      <c r="AI228" s="95">
        <f t="shared" si="157"/>
        <v>0</v>
      </c>
      <c r="AJ228" s="95">
        <f t="shared" si="158"/>
        <v>0</v>
      </c>
      <c r="AK228" s="95">
        <f t="shared" si="159"/>
        <v>0</v>
      </c>
      <c r="AL228" s="133">
        <f t="shared" si="160"/>
        <v>0</v>
      </c>
      <c r="AM228" s="199">
        <f t="shared" si="161"/>
        <v>0</v>
      </c>
      <c r="AN228" s="113">
        <v>636.5</v>
      </c>
      <c r="AO228" s="113">
        <v>4548.54</v>
      </c>
      <c r="AP228" s="113">
        <v>1156.2</v>
      </c>
      <c r="AQ228" s="106">
        <f t="shared" si="162"/>
        <v>6341.24</v>
      </c>
      <c r="AR228" s="193">
        <f t="shared" si="163"/>
        <v>0</v>
      </c>
      <c r="AS228" s="113">
        <v>0</v>
      </c>
      <c r="AT228" s="113">
        <v>0</v>
      </c>
      <c r="AU228" s="113">
        <v>0</v>
      </c>
      <c r="AV228" s="95">
        <f t="shared" si="183"/>
        <v>0</v>
      </c>
      <c r="AW228" s="113"/>
      <c r="AX228" s="113"/>
      <c r="AY228" s="113"/>
      <c r="AZ228" s="95">
        <f t="shared" ref="AZ228:AZ239" si="188">SUM(AW228:AY228)</f>
        <v>0</v>
      </c>
      <c r="BA228" s="197">
        <f t="shared" ref="BA228:BA239" si="189">(AW228*AB228)+((AX228+AY228)*AC228)</f>
        <v>0</v>
      </c>
      <c r="BB228" s="94">
        <f t="shared" si="164"/>
        <v>636.5</v>
      </c>
      <c r="BC228" s="105">
        <f t="shared" si="176"/>
        <v>0</v>
      </c>
      <c r="BD228" s="94">
        <f t="shared" si="165"/>
        <v>4548.54</v>
      </c>
      <c r="BE228" s="94">
        <f t="shared" si="177"/>
        <v>0</v>
      </c>
      <c r="BF228" s="94">
        <f t="shared" si="166"/>
        <v>1156.2</v>
      </c>
      <c r="BG228" s="94">
        <f t="shared" si="178"/>
        <v>0</v>
      </c>
      <c r="BH228" s="94">
        <f t="shared" si="167"/>
        <v>6341.24</v>
      </c>
      <c r="BI228" s="94">
        <f t="shared" si="168"/>
        <v>0</v>
      </c>
      <c r="BJ228" s="186">
        <f t="shared" si="182"/>
        <v>0</v>
      </c>
      <c r="BK228" s="182">
        <f t="shared" si="170"/>
        <v>0</v>
      </c>
      <c r="BL228" s="98">
        <f t="shared" si="171"/>
        <v>0</v>
      </c>
      <c r="BM228" s="99">
        <f t="shared" si="184"/>
        <v>0</v>
      </c>
      <c r="BN228" s="99">
        <f t="shared" si="185"/>
        <v>0</v>
      </c>
      <c r="BO228" s="121"/>
      <c r="BP228" s="121"/>
      <c r="BQ228" s="121"/>
      <c r="BR228" s="121"/>
      <c r="BS228" s="121"/>
      <c r="BT228" s="121"/>
      <c r="BU228" s="182"/>
      <c r="BV228" s="121"/>
      <c r="BW228" s="121"/>
      <c r="BX228" s="121"/>
      <c r="BY228" s="121"/>
      <c r="BZ228" s="121"/>
      <c r="CA228" s="95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17"/>
      <c r="CP228" s="121"/>
      <c r="CQ228" s="121"/>
      <c r="CR228" s="117"/>
      <c r="CS228" s="113"/>
      <c r="CT228" s="113"/>
      <c r="CU228" s="187">
        <f t="shared" si="186"/>
        <v>0</v>
      </c>
      <c r="CV228" s="187">
        <f t="shared" si="187"/>
        <v>0</v>
      </c>
      <c r="CW228" s="240"/>
    </row>
    <row r="229" spans="1:101" s="51" customFormat="1" ht="19.899999999999999" customHeight="1" x14ac:dyDescent="0.3">
      <c r="A229" s="148"/>
      <c r="B229" s="50">
        <v>10036951674</v>
      </c>
      <c r="C229" s="148" t="s">
        <v>311</v>
      </c>
      <c r="D229" s="104" t="s">
        <v>312</v>
      </c>
      <c r="E229" s="104"/>
      <c r="F229" s="105"/>
      <c r="G229" s="196"/>
      <c r="H229" s="106"/>
      <c r="I229" s="104"/>
      <c r="J229" s="107"/>
      <c r="K229" s="50"/>
      <c r="L229" s="104"/>
      <c r="M229" s="108" t="s">
        <v>165</v>
      </c>
      <c r="N229" s="108" t="s">
        <v>166</v>
      </c>
      <c r="O229" s="193"/>
      <c r="P229" s="193"/>
      <c r="Q229" s="193"/>
      <c r="R229" s="109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4"/>
      <c r="AC229" s="194"/>
      <c r="AD229" s="106"/>
      <c r="AE229" s="118"/>
      <c r="AF229" s="106"/>
      <c r="AG229" s="106">
        <f t="shared" si="172"/>
        <v>0</v>
      </c>
      <c r="AH229" s="106">
        <f t="shared" si="173"/>
        <v>0</v>
      </c>
      <c r="AI229" s="106">
        <f t="shared" si="157"/>
        <v>0</v>
      </c>
      <c r="AJ229" s="106">
        <f t="shared" si="158"/>
        <v>0</v>
      </c>
      <c r="AK229" s="106">
        <f t="shared" si="159"/>
        <v>0</v>
      </c>
      <c r="AL229" s="132">
        <f t="shared" si="160"/>
        <v>0</v>
      </c>
      <c r="AM229" s="198">
        <f t="shared" si="161"/>
        <v>0</v>
      </c>
      <c r="AN229" s="113">
        <v>938.52</v>
      </c>
      <c r="AO229" s="113">
        <v>10666.56</v>
      </c>
      <c r="AP229" s="113">
        <v>1341.93</v>
      </c>
      <c r="AQ229" s="106">
        <f t="shared" si="162"/>
        <v>12947.01</v>
      </c>
      <c r="AR229" s="193">
        <f t="shared" si="163"/>
        <v>0</v>
      </c>
      <c r="AS229" s="113">
        <v>0</v>
      </c>
      <c r="AT229" s="113">
        <v>0</v>
      </c>
      <c r="AU229" s="113">
        <v>0</v>
      </c>
      <c r="AV229" s="95">
        <f t="shared" si="183"/>
        <v>0</v>
      </c>
      <c r="AW229" s="113"/>
      <c r="AX229" s="113"/>
      <c r="AY229" s="113"/>
      <c r="AZ229" s="95">
        <f t="shared" si="188"/>
        <v>0</v>
      </c>
      <c r="BA229" s="197">
        <f t="shared" si="189"/>
        <v>0</v>
      </c>
      <c r="BB229" s="94">
        <f t="shared" si="164"/>
        <v>938.52</v>
      </c>
      <c r="BC229" s="105">
        <f t="shared" si="176"/>
        <v>0</v>
      </c>
      <c r="BD229" s="94">
        <f t="shared" si="165"/>
        <v>10666.56</v>
      </c>
      <c r="BE229" s="94">
        <f t="shared" si="177"/>
        <v>0</v>
      </c>
      <c r="BF229" s="94">
        <f t="shared" si="166"/>
        <v>1341.93</v>
      </c>
      <c r="BG229" s="94">
        <f t="shared" si="178"/>
        <v>0</v>
      </c>
      <c r="BH229" s="94">
        <f t="shared" si="167"/>
        <v>12947.01</v>
      </c>
      <c r="BI229" s="94">
        <f t="shared" si="168"/>
        <v>0</v>
      </c>
      <c r="BJ229" s="186">
        <f t="shared" si="182"/>
        <v>0</v>
      </c>
      <c r="BK229" s="182">
        <f t="shared" si="170"/>
        <v>0</v>
      </c>
      <c r="BL229" s="98">
        <f t="shared" si="171"/>
        <v>0</v>
      </c>
      <c r="BM229" s="99">
        <f t="shared" si="184"/>
        <v>0</v>
      </c>
      <c r="BN229" s="99">
        <f t="shared" si="185"/>
        <v>0</v>
      </c>
      <c r="BO229" s="121"/>
      <c r="BP229" s="121"/>
      <c r="BQ229" s="121"/>
      <c r="BR229" s="121"/>
      <c r="BS229" s="121"/>
      <c r="BT229" s="121"/>
      <c r="BU229" s="182"/>
      <c r="BV229" s="121"/>
      <c r="BW229" s="121"/>
      <c r="BX229" s="121"/>
      <c r="BY229" s="121"/>
      <c r="BZ229" s="121"/>
      <c r="CA229" s="95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17"/>
      <c r="CP229" s="121"/>
      <c r="CQ229" s="121"/>
      <c r="CR229" s="117"/>
      <c r="CS229" s="113"/>
      <c r="CT229" s="113"/>
      <c r="CU229" s="187">
        <f t="shared" si="186"/>
        <v>0</v>
      </c>
      <c r="CV229" s="187">
        <f t="shared" si="187"/>
        <v>0</v>
      </c>
      <c r="CW229" s="240"/>
    </row>
    <row r="230" spans="1:101" s="51" customFormat="1" ht="19.899999999999999" customHeight="1" x14ac:dyDescent="0.3">
      <c r="A230" s="92"/>
      <c r="B230" s="49">
        <v>10036951674</v>
      </c>
      <c r="C230" s="92" t="s">
        <v>311</v>
      </c>
      <c r="D230" s="93" t="s">
        <v>312</v>
      </c>
      <c r="E230" s="93"/>
      <c r="F230" s="94"/>
      <c r="G230" s="182"/>
      <c r="H230" s="95"/>
      <c r="I230" s="93"/>
      <c r="J230" s="96"/>
      <c r="K230" s="49"/>
      <c r="L230" s="93"/>
      <c r="M230" s="97" t="s">
        <v>133</v>
      </c>
      <c r="N230" s="97" t="s">
        <v>134</v>
      </c>
      <c r="O230" s="183"/>
      <c r="P230" s="183"/>
      <c r="Q230" s="183"/>
      <c r="R230" s="131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4"/>
      <c r="AC230" s="184"/>
      <c r="AD230" s="95"/>
      <c r="AE230" s="95"/>
      <c r="AF230" s="95"/>
      <c r="AG230" s="95">
        <f t="shared" si="172"/>
        <v>0</v>
      </c>
      <c r="AH230" s="95">
        <f t="shared" si="173"/>
        <v>0</v>
      </c>
      <c r="AI230" s="95">
        <f t="shared" si="157"/>
        <v>0</v>
      </c>
      <c r="AJ230" s="95">
        <f t="shared" si="158"/>
        <v>0</v>
      </c>
      <c r="AK230" s="95">
        <f t="shared" si="159"/>
        <v>0</v>
      </c>
      <c r="AL230" s="133">
        <f t="shared" si="160"/>
        <v>0</v>
      </c>
      <c r="AM230" s="199">
        <f t="shared" si="161"/>
        <v>0</v>
      </c>
      <c r="AN230" s="113">
        <v>1362</v>
      </c>
      <c r="AO230" s="113">
        <v>17367.599999999999</v>
      </c>
      <c r="AP230" s="113">
        <v>1809.33</v>
      </c>
      <c r="AQ230" s="106">
        <f t="shared" si="162"/>
        <v>20538.93</v>
      </c>
      <c r="AR230" s="193">
        <f t="shared" si="163"/>
        <v>0</v>
      </c>
      <c r="AS230" s="113">
        <v>0</v>
      </c>
      <c r="AT230" s="113">
        <v>0</v>
      </c>
      <c r="AU230" s="113">
        <v>0</v>
      </c>
      <c r="AV230" s="95">
        <f t="shared" si="183"/>
        <v>0</v>
      </c>
      <c r="AW230" s="113"/>
      <c r="AX230" s="113"/>
      <c r="AY230" s="113"/>
      <c r="AZ230" s="95">
        <f t="shared" si="188"/>
        <v>0</v>
      </c>
      <c r="BA230" s="197">
        <f t="shared" si="189"/>
        <v>0</v>
      </c>
      <c r="BB230" s="94">
        <f t="shared" si="164"/>
        <v>1362</v>
      </c>
      <c r="BC230" s="105">
        <f t="shared" si="176"/>
        <v>0</v>
      </c>
      <c r="BD230" s="94">
        <f t="shared" si="165"/>
        <v>17367.599999999999</v>
      </c>
      <c r="BE230" s="94">
        <f t="shared" si="177"/>
        <v>0</v>
      </c>
      <c r="BF230" s="94">
        <f t="shared" si="166"/>
        <v>1809.33</v>
      </c>
      <c r="BG230" s="94">
        <f t="shared" si="178"/>
        <v>0</v>
      </c>
      <c r="BH230" s="94">
        <f t="shared" si="167"/>
        <v>20538.93</v>
      </c>
      <c r="BI230" s="94">
        <f t="shared" si="168"/>
        <v>0</v>
      </c>
      <c r="BJ230" s="186">
        <f t="shared" si="182"/>
        <v>0</v>
      </c>
      <c r="BK230" s="182">
        <f t="shared" si="170"/>
        <v>0</v>
      </c>
      <c r="BL230" s="98">
        <f t="shared" si="171"/>
        <v>0</v>
      </c>
      <c r="BM230" s="99">
        <f t="shared" si="184"/>
        <v>0</v>
      </c>
      <c r="BN230" s="99">
        <f t="shared" si="185"/>
        <v>0</v>
      </c>
      <c r="BO230" s="121"/>
      <c r="BP230" s="121"/>
      <c r="BQ230" s="121"/>
      <c r="BR230" s="121"/>
      <c r="BS230" s="121"/>
      <c r="BT230" s="121"/>
      <c r="BU230" s="182"/>
      <c r="BV230" s="121"/>
      <c r="BW230" s="121"/>
      <c r="BX230" s="121"/>
      <c r="BY230" s="121"/>
      <c r="BZ230" s="121"/>
      <c r="CA230" s="95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17"/>
      <c r="CP230" s="121"/>
      <c r="CQ230" s="121"/>
      <c r="CR230" s="117"/>
      <c r="CS230" s="113"/>
      <c r="CT230" s="113"/>
      <c r="CU230" s="187">
        <f t="shared" si="186"/>
        <v>0</v>
      </c>
      <c r="CV230" s="187">
        <f t="shared" si="187"/>
        <v>0</v>
      </c>
      <c r="CW230" s="240"/>
    </row>
    <row r="231" spans="1:101" s="51" customFormat="1" ht="19.899999999999999" customHeight="1" x14ac:dyDescent="0.3">
      <c r="A231" s="103"/>
      <c r="B231" s="50">
        <v>10036951674</v>
      </c>
      <c r="C231" s="103" t="s">
        <v>311</v>
      </c>
      <c r="D231" s="104" t="s">
        <v>312</v>
      </c>
      <c r="E231" s="104"/>
      <c r="F231" s="105"/>
      <c r="G231" s="196"/>
      <c r="H231" s="106"/>
      <c r="I231" s="104"/>
      <c r="J231" s="107"/>
      <c r="K231" s="50"/>
      <c r="L231" s="104"/>
      <c r="M231" s="108" t="s">
        <v>135</v>
      </c>
      <c r="N231" s="108" t="s">
        <v>136</v>
      </c>
      <c r="O231" s="193"/>
      <c r="P231" s="193"/>
      <c r="Q231" s="193"/>
      <c r="R231" s="109"/>
      <c r="S231" s="193"/>
      <c r="T231" s="193"/>
      <c r="U231" s="193"/>
      <c r="V231" s="193"/>
      <c r="W231" s="193"/>
      <c r="X231" s="193"/>
      <c r="Y231" s="193"/>
      <c r="Z231" s="193"/>
      <c r="AA231" s="193"/>
      <c r="AB231" s="194"/>
      <c r="AC231" s="194"/>
      <c r="AD231" s="106"/>
      <c r="AE231" s="118"/>
      <c r="AF231" s="106"/>
      <c r="AG231" s="106">
        <f t="shared" si="172"/>
        <v>0</v>
      </c>
      <c r="AH231" s="106">
        <f t="shared" si="173"/>
        <v>0</v>
      </c>
      <c r="AI231" s="106">
        <f t="shared" si="157"/>
        <v>0</v>
      </c>
      <c r="AJ231" s="106">
        <f t="shared" si="158"/>
        <v>0</v>
      </c>
      <c r="AK231" s="106">
        <f t="shared" si="159"/>
        <v>0</v>
      </c>
      <c r="AL231" s="132">
        <f t="shared" si="160"/>
        <v>0</v>
      </c>
      <c r="AM231" s="198">
        <f t="shared" si="161"/>
        <v>0</v>
      </c>
      <c r="AN231" s="113">
        <v>566.35</v>
      </c>
      <c r="AO231" s="113">
        <v>10178.25</v>
      </c>
      <c r="AP231" s="113">
        <v>1623.6</v>
      </c>
      <c r="AQ231" s="106">
        <f t="shared" si="162"/>
        <v>12368.2</v>
      </c>
      <c r="AR231" s="193">
        <f t="shared" si="163"/>
        <v>0</v>
      </c>
      <c r="AS231" s="113">
        <v>0</v>
      </c>
      <c r="AT231" s="113">
        <v>0</v>
      </c>
      <c r="AU231" s="113">
        <v>0</v>
      </c>
      <c r="AV231" s="95">
        <f t="shared" si="183"/>
        <v>0</v>
      </c>
      <c r="AW231" s="113"/>
      <c r="AX231" s="113"/>
      <c r="AY231" s="113"/>
      <c r="AZ231" s="95">
        <f t="shared" si="188"/>
        <v>0</v>
      </c>
      <c r="BA231" s="197">
        <f t="shared" si="189"/>
        <v>0</v>
      </c>
      <c r="BB231" s="94">
        <f t="shared" si="164"/>
        <v>566.35</v>
      </c>
      <c r="BC231" s="105">
        <f t="shared" si="176"/>
        <v>0</v>
      </c>
      <c r="BD231" s="94">
        <f t="shared" si="165"/>
        <v>10178.25</v>
      </c>
      <c r="BE231" s="94">
        <f t="shared" si="177"/>
        <v>0</v>
      </c>
      <c r="BF231" s="94">
        <f t="shared" si="166"/>
        <v>1623.6</v>
      </c>
      <c r="BG231" s="94">
        <f t="shared" si="178"/>
        <v>0</v>
      </c>
      <c r="BH231" s="94">
        <f t="shared" si="167"/>
        <v>12368.2</v>
      </c>
      <c r="BI231" s="94">
        <f t="shared" si="168"/>
        <v>0</v>
      </c>
      <c r="BJ231" s="186">
        <f t="shared" si="182"/>
        <v>0</v>
      </c>
      <c r="BK231" s="182">
        <f t="shared" si="170"/>
        <v>0</v>
      </c>
      <c r="BL231" s="98">
        <f t="shared" si="171"/>
        <v>0</v>
      </c>
      <c r="BM231" s="99">
        <f t="shared" si="184"/>
        <v>0</v>
      </c>
      <c r="BN231" s="99">
        <f t="shared" si="185"/>
        <v>0</v>
      </c>
      <c r="BO231" s="121"/>
      <c r="BP231" s="121"/>
      <c r="BQ231" s="121"/>
      <c r="BR231" s="121"/>
      <c r="BS231" s="121"/>
      <c r="BT231" s="121"/>
      <c r="BU231" s="182"/>
      <c r="BV231" s="121"/>
      <c r="BW231" s="121"/>
      <c r="BX231" s="121"/>
      <c r="BY231" s="121"/>
      <c r="BZ231" s="121"/>
      <c r="CA231" s="95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17"/>
      <c r="CP231" s="121"/>
      <c r="CQ231" s="121"/>
      <c r="CR231" s="117"/>
      <c r="CS231" s="113"/>
      <c r="CT231" s="113"/>
      <c r="CU231" s="187">
        <f t="shared" si="186"/>
        <v>0</v>
      </c>
      <c r="CV231" s="187">
        <f t="shared" si="187"/>
        <v>0</v>
      </c>
      <c r="CW231" s="240"/>
    </row>
    <row r="232" spans="1:101" s="51" customFormat="1" ht="19.899999999999999" customHeight="1" x14ac:dyDescent="0.3">
      <c r="A232" s="92"/>
      <c r="B232" s="49">
        <v>10036951674</v>
      </c>
      <c r="C232" s="92" t="s">
        <v>311</v>
      </c>
      <c r="D232" s="93" t="s">
        <v>312</v>
      </c>
      <c r="E232" s="93"/>
      <c r="F232" s="94"/>
      <c r="G232" s="182"/>
      <c r="H232" s="95"/>
      <c r="I232" s="93"/>
      <c r="J232" s="96"/>
      <c r="K232" s="49"/>
      <c r="L232" s="93"/>
      <c r="M232" s="97" t="s">
        <v>137</v>
      </c>
      <c r="N232" s="97" t="s">
        <v>138</v>
      </c>
      <c r="O232" s="183"/>
      <c r="P232" s="183"/>
      <c r="Q232" s="183"/>
      <c r="R232" s="131"/>
      <c r="S232" s="183"/>
      <c r="T232" s="183"/>
      <c r="U232" s="183"/>
      <c r="V232" s="183"/>
      <c r="W232" s="183"/>
      <c r="X232" s="183"/>
      <c r="Y232" s="183"/>
      <c r="Z232" s="183"/>
      <c r="AA232" s="183"/>
      <c r="AB232" s="184"/>
      <c r="AC232" s="184"/>
      <c r="AD232" s="95"/>
      <c r="AE232" s="95"/>
      <c r="AF232" s="95"/>
      <c r="AG232" s="95">
        <f t="shared" si="172"/>
        <v>0</v>
      </c>
      <c r="AH232" s="95">
        <f t="shared" si="173"/>
        <v>0</v>
      </c>
      <c r="AI232" s="95">
        <f t="shared" si="157"/>
        <v>-725.24</v>
      </c>
      <c r="AJ232" s="95">
        <f t="shared" si="158"/>
        <v>-1850.94</v>
      </c>
      <c r="AK232" s="95">
        <f t="shared" si="159"/>
        <v>-1441.44</v>
      </c>
      <c r="AL232" s="133">
        <f t="shared" si="160"/>
        <v>-4017.6200000000003</v>
      </c>
      <c r="AM232" s="199">
        <f t="shared" si="161"/>
        <v>0</v>
      </c>
      <c r="AN232" s="113">
        <v>185.06</v>
      </c>
      <c r="AO232" s="113">
        <v>464.94</v>
      </c>
      <c r="AP232" s="113">
        <v>8900.2800000000007</v>
      </c>
      <c r="AQ232" s="106">
        <f t="shared" si="162"/>
        <v>9550.2800000000007</v>
      </c>
      <c r="AR232" s="193">
        <f t="shared" si="163"/>
        <v>0</v>
      </c>
      <c r="AS232" s="113">
        <v>725.24</v>
      </c>
      <c r="AT232" s="113">
        <v>1850.94</v>
      </c>
      <c r="AU232" s="113">
        <v>1441.44</v>
      </c>
      <c r="AV232" s="95">
        <f t="shared" si="183"/>
        <v>4017.6200000000003</v>
      </c>
      <c r="AW232" s="113"/>
      <c r="AX232" s="113"/>
      <c r="AY232" s="113"/>
      <c r="AZ232" s="95">
        <f t="shared" si="188"/>
        <v>0</v>
      </c>
      <c r="BA232" s="197">
        <f t="shared" si="189"/>
        <v>0</v>
      </c>
      <c r="BB232" s="94">
        <f t="shared" si="164"/>
        <v>185.06</v>
      </c>
      <c r="BC232" s="105">
        <f t="shared" si="176"/>
        <v>0</v>
      </c>
      <c r="BD232" s="94">
        <f t="shared" si="165"/>
        <v>464.94</v>
      </c>
      <c r="BE232" s="94">
        <f t="shared" si="177"/>
        <v>0</v>
      </c>
      <c r="BF232" s="94">
        <f t="shared" si="166"/>
        <v>8900.2800000000007</v>
      </c>
      <c r="BG232" s="94">
        <f t="shared" si="178"/>
        <v>0</v>
      </c>
      <c r="BH232" s="94">
        <f t="shared" si="167"/>
        <v>9550.2800000000007</v>
      </c>
      <c r="BI232" s="94">
        <f t="shared" si="168"/>
        <v>0</v>
      </c>
      <c r="BJ232" s="186">
        <f t="shared" si="182"/>
        <v>-4017.6200000000003</v>
      </c>
      <c r="BK232" s="182">
        <f t="shared" si="170"/>
        <v>0</v>
      </c>
      <c r="BL232" s="98">
        <f t="shared" si="171"/>
        <v>-4017.6200000000003</v>
      </c>
      <c r="BM232" s="99">
        <f t="shared" si="184"/>
        <v>0</v>
      </c>
      <c r="BN232" s="99">
        <f t="shared" si="185"/>
        <v>0</v>
      </c>
      <c r="BO232" s="121"/>
      <c r="BP232" s="121"/>
      <c r="BQ232" s="121"/>
      <c r="BR232" s="121"/>
      <c r="BS232" s="121"/>
      <c r="BT232" s="121"/>
      <c r="BU232" s="182"/>
      <c r="BV232" s="121"/>
      <c r="BW232" s="121"/>
      <c r="BX232" s="121"/>
      <c r="BY232" s="121"/>
      <c r="BZ232" s="121"/>
      <c r="CA232" s="95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17"/>
      <c r="CP232" s="121"/>
      <c r="CQ232" s="121"/>
      <c r="CR232" s="117"/>
      <c r="CS232" s="113"/>
      <c r="CT232" s="113"/>
      <c r="CU232" s="187">
        <f t="shared" si="186"/>
        <v>0</v>
      </c>
      <c r="CV232" s="187">
        <f t="shared" si="187"/>
        <v>0</v>
      </c>
      <c r="CW232" s="240"/>
    </row>
    <row r="233" spans="1:101" s="51" customFormat="1" ht="19.899999999999999" customHeight="1" x14ac:dyDescent="0.3">
      <c r="A233" s="148"/>
      <c r="B233" s="50">
        <v>10036951674</v>
      </c>
      <c r="C233" s="148" t="s">
        <v>311</v>
      </c>
      <c r="D233" s="104" t="s">
        <v>312</v>
      </c>
      <c r="E233" s="104"/>
      <c r="F233" s="105"/>
      <c r="G233" s="196"/>
      <c r="H233" s="106"/>
      <c r="I233" s="104"/>
      <c r="J233" s="107"/>
      <c r="K233" s="50"/>
      <c r="L233" s="104"/>
      <c r="M233" s="108" t="s">
        <v>139</v>
      </c>
      <c r="N233" s="108" t="s">
        <v>140</v>
      </c>
      <c r="O233" s="193"/>
      <c r="P233" s="193"/>
      <c r="Q233" s="193"/>
      <c r="R233" s="109"/>
      <c r="S233" s="193"/>
      <c r="T233" s="193"/>
      <c r="U233" s="193"/>
      <c r="V233" s="193"/>
      <c r="W233" s="193"/>
      <c r="X233" s="193"/>
      <c r="Y233" s="193"/>
      <c r="Z233" s="193"/>
      <c r="AA233" s="193"/>
      <c r="AB233" s="194"/>
      <c r="AC233" s="194"/>
      <c r="AD233" s="106"/>
      <c r="AE233" s="118"/>
      <c r="AF233" s="106"/>
      <c r="AG233" s="106">
        <f t="shared" si="172"/>
        <v>0</v>
      </c>
      <c r="AH233" s="106">
        <f t="shared" si="173"/>
        <v>0</v>
      </c>
      <c r="AI233" s="106">
        <f t="shared" si="157"/>
        <v>-566.08000000000004</v>
      </c>
      <c r="AJ233" s="106">
        <f t="shared" si="158"/>
        <v>-2566.98</v>
      </c>
      <c r="AK233" s="106">
        <f t="shared" si="159"/>
        <v>-1189.8900000000001</v>
      </c>
      <c r="AL233" s="132">
        <f t="shared" si="160"/>
        <v>-4322.95</v>
      </c>
      <c r="AM233" s="198">
        <f t="shared" si="161"/>
        <v>0</v>
      </c>
      <c r="AN233" s="113">
        <v>77.739999999999995</v>
      </c>
      <c r="AO233" s="113">
        <v>8777.2800000000007</v>
      </c>
      <c r="AP233" s="113">
        <v>34.44</v>
      </c>
      <c r="AQ233" s="106">
        <f t="shared" si="162"/>
        <v>8889.4600000000009</v>
      </c>
      <c r="AR233" s="193">
        <f t="shared" si="163"/>
        <v>0</v>
      </c>
      <c r="AS233" s="113">
        <v>566.08000000000004</v>
      </c>
      <c r="AT233" s="113">
        <v>2566.98</v>
      </c>
      <c r="AU233" s="113">
        <v>1189.8900000000001</v>
      </c>
      <c r="AV233" s="95">
        <f t="shared" si="183"/>
        <v>4322.95</v>
      </c>
      <c r="AW233" s="113"/>
      <c r="AX233" s="113"/>
      <c r="AY233" s="113"/>
      <c r="AZ233" s="95">
        <f t="shared" si="188"/>
        <v>0</v>
      </c>
      <c r="BA233" s="197">
        <f t="shared" si="189"/>
        <v>0</v>
      </c>
      <c r="BB233" s="94">
        <f t="shared" si="164"/>
        <v>77.739999999999995</v>
      </c>
      <c r="BC233" s="105">
        <f t="shared" si="176"/>
        <v>0</v>
      </c>
      <c r="BD233" s="94">
        <f t="shared" si="165"/>
        <v>8777.2800000000007</v>
      </c>
      <c r="BE233" s="94">
        <f t="shared" si="177"/>
        <v>0</v>
      </c>
      <c r="BF233" s="94">
        <f t="shared" si="166"/>
        <v>34.44</v>
      </c>
      <c r="BG233" s="94">
        <f t="shared" si="178"/>
        <v>0</v>
      </c>
      <c r="BH233" s="94">
        <f t="shared" si="167"/>
        <v>8889.4600000000009</v>
      </c>
      <c r="BI233" s="94">
        <f t="shared" si="168"/>
        <v>0</v>
      </c>
      <c r="BJ233" s="186">
        <f t="shared" si="182"/>
        <v>-4322.95</v>
      </c>
      <c r="BK233" s="182">
        <f t="shared" si="170"/>
        <v>0</v>
      </c>
      <c r="BL233" s="98">
        <f t="shared" si="171"/>
        <v>-4322.95</v>
      </c>
      <c r="BM233" s="99">
        <f t="shared" si="184"/>
        <v>0</v>
      </c>
      <c r="BN233" s="99">
        <f t="shared" si="185"/>
        <v>0</v>
      </c>
      <c r="BO233" s="121"/>
      <c r="BP233" s="121"/>
      <c r="BQ233" s="121"/>
      <c r="BR233" s="121"/>
      <c r="BS233" s="121"/>
      <c r="BT233" s="121"/>
      <c r="BU233" s="182"/>
      <c r="BV233" s="121"/>
      <c r="BW233" s="121"/>
      <c r="BX233" s="121"/>
      <c r="BY233" s="121"/>
      <c r="BZ233" s="121"/>
      <c r="CA233" s="95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17"/>
      <c r="CP233" s="121"/>
      <c r="CQ233" s="121"/>
      <c r="CR233" s="117"/>
      <c r="CS233" s="113"/>
      <c r="CT233" s="113"/>
      <c r="CU233" s="187">
        <f t="shared" si="186"/>
        <v>0</v>
      </c>
      <c r="CV233" s="187">
        <f t="shared" si="187"/>
        <v>0</v>
      </c>
      <c r="CW233" s="240"/>
    </row>
    <row r="234" spans="1:101" s="51" customFormat="1" ht="19.899999999999999" customHeight="1" x14ac:dyDescent="0.3">
      <c r="A234" s="92"/>
      <c r="B234" s="49">
        <v>10036951674</v>
      </c>
      <c r="C234" s="92" t="s">
        <v>311</v>
      </c>
      <c r="D234" s="93" t="s">
        <v>312</v>
      </c>
      <c r="E234" s="93"/>
      <c r="F234" s="94"/>
      <c r="G234" s="182"/>
      <c r="H234" s="95"/>
      <c r="I234" s="93"/>
      <c r="J234" s="96"/>
      <c r="K234" s="49"/>
      <c r="L234" s="93"/>
      <c r="M234" s="97" t="s">
        <v>141</v>
      </c>
      <c r="N234" s="97" t="s">
        <v>142</v>
      </c>
      <c r="O234" s="183"/>
      <c r="P234" s="183"/>
      <c r="Q234" s="183"/>
      <c r="R234" s="131"/>
      <c r="S234" s="183"/>
      <c r="T234" s="183"/>
      <c r="U234" s="183"/>
      <c r="V234" s="183"/>
      <c r="W234" s="183"/>
      <c r="X234" s="183"/>
      <c r="Y234" s="183"/>
      <c r="Z234" s="183"/>
      <c r="AA234" s="183"/>
      <c r="AB234" s="184"/>
      <c r="AC234" s="184"/>
      <c r="AD234" s="95"/>
      <c r="AE234" s="95"/>
      <c r="AF234" s="95"/>
      <c r="AG234" s="95">
        <f t="shared" si="172"/>
        <v>0</v>
      </c>
      <c r="AH234" s="95">
        <f t="shared" si="173"/>
        <v>0</v>
      </c>
      <c r="AI234" s="95">
        <f t="shared" si="157"/>
        <v>0</v>
      </c>
      <c r="AJ234" s="95">
        <f t="shared" si="158"/>
        <v>-8541.41</v>
      </c>
      <c r="AK234" s="95">
        <f t="shared" si="159"/>
        <v>0</v>
      </c>
      <c r="AL234" s="133">
        <f t="shared" si="160"/>
        <v>-8541.41</v>
      </c>
      <c r="AM234" s="199">
        <f t="shared" si="161"/>
        <v>0</v>
      </c>
      <c r="AN234" s="113">
        <v>1937.32</v>
      </c>
      <c r="AO234" s="113">
        <v>4998.72</v>
      </c>
      <c r="AP234" s="113">
        <v>1509.21</v>
      </c>
      <c r="AQ234" s="106">
        <f t="shared" si="162"/>
        <v>8445.25</v>
      </c>
      <c r="AR234" s="193">
        <f t="shared" si="163"/>
        <v>0</v>
      </c>
      <c r="AS234" s="113">
        <v>0</v>
      </c>
      <c r="AT234" s="113">
        <v>8541.41</v>
      </c>
      <c r="AU234" s="113">
        <v>0</v>
      </c>
      <c r="AV234" s="95">
        <f t="shared" si="183"/>
        <v>8541.41</v>
      </c>
      <c r="AW234" s="113"/>
      <c r="AX234" s="113"/>
      <c r="AY234" s="113"/>
      <c r="AZ234" s="95">
        <f t="shared" si="188"/>
        <v>0</v>
      </c>
      <c r="BA234" s="197">
        <f t="shared" si="189"/>
        <v>0</v>
      </c>
      <c r="BB234" s="94">
        <f t="shared" si="164"/>
        <v>1937.32</v>
      </c>
      <c r="BC234" s="105">
        <f t="shared" si="176"/>
        <v>0</v>
      </c>
      <c r="BD234" s="94">
        <f t="shared" si="165"/>
        <v>4998.72</v>
      </c>
      <c r="BE234" s="94">
        <f t="shared" si="177"/>
        <v>0</v>
      </c>
      <c r="BF234" s="94">
        <f t="shared" si="166"/>
        <v>1509.21</v>
      </c>
      <c r="BG234" s="94">
        <f t="shared" si="178"/>
        <v>0</v>
      </c>
      <c r="BH234" s="94">
        <f t="shared" si="167"/>
        <v>8445.25</v>
      </c>
      <c r="BI234" s="94">
        <f t="shared" si="168"/>
        <v>0</v>
      </c>
      <c r="BJ234" s="186">
        <f t="shared" si="182"/>
        <v>-8541.41</v>
      </c>
      <c r="BK234" s="182">
        <f t="shared" si="170"/>
        <v>0</v>
      </c>
      <c r="BL234" s="98">
        <f t="shared" si="171"/>
        <v>-8541.41</v>
      </c>
      <c r="BM234" s="99">
        <f t="shared" si="184"/>
        <v>0</v>
      </c>
      <c r="BN234" s="99">
        <f t="shared" si="185"/>
        <v>0</v>
      </c>
      <c r="BO234" s="121"/>
      <c r="BP234" s="121"/>
      <c r="BQ234" s="121"/>
      <c r="BR234" s="121"/>
      <c r="BS234" s="121"/>
      <c r="BT234" s="121"/>
      <c r="BU234" s="182"/>
      <c r="BV234" s="121"/>
      <c r="BW234" s="121"/>
      <c r="BX234" s="121"/>
      <c r="BY234" s="121"/>
      <c r="BZ234" s="121"/>
      <c r="CA234" s="95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17"/>
      <c r="CP234" s="121"/>
      <c r="CQ234" s="121"/>
      <c r="CR234" s="117"/>
      <c r="CS234" s="113"/>
      <c r="CT234" s="113"/>
      <c r="CU234" s="187">
        <f t="shared" si="186"/>
        <v>0</v>
      </c>
      <c r="CV234" s="187">
        <f t="shared" si="187"/>
        <v>0</v>
      </c>
      <c r="CW234" s="240"/>
    </row>
    <row r="235" spans="1:101" s="51" customFormat="1" ht="19.899999999999999" customHeight="1" x14ac:dyDescent="0.3">
      <c r="A235" s="103"/>
      <c r="B235" s="50">
        <v>10036951674</v>
      </c>
      <c r="C235" s="103" t="s">
        <v>311</v>
      </c>
      <c r="D235" s="104" t="s">
        <v>312</v>
      </c>
      <c r="E235" s="104"/>
      <c r="F235" s="105"/>
      <c r="G235" s="196"/>
      <c r="H235" s="106"/>
      <c r="I235" s="104"/>
      <c r="J235" s="107"/>
      <c r="K235" s="50"/>
      <c r="L235" s="104"/>
      <c r="M235" s="108" t="s">
        <v>130</v>
      </c>
      <c r="N235" s="108" t="s">
        <v>143</v>
      </c>
      <c r="O235" s="193"/>
      <c r="P235" s="193"/>
      <c r="Q235" s="193"/>
      <c r="R235" s="109"/>
      <c r="S235" s="193"/>
      <c r="T235" s="193"/>
      <c r="U235" s="193"/>
      <c r="V235" s="193"/>
      <c r="W235" s="193"/>
      <c r="X235" s="193"/>
      <c r="Y235" s="193"/>
      <c r="Z235" s="193"/>
      <c r="AA235" s="193"/>
      <c r="AB235" s="194"/>
      <c r="AC235" s="194"/>
      <c r="AD235" s="106"/>
      <c r="AE235" s="118"/>
      <c r="AF235" s="106"/>
      <c r="AG235" s="106">
        <f t="shared" si="172"/>
        <v>0</v>
      </c>
      <c r="AH235" s="106">
        <f t="shared" si="173"/>
        <v>0</v>
      </c>
      <c r="AI235" s="106">
        <f t="shared" si="157"/>
        <v>0</v>
      </c>
      <c r="AJ235" s="106">
        <f t="shared" si="158"/>
        <v>-11312.73</v>
      </c>
      <c r="AK235" s="106">
        <f t="shared" si="159"/>
        <v>0</v>
      </c>
      <c r="AL235" s="132">
        <f t="shared" si="160"/>
        <v>-11312.73</v>
      </c>
      <c r="AM235" s="198">
        <f t="shared" si="161"/>
        <v>0</v>
      </c>
      <c r="AN235" s="113">
        <v>1184.6400000000001</v>
      </c>
      <c r="AO235" s="113">
        <v>2853.6</v>
      </c>
      <c r="AP235" s="113">
        <v>1407.12</v>
      </c>
      <c r="AQ235" s="106">
        <f t="shared" si="162"/>
        <v>5445.36</v>
      </c>
      <c r="AR235" s="193">
        <f t="shared" si="163"/>
        <v>0</v>
      </c>
      <c r="AS235" s="113">
        <v>0</v>
      </c>
      <c r="AT235" s="113">
        <v>11312.73</v>
      </c>
      <c r="AU235" s="113">
        <v>0</v>
      </c>
      <c r="AV235" s="95">
        <f t="shared" si="183"/>
        <v>11312.73</v>
      </c>
      <c r="AW235" s="113"/>
      <c r="AX235" s="113"/>
      <c r="AY235" s="113"/>
      <c r="AZ235" s="95">
        <f t="shared" si="188"/>
        <v>0</v>
      </c>
      <c r="BA235" s="197">
        <f t="shared" si="189"/>
        <v>0</v>
      </c>
      <c r="BB235" s="94">
        <f t="shared" si="164"/>
        <v>1184.6400000000001</v>
      </c>
      <c r="BC235" s="105">
        <f t="shared" si="176"/>
        <v>0</v>
      </c>
      <c r="BD235" s="94">
        <f t="shared" si="165"/>
        <v>2853.6</v>
      </c>
      <c r="BE235" s="94">
        <f t="shared" si="177"/>
        <v>0</v>
      </c>
      <c r="BF235" s="94">
        <f t="shared" si="166"/>
        <v>1407.12</v>
      </c>
      <c r="BG235" s="94">
        <f t="shared" si="178"/>
        <v>0</v>
      </c>
      <c r="BH235" s="94">
        <f t="shared" si="167"/>
        <v>5445.36</v>
      </c>
      <c r="BI235" s="94">
        <f t="shared" si="168"/>
        <v>0</v>
      </c>
      <c r="BJ235" s="186">
        <f t="shared" si="182"/>
        <v>-11312.73</v>
      </c>
      <c r="BK235" s="182">
        <f t="shared" si="170"/>
        <v>0</v>
      </c>
      <c r="BL235" s="98">
        <f t="shared" si="171"/>
        <v>-11312.73</v>
      </c>
      <c r="BM235" s="99">
        <f t="shared" si="184"/>
        <v>0</v>
      </c>
      <c r="BN235" s="99">
        <f t="shared" si="185"/>
        <v>0</v>
      </c>
      <c r="BO235" s="121"/>
      <c r="BP235" s="121"/>
      <c r="BQ235" s="121"/>
      <c r="BR235" s="121"/>
      <c r="BS235" s="121"/>
      <c r="BT235" s="121"/>
      <c r="BU235" s="182"/>
      <c r="BV235" s="121"/>
      <c r="BW235" s="121"/>
      <c r="BX235" s="121"/>
      <c r="BY235" s="121"/>
      <c r="BZ235" s="121"/>
      <c r="CA235" s="95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17"/>
      <c r="CP235" s="121"/>
      <c r="CQ235" s="121"/>
      <c r="CR235" s="117"/>
      <c r="CS235" s="113"/>
      <c r="CT235" s="113"/>
      <c r="CU235" s="187">
        <f t="shared" si="186"/>
        <v>0</v>
      </c>
      <c r="CV235" s="187">
        <f t="shared" si="187"/>
        <v>0</v>
      </c>
      <c r="CW235" s="240"/>
    </row>
    <row r="236" spans="1:101" s="51" customFormat="1" ht="19.899999999999999" customHeight="1" x14ac:dyDescent="0.3">
      <c r="A236" s="92"/>
      <c r="B236" s="49">
        <v>10036951674</v>
      </c>
      <c r="C236" s="92" t="s">
        <v>311</v>
      </c>
      <c r="D236" s="93" t="s">
        <v>312</v>
      </c>
      <c r="E236" s="93"/>
      <c r="F236" s="94"/>
      <c r="G236" s="182"/>
      <c r="H236" s="95"/>
      <c r="I236" s="93"/>
      <c r="J236" s="96"/>
      <c r="K236" s="49"/>
      <c r="L236" s="93"/>
      <c r="M236" s="97" t="s">
        <v>144</v>
      </c>
      <c r="N236" s="97" t="s">
        <v>145</v>
      </c>
      <c r="O236" s="183"/>
      <c r="P236" s="183"/>
      <c r="Q236" s="183"/>
      <c r="R236" s="131"/>
      <c r="S236" s="183"/>
      <c r="T236" s="183"/>
      <c r="U236" s="183"/>
      <c r="V236" s="183"/>
      <c r="W236" s="183"/>
      <c r="X236" s="183"/>
      <c r="Y236" s="183"/>
      <c r="Z236" s="183"/>
      <c r="AA236" s="183"/>
      <c r="AB236" s="184"/>
      <c r="AC236" s="184"/>
      <c r="AD236" s="95"/>
      <c r="AE236" s="95"/>
      <c r="AF236" s="95"/>
      <c r="AG236" s="95">
        <f t="shared" si="172"/>
        <v>0</v>
      </c>
      <c r="AH236" s="95">
        <f t="shared" si="173"/>
        <v>0</v>
      </c>
      <c r="AI236" s="95">
        <f t="shared" si="157"/>
        <v>0</v>
      </c>
      <c r="AJ236" s="95">
        <f t="shared" si="158"/>
        <v>-15489.63</v>
      </c>
      <c r="AK236" s="95">
        <f t="shared" si="159"/>
        <v>0</v>
      </c>
      <c r="AL236" s="133">
        <f t="shared" si="160"/>
        <v>-15489.63</v>
      </c>
      <c r="AM236" s="199">
        <f t="shared" si="161"/>
        <v>0</v>
      </c>
      <c r="AN236" s="113">
        <v>621.5</v>
      </c>
      <c r="AO236" s="113">
        <v>1756.44</v>
      </c>
      <c r="AP236" s="113">
        <v>1603.92</v>
      </c>
      <c r="AQ236" s="106">
        <f t="shared" si="162"/>
        <v>3981.86</v>
      </c>
      <c r="AR236" s="193">
        <f t="shared" si="163"/>
        <v>0</v>
      </c>
      <c r="AS236" s="113">
        <v>0</v>
      </c>
      <c r="AT236" s="113">
        <v>15489.63</v>
      </c>
      <c r="AU236" s="113"/>
      <c r="AV236" s="95">
        <f t="shared" si="183"/>
        <v>15489.63</v>
      </c>
      <c r="AW236" s="113"/>
      <c r="AX236" s="113"/>
      <c r="AY236" s="113"/>
      <c r="AZ236" s="95">
        <f t="shared" si="188"/>
        <v>0</v>
      </c>
      <c r="BA236" s="197">
        <f t="shared" si="189"/>
        <v>0</v>
      </c>
      <c r="BB236" s="94">
        <f t="shared" si="164"/>
        <v>621.5</v>
      </c>
      <c r="BC236" s="105">
        <f t="shared" si="176"/>
        <v>0</v>
      </c>
      <c r="BD236" s="94">
        <f t="shared" si="165"/>
        <v>1756.44</v>
      </c>
      <c r="BE236" s="94">
        <f t="shared" si="177"/>
        <v>0</v>
      </c>
      <c r="BF236" s="94">
        <f t="shared" si="166"/>
        <v>1603.92</v>
      </c>
      <c r="BG236" s="94">
        <f t="shared" si="178"/>
        <v>0</v>
      </c>
      <c r="BH236" s="94">
        <f t="shared" si="167"/>
        <v>3981.86</v>
      </c>
      <c r="BI236" s="94">
        <f t="shared" si="168"/>
        <v>0</v>
      </c>
      <c r="BJ236" s="186">
        <f t="shared" si="182"/>
        <v>-15489.63</v>
      </c>
      <c r="BK236" s="182">
        <f t="shared" si="170"/>
        <v>0</v>
      </c>
      <c r="BL236" s="98">
        <f t="shared" si="171"/>
        <v>-15489.63</v>
      </c>
      <c r="BM236" s="99">
        <f t="shared" si="184"/>
        <v>0</v>
      </c>
      <c r="BN236" s="99">
        <f t="shared" si="185"/>
        <v>0</v>
      </c>
      <c r="BO236" s="121"/>
      <c r="BP236" s="121"/>
      <c r="BQ236" s="121"/>
      <c r="BR236" s="121"/>
      <c r="BS236" s="121"/>
      <c r="BT236" s="121"/>
      <c r="BU236" s="182"/>
      <c r="BV236" s="121"/>
      <c r="BW236" s="121"/>
      <c r="BX236" s="121"/>
      <c r="BY236" s="121"/>
      <c r="BZ236" s="121"/>
      <c r="CA236" s="95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17"/>
      <c r="CP236" s="121"/>
      <c r="CQ236" s="121"/>
      <c r="CR236" s="117"/>
      <c r="CS236" s="113"/>
      <c r="CT236" s="113"/>
      <c r="CU236" s="187">
        <f t="shared" si="186"/>
        <v>0</v>
      </c>
      <c r="CV236" s="187">
        <f t="shared" si="187"/>
        <v>0</v>
      </c>
      <c r="CW236" s="240"/>
    </row>
    <row r="237" spans="1:101" s="51" customFormat="1" ht="19.899999999999999" customHeight="1" x14ac:dyDescent="0.3">
      <c r="A237" s="148"/>
      <c r="B237" s="50">
        <v>10036951674</v>
      </c>
      <c r="C237" s="148" t="s">
        <v>311</v>
      </c>
      <c r="D237" s="104" t="s">
        <v>312</v>
      </c>
      <c r="E237" s="104"/>
      <c r="F237" s="105"/>
      <c r="G237" s="196"/>
      <c r="H237" s="106"/>
      <c r="I237" s="104"/>
      <c r="J237" s="107"/>
      <c r="K237" s="50"/>
      <c r="L237" s="104"/>
      <c r="M237" s="108" t="s">
        <v>146</v>
      </c>
      <c r="N237" s="108" t="s">
        <v>147</v>
      </c>
      <c r="O237" s="193"/>
      <c r="P237" s="193"/>
      <c r="Q237" s="193"/>
      <c r="R237" s="109"/>
      <c r="S237" s="193"/>
      <c r="T237" s="193"/>
      <c r="U237" s="193"/>
      <c r="V237" s="193"/>
      <c r="W237" s="193"/>
      <c r="X237" s="193"/>
      <c r="Y237" s="193"/>
      <c r="Z237" s="193"/>
      <c r="AA237" s="193"/>
      <c r="AB237" s="194"/>
      <c r="AC237" s="194"/>
      <c r="AD237" s="106"/>
      <c r="AE237" s="118"/>
      <c r="AF237" s="106"/>
      <c r="AG237" s="106">
        <f t="shared" ref="AG237:AG268" si="190">SUM(AD237:AF237)</f>
        <v>0</v>
      </c>
      <c r="AH237" s="106">
        <f t="shared" si="173"/>
        <v>0</v>
      </c>
      <c r="AI237" s="106">
        <f t="shared" si="157"/>
        <v>0</v>
      </c>
      <c r="AJ237" s="106">
        <f t="shared" si="158"/>
        <v>-13401.18</v>
      </c>
      <c r="AK237" s="106">
        <f t="shared" si="159"/>
        <v>0</v>
      </c>
      <c r="AL237" s="132">
        <f t="shared" si="160"/>
        <v>-13401.18</v>
      </c>
      <c r="AM237" s="198">
        <f t="shared" si="161"/>
        <v>0</v>
      </c>
      <c r="AN237" s="113">
        <v>1247.82</v>
      </c>
      <c r="AO237" s="113">
        <v>3202.92</v>
      </c>
      <c r="AP237" s="113">
        <v>1506.75</v>
      </c>
      <c r="AQ237" s="106">
        <f t="shared" si="162"/>
        <v>5957.49</v>
      </c>
      <c r="AR237" s="193">
        <f t="shared" si="163"/>
        <v>0</v>
      </c>
      <c r="AS237" s="113">
        <v>0</v>
      </c>
      <c r="AT237" s="113">
        <v>13401.18</v>
      </c>
      <c r="AU237" s="113">
        <v>0</v>
      </c>
      <c r="AV237" s="95">
        <f t="shared" si="183"/>
        <v>13401.18</v>
      </c>
      <c r="AW237" s="113"/>
      <c r="AX237" s="113"/>
      <c r="AY237" s="113"/>
      <c r="AZ237" s="95">
        <f t="shared" si="188"/>
        <v>0</v>
      </c>
      <c r="BA237" s="197">
        <f t="shared" si="189"/>
        <v>0</v>
      </c>
      <c r="BB237" s="94">
        <f t="shared" si="164"/>
        <v>1247.82</v>
      </c>
      <c r="BC237" s="105">
        <f t="shared" si="176"/>
        <v>0</v>
      </c>
      <c r="BD237" s="94">
        <f t="shared" si="165"/>
        <v>3202.92</v>
      </c>
      <c r="BE237" s="94">
        <f t="shared" si="177"/>
        <v>0</v>
      </c>
      <c r="BF237" s="94">
        <f t="shared" si="166"/>
        <v>1506.75</v>
      </c>
      <c r="BG237" s="94">
        <f t="shared" si="178"/>
        <v>0</v>
      </c>
      <c r="BH237" s="94">
        <f t="shared" si="167"/>
        <v>5957.49</v>
      </c>
      <c r="BI237" s="94">
        <f t="shared" si="168"/>
        <v>0</v>
      </c>
      <c r="BJ237" s="186">
        <f t="shared" si="182"/>
        <v>-13401.18</v>
      </c>
      <c r="BK237" s="182">
        <f t="shared" si="170"/>
        <v>0</v>
      </c>
      <c r="BL237" s="98">
        <f t="shared" si="171"/>
        <v>-13401.18</v>
      </c>
      <c r="BM237" s="99">
        <f t="shared" si="184"/>
        <v>0</v>
      </c>
      <c r="BN237" s="99">
        <f t="shared" si="185"/>
        <v>0</v>
      </c>
      <c r="BO237" s="121"/>
      <c r="BP237" s="121"/>
      <c r="BQ237" s="121"/>
      <c r="BR237" s="121"/>
      <c r="BS237" s="121"/>
      <c r="BT237" s="121"/>
      <c r="BU237" s="182"/>
      <c r="BV237" s="121"/>
      <c r="BW237" s="121"/>
      <c r="BX237" s="121"/>
      <c r="BY237" s="121"/>
      <c r="BZ237" s="121"/>
      <c r="CA237" s="95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17"/>
      <c r="CP237" s="121"/>
      <c r="CQ237" s="121"/>
      <c r="CR237" s="117"/>
      <c r="CS237" s="113"/>
      <c r="CT237" s="113"/>
      <c r="CU237" s="187">
        <f t="shared" si="186"/>
        <v>0</v>
      </c>
      <c r="CV237" s="187">
        <f t="shared" si="187"/>
        <v>0</v>
      </c>
      <c r="CW237" s="240"/>
    </row>
    <row r="238" spans="1:101" s="51" customFormat="1" ht="19.899999999999999" customHeight="1" x14ac:dyDescent="0.3">
      <c r="A238" s="92"/>
      <c r="B238" s="49">
        <v>10036951674</v>
      </c>
      <c r="C238" s="92" t="s">
        <v>311</v>
      </c>
      <c r="D238" s="93" t="s">
        <v>312</v>
      </c>
      <c r="E238" s="93"/>
      <c r="F238" s="94"/>
      <c r="G238" s="182"/>
      <c r="H238" s="95"/>
      <c r="I238" s="93"/>
      <c r="J238" s="96"/>
      <c r="K238" s="49"/>
      <c r="L238" s="93"/>
      <c r="M238" s="97" t="s">
        <v>148</v>
      </c>
      <c r="N238" s="97" t="s">
        <v>149</v>
      </c>
      <c r="O238" s="183"/>
      <c r="P238" s="183"/>
      <c r="Q238" s="183"/>
      <c r="R238" s="131"/>
      <c r="S238" s="183"/>
      <c r="T238" s="183"/>
      <c r="U238" s="183"/>
      <c r="V238" s="183"/>
      <c r="W238" s="183"/>
      <c r="X238" s="183"/>
      <c r="Y238" s="183"/>
      <c r="Z238" s="183"/>
      <c r="AA238" s="183"/>
      <c r="AB238" s="184"/>
      <c r="AC238" s="184"/>
      <c r="AD238" s="95"/>
      <c r="AE238" s="95"/>
      <c r="AF238" s="95"/>
      <c r="AG238" s="95">
        <f t="shared" si="190"/>
        <v>0</v>
      </c>
      <c r="AH238" s="95">
        <f t="shared" si="173"/>
        <v>0</v>
      </c>
      <c r="AI238" s="95">
        <f t="shared" si="157"/>
        <v>-17.850000000000001</v>
      </c>
      <c r="AJ238" s="95">
        <f t="shared" si="158"/>
        <v>0</v>
      </c>
      <c r="AK238" s="95">
        <f t="shared" si="159"/>
        <v>-12018.24</v>
      </c>
      <c r="AL238" s="133">
        <f t="shared" si="160"/>
        <v>-12036.09</v>
      </c>
      <c r="AM238" s="199">
        <f t="shared" si="161"/>
        <v>0</v>
      </c>
      <c r="AN238" s="113">
        <v>0</v>
      </c>
      <c r="AO238" s="113">
        <v>934.8</v>
      </c>
      <c r="AP238" s="113">
        <v>0</v>
      </c>
      <c r="AQ238" s="106">
        <f t="shared" si="162"/>
        <v>934.8</v>
      </c>
      <c r="AR238" s="193">
        <f t="shared" si="163"/>
        <v>0</v>
      </c>
      <c r="AS238" s="113">
        <v>17.850000000000001</v>
      </c>
      <c r="AT238" s="113">
        <v>0</v>
      </c>
      <c r="AU238" s="113">
        <v>12018.24</v>
      </c>
      <c r="AV238" s="95">
        <f t="shared" si="183"/>
        <v>12036.09</v>
      </c>
      <c r="AW238" s="113"/>
      <c r="AX238" s="113"/>
      <c r="AY238" s="113"/>
      <c r="AZ238" s="95">
        <f t="shared" si="188"/>
        <v>0</v>
      </c>
      <c r="BA238" s="197">
        <f t="shared" si="189"/>
        <v>0</v>
      </c>
      <c r="BB238" s="94">
        <f t="shared" si="164"/>
        <v>0</v>
      </c>
      <c r="BC238" s="105">
        <f t="shared" si="176"/>
        <v>0</v>
      </c>
      <c r="BD238" s="94">
        <f t="shared" si="165"/>
        <v>934.8</v>
      </c>
      <c r="BE238" s="94">
        <f t="shared" si="177"/>
        <v>0</v>
      </c>
      <c r="BF238" s="94">
        <f t="shared" si="166"/>
        <v>0</v>
      </c>
      <c r="BG238" s="94">
        <f t="shared" si="178"/>
        <v>0</v>
      </c>
      <c r="BH238" s="94">
        <f t="shared" si="167"/>
        <v>934.8</v>
      </c>
      <c r="BI238" s="94">
        <f t="shared" si="168"/>
        <v>0</v>
      </c>
      <c r="BJ238" s="186">
        <f t="shared" si="182"/>
        <v>-12036.09</v>
      </c>
      <c r="BK238" s="182">
        <f t="shared" si="170"/>
        <v>0</v>
      </c>
      <c r="BL238" s="98">
        <f t="shared" si="171"/>
        <v>-12036.09</v>
      </c>
      <c r="BM238" s="99">
        <f t="shared" si="184"/>
        <v>0</v>
      </c>
      <c r="BN238" s="99">
        <f t="shared" si="185"/>
        <v>0</v>
      </c>
      <c r="BO238" s="121"/>
      <c r="BP238" s="121"/>
      <c r="BQ238" s="121"/>
      <c r="BR238" s="121"/>
      <c r="BS238" s="121"/>
      <c r="BT238" s="121"/>
      <c r="BU238" s="182"/>
      <c r="BV238" s="121"/>
      <c r="BW238" s="121"/>
      <c r="BX238" s="121"/>
      <c r="BY238" s="121"/>
      <c r="BZ238" s="121"/>
      <c r="CA238" s="95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17"/>
      <c r="CP238" s="121"/>
      <c r="CQ238" s="121"/>
      <c r="CR238" s="117"/>
      <c r="CS238" s="113"/>
      <c r="CT238" s="113"/>
      <c r="CU238" s="187">
        <f t="shared" si="186"/>
        <v>0</v>
      </c>
      <c r="CV238" s="187">
        <f t="shared" si="187"/>
        <v>0</v>
      </c>
      <c r="CW238" s="240"/>
    </row>
    <row r="239" spans="1:101" s="51" customFormat="1" ht="19.899999999999999" customHeight="1" x14ac:dyDescent="0.3">
      <c r="A239" s="103"/>
      <c r="B239" s="50">
        <v>10036951674</v>
      </c>
      <c r="C239" s="103" t="s">
        <v>311</v>
      </c>
      <c r="D239" s="104" t="s">
        <v>312</v>
      </c>
      <c r="E239" s="104"/>
      <c r="F239" s="105"/>
      <c r="G239" s="196"/>
      <c r="H239" s="106"/>
      <c r="I239" s="104"/>
      <c r="J239" s="107"/>
      <c r="K239" s="50"/>
      <c r="L239" s="104"/>
      <c r="M239" s="108" t="s">
        <v>150</v>
      </c>
      <c r="N239" s="108" t="s">
        <v>151</v>
      </c>
      <c r="O239" s="193"/>
      <c r="P239" s="193"/>
      <c r="Q239" s="193"/>
      <c r="R239" s="109"/>
      <c r="S239" s="193"/>
      <c r="T239" s="193"/>
      <c r="U239" s="193"/>
      <c r="V239" s="193"/>
      <c r="W239" s="193"/>
      <c r="X239" s="193"/>
      <c r="Y239" s="193"/>
      <c r="Z239" s="193"/>
      <c r="AA239" s="193"/>
      <c r="AB239" s="194"/>
      <c r="AC239" s="194"/>
      <c r="AD239" s="106"/>
      <c r="AE239" s="118"/>
      <c r="AF239" s="106"/>
      <c r="AG239" s="106">
        <f t="shared" si="190"/>
        <v>0</v>
      </c>
      <c r="AH239" s="106">
        <f t="shared" si="173"/>
        <v>0</v>
      </c>
      <c r="AI239" s="106">
        <f t="shared" si="157"/>
        <v>-16.61</v>
      </c>
      <c r="AJ239" s="106">
        <f t="shared" si="158"/>
        <v>-3182.4</v>
      </c>
      <c r="AK239" s="106">
        <f t="shared" si="159"/>
        <v>-8999.64</v>
      </c>
      <c r="AL239" s="132">
        <f t="shared" si="160"/>
        <v>-12198.65</v>
      </c>
      <c r="AM239" s="198">
        <f t="shared" si="161"/>
        <v>0</v>
      </c>
      <c r="AN239" s="113">
        <v>393.27</v>
      </c>
      <c r="AO239" s="113">
        <v>1890.51</v>
      </c>
      <c r="AP239" s="113">
        <v>18.45</v>
      </c>
      <c r="AQ239" s="106">
        <f t="shared" si="162"/>
        <v>2302.2299999999996</v>
      </c>
      <c r="AR239" s="193">
        <f t="shared" si="163"/>
        <v>0</v>
      </c>
      <c r="AS239" s="113">
        <v>16.61</v>
      </c>
      <c r="AT239" s="113">
        <v>3182.4</v>
      </c>
      <c r="AU239" s="113">
        <v>8999.64</v>
      </c>
      <c r="AV239" s="95">
        <f t="shared" si="183"/>
        <v>12198.65</v>
      </c>
      <c r="AW239" s="113"/>
      <c r="AX239" s="113"/>
      <c r="AY239" s="113"/>
      <c r="AZ239" s="95">
        <f t="shared" si="188"/>
        <v>0</v>
      </c>
      <c r="BA239" s="197">
        <f t="shared" si="189"/>
        <v>0</v>
      </c>
      <c r="BB239" s="94">
        <f t="shared" si="164"/>
        <v>393.27</v>
      </c>
      <c r="BC239" s="105">
        <f t="shared" si="176"/>
        <v>0</v>
      </c>
      <c r="BD239" s="94">
        <f t="shared" si="165"/>
        <v>1890.51</v>
      </c>
      <c r="BE239" s="94">
        <f t="shared" si="177"/>
        <v>0</v>
      </c>
      <c r="BF239" s="94">
        <f t="shared" si="166"/>
        <v>18.45</v>
      </c>
      <c r="BG239" s="94">
        <f t="shared" si="178"/>
        <v>0</v>
      </c>
      <c r="BH239" s="94">
        <f t="shared" si="167"/>
        <v>2302.2299999999996</v>
      </c>
      <c r="BI239" s="94">
        <f t="shared" si="168"/>
        <v>0</v>
      </c>
      <c r="BJ239" s="186">
        <f t="shared" si="182"/>
        <v>-12198.65</v>
      </c>
      <c r="BK239" s="182">
        <f t="shared" si="170"/>
        <v>0</v>
      </c>
      <c r="BL239" s="98">
        <f t="shared" si="171"/>
        <v>-12198.65</v>
      </c>
      <c r="BM239" s="99">
        <f t="shared" si="184"/>
        <v>0</v>
      </c>
      <c r="BN239" s="99">
        <f t="shared" si="185"/>
        <v>0</v>
      </c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17"/>
      <c r="CP239" s="121"/>
      <c r="CQ239" s="121"/>
      <c r="CR239" s="117"/>
      <c r="CS239" s="113"/>
      <c r="CT239" s="113"/>
      <c r="CU239" s="187">
        <f t="shared" si="186"/>
        <v>0</v>
      </c>
      <c r="CV239" s="187">
        <f t="shared" si="187"/>
        <v>0</v>
      </c>
      <c r="CW239" s="240"/>
    </row>
    <row r="240" spans="1:101" s="51" customFormat="1" ht="19.899999999999999" customHeight="1" x14ac:dyDescent="0.3">
      <c r="A240" s="92"/>
      <c r="B240" s="49">
        <v>10036951674</v>
      </c>
      <c r="C240" s="92" t="s">
        <v>311</v>
      </c>
      <c r="D240" s="93"/>
      <c r="E240" s="93"/>
      <c r="F240" s="94"/>
      <c r="G240" s="182"/>
      <c r="H240" s="95"/>
      <c r="I240" s="93"/>
      <c r="J240" s="96"/>
      <c r="K240" s="49"/>
      <c r="L240" s="93"/>
      <c r="M240" s="97" t="s">
        <v>152</v>
      </c>
      <c r="N240" s="97" t="s">
        <v>153</v>
      </c>
      <c r="O240" s="183"/>
      <c r="P240" s="183"/>
      <c r="Q240" s="183"/>
      <c r="R240" s="131"/>
      <c r="S240" s="183"/>
      <c r="T240" s="183"/>
      <c r="U240" s="183"/>
      <c r="V240" s="183"/>
      <c r="W240" s="183"/>
      <c r="X240" s="183"/>
      <c r="Y240" s="183"/>
      <c r="Z240" s="183"/>
      <c r="AA240" s="183"/>
      <c r="AB240" s="184"/>
      <c r="AC240" s="184"/>
      <c r="AD240" s="95"/>
      <c r="AE240" s="95"/>
      <c r="AF240" s="95"/>
      <c r="AG240" s="95">
        <f t="shared" si="190"/>
        <v>0</v>
      </c>
      <c r="AH240" s="95">
        <f t="shared" si="173"/>
        <v>0</v>
      </c>
      <c r="AI240" s="95">
        <f t="shared" si="157"/>
        <v>0</v>
      </c>
      <c r="AJ240" s="95">
        <f t="shared" si="158"/>
        <v>0</v>
      </c>
      <c r="AK240" s="95">
        <f t="shared" si="159"/>
        <v>0</v>
      </c>
      <c r="AL240" s="133">
        <f t="shared" si="160"/>
        <v>0</v>
      </c>
      <c r="AM240" s="199">
        <f t="shared" si="161"/>
        <v>0</v>
      </c>
      <c r="AN240" s="113">
        <v>518.55999999999995</v>
      </c>
      <c r="AO240" s="113">
        <v>2183.25</v>
      </c>
      <c r="AP240" s="113">
        <v>52.89</v>
      </c>
      <c r="AQ240" s="106">
        <f t="shared" si="162"/>
        <v>2754.7</v>
      </c>
      <c r="AR240" s="193">
        <f t="shared" si="163"/>
        <v>0</v>
      </c>
      <c r="AS240" s="113"/>
      <c r="AT240" s="113"/>
      <c r="AU240" s="113"/>
      <c r="AV240" s="95">
        <f t="shared" si="183"/>
        <v>0</v>
      </c>
      <c r="AW240" s="113"/>
      <c r="AX240" s="113"/>
      <c r="AY240" s="113"/>
      <c r="AZ240" s="113"/>
      <c r="BA240" s="215"/>
      <c r="BB240" s="113">
        <f t="shared" si="164"/>
        <v>518.55999999999995</v>
      </c>
      <c r="BC240" s="113">
        <f t="shared" si="176"/>
        <v>0</v>
      </c>
      <c r="BD240" s="113">
        <f t="shared" si="165"/>
        <v>2183.25</v>
      </c>
      <c r="BE240" s="113">
        <f t="shared" si="177"/>
        <v>0</v>
      </c>
      <c r="BF240" s="113">
        <f t="shared" si="166"/>
        <v>52.89</v>
      </c>
      <c r="BG240" s="113">
        <f t="shared" si="178"/>
        <v>0</v>
      </c>
      <c r="BH240" s="113">
        <f t="shared" si="167"/>
        <v>2754.7</v>
      </c>
      <c r="BI240" s="113">
        <f t="shared" si="168"/>
        <v>0</v>
      </c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17"/>
      <c r="CP240" s="121"/>
      <c r="CQ240" s="121"/>
      <c r="CR240" s="117"/>
      <c r="CS240" s="113"/>
      <c r="CT240" s="113"/>
      <c r="CU240" s="187">
        <f t="shared" si="186"/>
        <v>0</v>
      </c>
      <c r="CV240" s="187">
        <f t="shared" si="187"/>
        <v>0</v>
      </c>
      <c r="CW240" s="240"/>
    </row>
    <row r="241" spans="1:100" s="51" customFormat="1" ht="19.899999999999999" customHeight="1" x14ac:dyDescent="0.3">
      <c r="A241" s="92" t="s">
        <v>314</v>
      </c>
      <c r="B241" s="49">
        <v>10024125537</v>
      </c>
      <c r="C241" s="92" t="s">
        <v>315</v>
      </c>
      <c r="D241" s="93" t="s">
        <v>316</v>
      </c>
      <c r="E241" s="93">
        <v>44838</v>
      </c>
      <c r="F241" s="94">
        <v>37705.879999999997</v>
      </c>
      <c r="G241" s="182">
        <v>0.53</v>
      </c>
      <c r="H241" s="95">
        <f>F241*G241</f>
        <v>19984.116399999999</v>
      </c>
      <c r="I241" s="93" t="s">
        <v>130</v>
      </c>
      <c r="J241" s="96" t="s">
        <v>317</v>
      </c>
      <c r="K241" s="49" t="s">
        <v>318</v>
      </c>
      <c r="L241" s="93"/>
      <c r="M241" s="137" t="s">
        <v>152</v>
      </c>
      <c r="N241" s="137" t="s">
        <v>153</v>
      </c>
      <c r="O241" s="183">
        <v>11145.59</v>
      </c>
      <c r="P241" s="183">
        <v>0</v>
      </c>
      <c r="Q241" s="200">
        <v>4392.08</v>
      </c>
      <c r="R241" s="131">
        <v>147.4</v>
      </c>
      <c r="S241" s="183">
        <v>34.630000000000003</v>
      </c>
      <c r="T241" s="183">
        <v>0</v>
      </c>
      <c r="U241" s="183">
        <v>0</v>
      </c>
      <c r="V241" s="183">
        <v>0</v>
      </c>
      <c r="W241" s="183">
        <v>0</v>
      </c>
      <c r="X241" s="183">
        <v>0</v>
      </c>
      <c r="Y241" s="183">
        <v>0</v>
      </c>
      <c r="Z241" s="183">
        <v>40.700000000000003</v>
      </c>
      <c r="AA241" s="183">
        <v>0</v>
      </c>
      <c r="AB241" s="184">
        <f>1.857034+0.497465</f>
        <v>2.3544990000000001</v>
      </c>
      <c r="AC241" s="184">
        <f>0.115588+0.317236</f>
        <v>0.43282399999999999</v>
      </c>
      <c r="AD241" s="95">
        <v>59.22</v>
      </c>
      <c r="AE241" s="95">
        <v>21195.05</v>
      </c>
      <c r="AF241" s="95">
        <v>0.02</v>
      </c>
      <c r="AG241" s="95">
        <f t="shared" si="190"/>
        <v>21254.29</v>
      </c>
      <c r="AH241" s="95">
        <f t="shared" si="173"/>
        <v>9313.1684084600001</v>
      </c>
      <c r="AI241" s="95">
        <f t="shared" si="157"/>
        <v>54.81</v>
      </c>
      <c r="AJ241" s="95">
        <f t="shared" si="158"/>
        <v>11930.9</v>
      </c>
      <c r="AK241" s="95">
        <f t="shared" si="159"/>
        <v>-3762.73</v>
      </c>
      <c r="AL241" s="133">
        <f t="shared" si="160"/>
        <v>8222.98</v>
      </c>
      <c r="AM241" s="199">
        <f t="shared" si="161"/>
        <v>3664.4301022700001</v>
      </c>
      <c r="AN241" s="51">
        <v>2129.9699999999998</v>
      </c>
      <c r="AO241" s="51">
        <v>9264.15</v>
      </c>
      <c r="AP241" s="51">
        <v>7629.3</v>
      </c>
      <c r="AQ241" s="51">
        <f t="shared" si="162"/>
        <v>19023.419999999998</v>
      </c>
      <c r="AR241" s="201">
        <f t="shared" si="163"/>
        <v>12326.902837829999</v>
      </c>
      <c r="AS241" s="51">
        <v>4.41</v>
      </c>
      <c r="AT241" s="51">
        <v>9264.15</v>
      </c>
      <c r="AU241" s="51">
        <v>3762.75</v>
      </c>
      <c r="AV241" s="51">
        <f t="shared" si="183"/>
        <v>13031.31</v>
      </c>
      <c r="AW241" s="51">
        <v>4.41</v>
      </c>
      <c r="AX241" s="51">
        <v>9264.15</v>
      </c>
      <c r="AY241" s="51">
        <v>3762.75</v>
      </c>
      <c r="AZ241" s="133">
        <f>SUM(AW241:AY241)</f>
        <v>13031.31</v>
      </c>
      <c r="BA241" s="216">
        <f>(AW241*AB241)+((AX241+AY241)*AC241)</f>
        <v>5648.73830619</v>
      </c>
      <c r="BB241" s="138">
        <f t="shared" si="164"/>
        <v>2125.56</v>
      </c>
      <c r="BC241" s="139">
        <f t="shared" si="176"/>
        <v>5004.6288944400003</v>
      </c>
      <c r="BD241" s="138">
        <f t="shared" si="165"/>
        <v>0</v>
      </c>
      <c r="BE241" s="138">
        <f t="shared" si="177"/>
        <v>0</v>
      </c>
      <c r="BF241" s="138">
        <f t="shared" si="166"/>
        <v>3866.55</v>
      </c>
      <c r="BG241" s="138">
        <f t="shared" si="178"/>
        <v>1673.5356372000001</v>
      </c>
      <c r="BH241" s="138">
        <f t="shared" si="167"/>
        <v>5992.1100000000006</v>
      </c>
      <c r="BI241" s="138">
        <f t="shared" si="168"/>
        <v>6678.1645316400009</v>
      </c>
      <c r="BJ241" s="217">
        <f>BL241+BS241+BV241+BY241+CB241+CE241+CH241+CK241</f>
        <v>21254.29</v>
      </c>
      <c r="BK241" s="218">
        <f>((AI241+AW241)*AB241)+((AJ241+AK241+AX241+AY241)*AC241)</f>
        <v>9313.1684084600001</v>
      </c>
      <c r="BL241" s="140">
        <f>BM241+BN241+AL241</f>
        <v>21254.29</v>
      </c>
      <c r="BM241" s="141">
        <f>AW241</f>
        <v>4.41</v>
      </c>
      <c r="BN241" s="141">
        <f>AX241+AY241</f>
        <v>13026.9</v>
      </c>
      <c r="BO241" s="126"/>
      <c r="BP241" s="126"/>
      <c r="BQ241" s="126"/>
      <c r="BR241" s="126"/>
      <c r="BS241" s="126"/>
      <c r="BT241" s="126"/>
      <c r="BU241" s="126"/>
      <c r="BV241" s="126"/>
      <c r="BW241" s="126"/>
      <c r="BX241" s="126"/>
      <c r="BY241" s="126"/>
      <c r="BZ241" s="126"/>
      <c r="CA241" s="126"/>
      <c r="CB241" s="126"/>
      <c r="CC241" s="126"/>
      <c r="CD241" s="126"/>
      <c r="CE241" s="126"/>
      <c r="CF241" s="126"/>
      <c r="CG241" s="126"/>
      <c r="CH241" s="126"/>
      <c r="CI241" s="126"/>
      <c r="CJ241" s="126"/>
      <c r="CK241" s="126"/>
      <c r="CL241" s="126"/>
      <c r="CM241" s="126"/>
      <c r="CN241" s="126"/>
      <c r="CO241" s="60">
        <v>0</v>
      </c>
      <c r="CP241" s="126"/>
      <c r="CQ241" s="126"/>
      <c r="CR241" s="60">
        <v>0</v>
      </c>
      <c r="CS241" s="143" t="s">
        <v>326</v>
      </c>
      <c r="CU241" s="187"/>
      <c r="CV241" s="187"/>
    </row>
    <row r="242" spans="1:100" s="51" customFormat="1" ht="19.899999999999999" customHeight="1" x14ac:dyDescent="0.3">
      <c r="A242" s="103"/>
      <c r="B242" s="255"/>
      <c r="C242" s="103"/>
      <c r="D242" s="104"/>
      <c r="E242" s="104"/>
      <c r="F242" s="105"/>
      <c r="G242" s="263"/>
      <c r="H242" s="106"/>
      <c r="I242" s="104"/>
      <c r="J242" s="107"/>
      <c r="K242" s="50"/>
      <c r="L242" s="104"/>
      <c r="M242" s="256"/>
      <c r="N242" s="256"/>
      <c r="O242" s="264"/>
      <c r="P242" s="193"/>
      <c r="Q242" s="264"/>
      <c r="R242" s="109"/>
      <c r="S242" s="264"/>
      <c r="T242" s="193"/>
      <c r="U242" s="264"/>
      <c r="V242" s="193"/>
      <c r="W242" s="193"/>
      <c r="X242" s="193"/>
      <c r="Y242" s="193"/>
      <c r="Z242" s="264"/>
      <c r="AA242" s="193"/>
      <c r="AB242" s="265"/>
      <c r="AC242" s="265"/>
      <c r="AD242" s="106"/>
      <c r="AE242" s="118"/>
      <c r="AF242" s="106"/>
      <c r="AG242" s="106"/>
      <c r="AH242" s="106"/>
      <c r="AI242" s="106"/>
      <c r="AJ242" s="106"/>
      <c r="AK242" s="106"/>
      <c r="AM242" s="219"/>
      <c r="AN242" s="257"/>
      <c r="AO242" s="257"/>
      <c r="AP242" s="257"/>
      <c r="AR242" s="219"/>
      <c r="AS242"/>
      <c r="AT242"/>
      <c r="AU242"/>
      <c r="AW242" s="258"/>
      <c r="AX242" s="257"/>
      <c r="AY242" s="257"/>
      <c r="BA242" s="266"/>
      <c r="BJ242" s="126"/>
      <c r="BK242" s="126"/>
      <c r="BL242" s="126"/>
      <c r="BM242" s="126"/>
      <c r="BN242" s="126"/>
      <c r="BO242" s="126"/>
      <c r="BP242" s="126"/>
      <c r="BQ242" s="126"/>
      <c r="BR242" s="126"/>
      <c r="BS242" s="126"/>
      <c r="BT242" s="126"/>
      <c r="BU242" s="126"/>
      <c r="BV242" s="126"/>
      <c r="BW242" s="126"/>
      <c r="BX242" s="126"/>
      <c r="BY242" s="126"/>
      <c r="BZ242" s="126"/>
      <c r="CA242" s="126"/>
      <c r="CB242" s="126"/>
      <c r="CC242" s="126"/>
      <c r="CD242" s="126"/>
      <c r="CE242" s="126"/>
      <c r="CF242" s="126"/>
      <c r="CG242" s="126"/>
      <c r="CH242" s="126"/>
      <c r="CI242" s="126"/>
      <c r="CJ242" s="126"/>
      <c r="CK242" s="126"/>
      <c r="CL242" s="126"/>
      <c r="CM242" s="126"/>
      <c r="CN242" s="267"/>
      <c r="CO242" s="268"/>
      <c r="CP242" s="267"/>
      <c r="CQ242" s="126"/>
      <c r="CR242" s="60"/>
      <c r="CU242" s="187"/>
      <c r="CV242" s="187"/>
    </row>
    <row r="243" spans="1:100" s="51" customFormat="1" ht="19.899999999999999" customHeight="1" x14ac:dyDescent="0.3">
      <c r="A243" s="92"/>
      <c r="B243" s="269"/>
      <c r="C243" s="92"/>
      <c r="D243" s="93"/>
      <c r="E243" s="93"/>
      <c r="F243" s="94"/>
      <c r="G243" s="270"/>
      <c r="H243" s="95"/>
      <c r="I243" s="93"/>
      <c r="J243" s="96"/>
      <c r="K243" s="163"/>
      <c r="L243" s="93"/>
      <c r="M243" s="271"/>
      <c r="N243" s="271"/>
      <c r="O243" s="272"/>
      <c r="P243" s="183"/>
      <c r="Q243" s="272"/>
      <c r="R243" s="131"/>
      <c r="S243" s="272"/>
      <c r="T243" s="183"/>
      <c r="U243" s="272"/>
      <c r="V243" s="183"/>
      <c r="W243" s="183"/>
      <c r="X243" s="183"/>
      <c r="Y243" s="183"/>
      <c r="Z243" s="272"/>
      <c r="AA243" s="183"/>
      <c r="AB243" s="273"/>
      <c r="AC243" s="273"/>
      <c r="AD243" s="95"/>
      <c r="AE243" s="95"/>
      <c r="AF243" s="95"/>
      <c r="AG243" s="95"/>
      <c r="AH243" s="95"/>
      <c r="AI243" s="95"/>
      <c r="AJ243" s="95"/>
      <c r="AK243" s="95"/>
      <c r="AM243" s="219"/>
      <c r="AN243" s="257"/>
      <c r="AO243" s="257"/>
      <c r="AP243" s="257"/>
      <c r="AR243" s="219"/>
      <c r="AS243"/>
      <c r="AT243"/>
      <c r="AU243"/>
      <c r="AW243" s="258"/>
      <c r="AX243" s="257"/>
      <c r="AY243" s="257"/>
      <c r="BA243" s="266"/>
      <c r="BJ243" s="126"/>
      <c r="BK243" s="126"/>
      <c r="BL243" s="126"/>
      <c r="BM243" s="126"/>
      <c r="BN243" s="126"/>
      <c r="BO243" s="126"/>
      <c r="BP243" s="126"/>
      <c r="BQ243" s="126"/>
      <c r="BR243" s="126"/>
      <c r="BS243" s="126"/>
      <c r="BT243" s="126"/>
      <c r="BU243" s="126"/>
      <c r="BV243" s="126"/>
      <c r="BW243" s="126"/>
      <c r="BX243" s="126"/>
      <c r="BY243" s="126"/>
      <c r="BZ243" s="126"/>
      <c r="CA243" s="126"/>
      <c r="CB243" s="126"/>
      <c r="CC243" s="126"/>
      <c r="CD243" s="126"/>
      <c r="CE243" s="126"/>
      <c r="CF243" s="126"/>
      <c r="CG243" s="126"/>
      <c r="CH243" s="126"/>
      <c r="CI243" s="126"/>
      <c r="CJ243" s="126"/>
      <c r="CK243" s="126"/>
      <c r="CL243" s="126"/>
      <c r="CM243" s="126"/>
      <c r="CN243" s="267"/>
      <c r="CO243" s="268"/>
      <c r="CP243" s="267"/>
      <c r="CQ243" s="126"/>
      <c r="CR243" s="60"/>
      <c r="CU243" s="187"/>
      <c r="CV243" s="187"/>
    </row>
    <row r="244" spans="1:100" s="51" customFormat="1" ht="19.899999999999999" customHeight="1" x14ac:dyDescent="0.3">
      <c r="A244" s="103"/>
      <c r="B244" s="255"/>
      <c r="C244" s="103"/>
      <c r="D244" s="104"/>
      <c r="E244" s="104"/>
      <c r="F244" s="105"/>
      <c r="G244" s="263"/>
      <c r="H244" s="106"/>
      <c r="I244" s="104"/>
      <c r="J244" s="107"/>
      <c r="K244" s="50"/>
      <c r="L244" s="104"/>
      <c r="M244" s="256"/>
      <c r="N244" s="256"/>
      <c r="O244" s="264"/>
      <c r="P244" s="193"/>
      <c r="Q244" s="264"/>
      <c r="R244" s="109"/>
      <c r="S244" s="264"/>
      <c r="T244" s="193"/>
      <c r="U244" s="264"/>
      <c r="V244" s="193"/>
      <c r="W244" s="193"/>
      <c r="X244" s="193"/>
      <c r="Y244" s="193"/>
      <c r="Z244" s="264"/>
      <c r="AA244" s="193"/>
      <c r="AB244" s="265"/>
      <c r="AC244" s="265"/>
      <c r="AD244" s="126"/>
      <c r="AE244" s="126"/>
      <c r="AF244" s="126"/>
      <c r="AG244" s="126"/>
      <c r="AH244" s="126"/>
      <c r="AM244" s="219"/>
      <c r="AN244" s="257"/>
      <c r="AO244" s="257"/>
      <c r="AP244" s="257"/>
      <c r="AR244" s="219"/>
      <c r="AS244"/>
      <c r="AT244"/>
      <c r="AU244"/>
      <c r="AW244" s="258"/>
      <c r="AX244" s="257"/>
      <c r="AY244" s="257"/>
      <c r="BA244" s="266"/>
      <c r="BJ244" s="126"/>
      <c r="BK244" s="127"/>
      <c r="BL244" s="126"/>
      <c r="BM244" s="126"/>
      <c r="BN244" s="126"/>
      <c r="BO244" s="126"/>
      <c r="BP244" s="126"/>
      <c r="BQ244" s="126"/>
      <c r="BR244" s="126"/>
      <c r="BS244" s="126"/>
      <c r="BT244" s="126"/>
      <c r="BU244" s="126"/>
      <c r="BV244" s="126"/>
      <c r="BW244" s="126"/>
      <c r="BX244" s="126"/>
      <c r="BY244" s="126"/>
      <c r="BZ244" s="126"/>
      <c r="CA244" s="126"/>
      <c r="CB244" s="126"/>
      <c r="CC244" s="126"/>
      <c r="CD244" s="126"/>
      <c r="CE244" s="126"/>
      <c r="CF244" s="126"/>
      <c r="CG244" s="126"/>
      <c r="CH244" s="126"/>
      <c r="CI244" s="126"/>
      <c r="CJ244" s="126"/>
      <c r="CK244" s="126"/>
      <c r="CL244" s="126"/>
      <c r="CM244" s="126"/>
      <c r="CN244" s="267"/>
      <c r="CO244" s="268"/>
      <c r="CP244" s="267"/>
      <c r="CQ244" s="126"/>
      <c r="CR244" s="60"/>
      <c r="CU244" s="187"/>
      <c r="CV244" s="187"/>
    </row>
    <row r="245" spans="1:100" s="51" customFormat="1" ht="19.899999999999999" customHeight="1" x14ac:dyDescent="0.3">
      <c r="A245" s="92"/>
      <c r="B245" s="269"/>
      <c r="C245" s="92"/>
      <c r="D245" s="93"/>
      <c r="E245" s="93"/>
      <c r="F245" s="94"/>
      <c r="G245" s="270"/>
      <c r="H245" s="95"/>
      <c r="I245" s="93"/>
      <c r="J245" s="96"/>
      <c r="K245" s="49"/>
      <c r="L245" s="93"/>
      <c r="M245" s="271"/>
      <c r="N245" s="271"/>
      <c r="O245" s="272"/>
      <c r="P245" s="183"/>
      <c r="Q245" s="272"/>
      <c r="R245" s="131"/>
      <c r="S245" s="272"/>
      <c r="T245" s="183"/>
      <c r="U245" s="272"/>
      <c r="V245" s="183"/>
      <c r="W245" s="183"/>
      <c r="X245" s="183"/>
      <c r="Y245" s="183"/>
      <c r="Z245" s="272"/>
      <c r="AA245" s="183"/>
      <c r="AB245" s="273"/>
      <c r="AC245" s="273"/>
      <c r="AD245" s="126"/>
      <c r="AE245" s="128"/>
      <c r="AF245" s="126"/>
      <c r="AG245" s="126"/>
      <c r="AH245" s="126"/>
      <c r="AM245" s="219"/>
      <c r="AN245" s="257"/>
      <c r="AO245" s="257"/>
      <c r="AP245" s="257"/>
      <c r="AR245" s="219"/>
      <c r="AS245"/>
      <c r="AT245"/>
      <c r="AU245"/>
      <c r="AW245" s="258"/>
      <c r="AX245" s="257"/>
      <c r="AY245" s="257"/>
      <c r="BA245" s="266"/>
      <c r="BJ245" s="126"/>
      <c r="BK245" s="126"/>
      <c r="BL245" s="126"/>
      <c r="BM245" s="126"/>
      <c r="BN245" s="126"/>
      <c r="BO245" s="126"/>
      <c r="BP245" s="126"/>
      <c r="BQ245" s="126"/>
      <c r="BR245" s="126"/>
      <c r="BS245" s="126"/>
      <c r="BT245" s="126"/>
      <c r="BU245" s="126"/>
      <c r="BV245" s="126"/>
      <c r="BW245" s="126"/>
      <c r="BX245" s="126"/>
      <c r="BY245" s="126"/>
      <c r="BZ245" s="126"/>
      <c r="CA245" s="126"/>
      <c r="CB245" s="126"/>
      <c r="CC245" s="126"/>
      <c r="CD245" s="126"/>
      <c r="CE245" s="126"/>
      <c r="CF245" s="126"/>
      <c r="CG245" s="126"/>
      <c r="CH245" s="126"/>
      <c r="CI245" s="126"/>
      <c r="CJ245" s="126"/>
      <c r="CK245" s="126"/>
      <c r="CL245" s="126"/>
      <c r="CM245" s="126"/>
      <c r="CN245" s="267"/>
      <c r="CO245" s="268"/>
      <c r="CP245" s="267"/>
      <c r="CQ245" s="126"/>
      <c r="CR245" s="60"/>
      <c r="CU245" s="187"/>
      <c r="CV245" s="187"/>
    </row>
    <row r="246" spans="1:100" s="51" customFormat="1" ht="19.899999999999999" customHeight="1" x14ac:dyDescent="0.3">
      <c r="A246" s="103"/>
      <c r="B246" s="255"/>
      <c r="C246" s="166"/>
      <c r="D246" s="104"/>
      <c r="E246" s="104"/>
      <c r="F246" s="105"/>
      <c r="G246" s="263"/>
      <c r="H246" s="106"/>
      <c r="I246" s="104"/>
      <c r="J246" s="107"/>
      <c r="K246" s="50"/>
      <c r="L246" s="104"/>
      <c r="M246" s="256"/>
      <c r="N246" s="256"/>
      <c r="O246" s="264"/>
      <c r="P246" s="193"/>
      <c r="Q246" s="264"/>
      <c r="R246" s="109"/>
      <c r="S246" s="264"/>
      <c r="T246" s="193"/>
      <c r="U246" s="264"/>
      <c r="V246" s="193"/>
      <c r="W246" s="193"/>
      <c r="X246" s="193"/>
      <c r="Y246" s="193"/>
      <c r="Z246" s="264"/>
      <c r="AA246" s="193"/>
      <c r="AB246" s="265"/>
      <c r="AC246" s="265"/>
      <c r="AD246" s="126"/>
      <c r="AE246" s="126"/>
      <c r="AF246" s="126"/>
      <c r="AG246" s="126"/>
      <c r="AH246" s="126"/>
      <c r="AM246" s="219"/>
      <c r="AN246" s="257"/>
      <c r="AO246" s="257"/>
      <c r="AP246" s="257"/>
      <c r="AR246" s="219"/>
      <c r="AS246"/>
      <c r="AT246"/>
      <c r="AU246"/>
      <c r="AW246" s="258"/>
      <c r="AX246" s="257"/>
      <c r="AY246" s="257"/>
      <c r="BA246" s="266"/>
      <c r="BJ246" s="126"/>
      <c r="BK246" s="126"/>
      <c r="BL246" s="126"/>
      <c r="BM246" s="126"/>
      <c r="BN246" s="126"/>
      <c r="BO246" s="126"/>
      <c r="BP246" s="126"/>
      <c r="BQ246" s="126"/>
      <c r="BR246" s="126"/>
      <c r="BS246" s="126"/>
      <c r="BT246" s="126"/>
      <c r="BU246" s="126"/>
      <c r="BV246" s="126"/>
      <c r="BW246" s="126"/>
      <c r="BX246" s="126"/>
      <c r="BY246" s="126"/>
      <c r="BZ246" s="126"/>
      <c r="CA246" s="126"/>
      <c r="CB246" s="126"/>
      <c r="CC246" s="126"/>
      <c r="CD246" s="126"/>
      <c r="CE246" s="126"/>
      <c r="CF246" s="126"/>
      <c r="CG246" s="126"/>
      <c r="CH246" s="126"/>
      <c r="CI246" s="126"/>
      <c r="CJ246" s="126"/>
      <c r="CK246" s="126"/>
      <c r="CL246" s="126"/>
      <c r="CM246" s="126"/>
      <c r="CN246" s="267"/>
      <c r="CO246" s="268"/>
      <c r="CP246" s="267"/>
      <c r="CQ246" s="126"/>
      <c r="CR246" s="60"/>
      <c r="CU246" s="187"/>
      <c r="CV246" s="187"/>
    </row>
    <row r="247" spans="1:100" ht="19.899999999999999" customHeight="1" x14ac:dyDescent="0.3">
      <c r="A247" s="92"/>
      <c r="B247" s="269"/>
      <c r="C247" s="92"/>
      <c r="D247" s="93"/>
      <c r="E247" s="93"/>
      <c r="F247" s="94"/>
      <c r="G247" s="270"/>
      <c r="H247" s="95"/>
      <c r="I247" s="93"/>
      <c r="J247"/>
      <c r="K247"/>
      <c r="L247" s="93"/>
      <c r="M247" s="271"/>
      <c r="N247" s="271"/>
      <c r="O247" s="274"/>
      <c r="Q247" s="274"/>
      <c r="R247" s="131"/>
      <c r="S247" s="272"/>
      <c r="T247" s="183"/>
      <c r="U247" s="272"/>
      <c r="V247" s="183"/>
      <c r="W247" s="183"/>
      <c r="X247" s="183"/>
      <c r="Y247" s="183"/>
      <c r="Z247" s="272"/>
      <c r="AA247" s="183"/>
      <c r="AB247" s="273"/>
      <c r="AC247" s="273"/>
      <c r="AD247"/>
      <c r="AE247"/>
      <c r="AF247"/>
      <c r="AN247" s="257"/>
      <c r="AO247" s="257"/>
      <c r="AP247" s="257"/>
      <c r="AW247" s="258"/>
      <c r="AX247" s="257"/>
      <c r="AY247" s="257"/>
      <c r="BA247" s="275"/>
      <c r="CN247" s="275"/>
      <c r="CO247" s="275"/>
      <c r="CP247" s="275"/>
      <c r="CU247" s="222"/>
      <c r="CV247" s="222"/>
    </row>
    <row r="248" spans="1:100" ht="19.899999999999999" customHeight="1" x14ac:dyDescent="0.3">
      <c r="B248" s="276"/>
      <c r="D248"/>
      <c r="E248"/>
      <c r="F248"/>
      <c r="G248" s="275"/>
      <c r="H248" s="162"/>
      <c r="I248"/>
      <c r="J248"/>
      <c r="K248"/>
      <c r="M248" s="276"/>
      <c r="N248" s="276"/>
      <c r="O248" s="274"/>
      <c r="Q248" s="274"/>
      <c r="S248" s="274"/>
      <c r="U248" s="274"/>
      <c r="Z248" s="274"/>
      <c r="AB248" s="273"/>
      <c r="AC248" s="273"/>
      <c r="AD248"/>
      <c r="AE248"/>
      <c r="AF248"/>
      <c r="AN248" s="257"/>
      <c r="AO248" s="257"/>
      <c r="AP248" s="257"/>
      <c r="AW248" s="258"/>
      <c r="AX248" s="257"/>
      <c r="AY248" s="257"/>
      <c r="BA248" s="275"/>
      <c r="CN248" s="275"/>
      <c r="CO248" s="275"/>
      <c r="CP248" s="275"/>
    </row>
    <row r="249" spans="1:100" ht="19.899999999999999" customHeight="1" x14ac:dyDescent="0.3">
      <c r="B249" s="233"/>
      <c r="G249" s="234"/>
      <c r="M249" s="233"/>
      <c r="N249" s="233"/>
      <c r="O249" s="237"/>
      <c r="Q249" s="237"/>
      <c r="S249" s="237"/>
      <c r="U249" s="237"/>
      <c r="Z249" s="237"/>
      <c r="AB249" s="259"/>
      <c r="AC249" s="259"/>
      <c r="AN249" s="220"/>
      <c r="AO249" s="220"/>
      <c r="AP249" s="220"/>
      <c r="AW249" s="237"/>
      <c r="AX249" s="220"/>
      <c r="AY249" s="220"/>
    </row>
    <row r="250" spans="1:100" ht="19.899999999999999" customHeight="1" x14ac:dyDescent="0.3">
      <c r="B250" s="233"/>
      <c r="G250" s="234"/>
      <c r="M250" s="233"/>
      <c r="N250" s="233"/>
      <c r="O250" s="237"/>
      <c r="Q250" s="221"/>
      <c r="S250" s="221"/>
      <c r="U250" s="221"/>
      <c r="Z250" s="221"/>
      <c r="AB250" s="259"/>
      <c r="AC250" s="259"/>
      <c r="AN250" s="220"/>
      <c r="AO250" s="220"/>
      <c r="AP250" s="220"/>
      <c r="AW250" s="237"/>
      <c r="AX250" s="220"/>
      <c r="AY250" s="220"/>
    </row>
    <row r="251" spans="1:100" ht="19.899999999999999" customHeight="1" x14ac:dyDescent="0.3">
      <c r="B251" s="233"/>
      <c r="G251" s="234"/>
      <c r="M251" s="233"/>
      <c r="N251" s="233"/>
      <c r="O251" s="237"/>
      <c r="Q251" s="237"/>
      <c r="S251" s="237"/>
      <c r="U251" s="237"/>
      <c r="Z251" s="237"/>
      <c r="AB251" s="259"/>
      <c r="AC251" s="259"/>
      <c r="AI251" s="22"/>
      <c r="AJ251" s="22"/>
      <c r="AK251" s="22"/>
      <c r="AN251" s="220"/>
      <c r="AO251" s="220"/>
      <c r="AP251" s="220"/>
      <c r="AW251" s="237"/>
      <c r="AX251" s="220"/>
      <c r="AY251" s="220"/>
    </row>
    <row r="252" spans="1:100" ht="19.899999999999999" customHeight="1" x14ac:dyDescent="0.3">
      <c r="B252" s="233"/>
      <c r="G252" s="234"/>
      <c r="M252" s="233"/>
      <c r="N252" s="233"/>
      <c r="O252" s="237"/>
      <c r="Q252" s="237"/>
      <c r="S252" s="237"/>
      <c r="U252" s="237"/>
      <c r="Z252" s="237"/>
      <c r="AA252" s="260"/>
      <c r="AB252" s="259"/>
      <c r="AC252" s="259"/>
      <c r="AI252" s="223"/>
      <c r="AJ252" s="223"/>
      <c r="AK252" s="223"/>
      <c r="AN252" s="220"/>
      <c r="AO252" s="220"/>
      <c r="AP252" s="220"/>
      <c r="AW252" s="237"/>
      <c r="AX252" s="220"/>
      <c r="AY252" s="220"/>
    </row>
    <row r="253" spans="1:100" ht="19.899999999999999" customHeight="1" x14ac:dyDescent="0.3">
      <c r="B253" s="233"/>
      <c r="G253" s="234"/>
      <c r="M253" s="233"/>
      <c r="N253" s="233"/>
      <c r="O253" s="237"/>
      <c r="Q253" s="237"/>
      <c r="S253" s="237"/>
      <c r="U253" s="237"/>
      <c r="Z253" s="237"/>
      <c r="AA253" s="260"/>
      <c r="AB253" s="259"/>
      <c r="AC253" s="259"/>
      <c r="AG253" s="142"/>
      <c r="AK253" s="223"/>
      <c r="AN253" s="220"/>
      <c r="AO253" s="220"/>
      <c r="AP253" s="220"/>
      <c r="AW253" s="237"/>
      <c r="AX253" s="220"/>
      <c r="AY253" s="220"/>
    </row>
    <row r="254" spans="1:100" ht="19.899999999999999" customHeight="1" x14ac:dyDescent="0.3">
      <c r="B254" s="233"/>
      <c r="G254" s="234"/>
      <c r="M254" s="233"/>
      <c r="N254" s="233"/>
      <c r="O254" s="237"/>
      <c r="Q254" s="237"/>
      <c r="S254" s="237"/>
      <c r="U254" s="237"/>
      <c r="Z254" s="237"/>
      <c r="AB254" s="259"/>
      <c r="AC254" s="259"/>
      <c r="AN254" s="220"/>
      <c r="AO254" s="220"/>
      <c r="AP254" s="220"/>
      <c r="AW254" s="237"/>
      <c r="AX254" s="220"/>
      <c r="AY254" s="220"/>
    </row>
    <row r="255" spans="1:100" ht="19.899999999999999" customHeight="1" x14ac:dyDescent="0.3">
      <c r="B255" s="233"/>
      <c r="G255" s="234"/>
      <c r="M255" s="233"/>
      <c r="N255" s="233"/>
      <c r="O255" s="237"/>
      <c r="Q255" s="237"/>
      <c r="S255" s="237"/>
      <c r="U255" s="237"/>
      <c r="Z255" s="237"/>
      <c r="AA255" s="22"/>
      <c r="AB255" s="259"/>
      <c r="AC255" s="259"/>
      <c r="AN255" s="220"/>
      <c r="AO255" s="220"/>
      <c r="AP255" s="220"/>
      <c r="AW255" s="237"/>
      <c r="AX255" s="220"/>
      <c r="AY255" s="220"/>
    </row>
    <row r="256" spans="1:100" ht="19.899999999999999" customHeight="1" x14ac:dyDescent="0.3">
      <c r="B256" s="233"/>
      <c r="G256" s="234"/>
      <c r="M256" s="233"/>
      <c r="N256" s="233"/>
      <c r="O256" s="237"/>
      <c r="Q256" s="237"/>
      <c r="S256" s="237"/>
      <c r="U256" s="237"/>
      <c r="Z256" s="237"/>
      <c r="AA256" s="260"/>
      <c r="AB256" s="259"/>
      <c r="AC256" s="259"/>
      <c r="AN256" s="220"/>
      <c r="AO256" s="220"/>
      <c r="AP256" s="220"/>
      <c r="AW256" s="237"/>
      <c r="AX256" s="220"/>
      <c r="AY256" s="220"/>
    </row>
    <row r="257" spans="2:51" ht="19.899999999999999" customHeight="1" x14ac:dyDescent="0.3">
      <c r="B257" s="233"/>
      <c r="G257" s="234"/>
      <c r="M257" s="233"/>
      <c r="N257" s="233"/>
      <c r="O257" s="237"/>
      <c r="Q257" s="237"/>
      <c r="S257" s="237"/>
      <c r="U257" s="237"/>
      <c r="Z257" s="237"/>
      <c r="AB257" s="259"/>
      <c r="AC257" s="259"/>
      <c r="AN257" s="220"/>
      <c r="AO257" s="220"/>
      <c r="AP257" s="220"/>
      <c r="AW257" s="237"/>
      <c r="AX257" s="220"/>
      <c r="AY257" s="220"/>
    </row>
    <row r="258" spans="2:51" ht="19.899999999999999" customHeight="1" x14ac:dyDescent="0.3">
      <c r="B258" s="233"/>
      <c r="G258" s="234"/>
      <c r="M258" s="233"/>
      <c r="N258" s="233"/>
      <c r="O258" s="237"/>
      <c r="Q258" s="237"/>
      <c r="S258" s="237"/>
      <c r="U258" s="237"/>
      <c r="Z258" s="237"/>
      <c r="AB258" s="259"/>
      <c r="AC258" s="259"/>
      <c r="AN258" s="220"/>
      <c r="AO258" s="220"/>
      <c r="AP258" s="220"/>
      <c r="AW258" s="237"/>
      <c r="AX258" s="220"/>
      <c r="AY258" s="220"/>
    </row>
    <row r="259" spans="2:51" ht="19.899999999999999" customHeight="1" x14ac:dyDescent="0.3">
      <c r="B259" s="233"/>
      <c r="G259" s="234"/>
      <c r="M259" s="233"/>
      <c r="N259" s="233"/>
      <c r="O259" s="237"/>
      <c r="Q259" s="237"/>
      <c r="S259" s="237"/>
      <c r="U259" s="237"/>
      <c r="Z259" s="237"/>
      <c r="AB259" s="259"/>
      <c r="AC259" s="261"/>
      <c r="AN259" s="220"/>
      <c r="AO259" s="220"/>
      <c r="AP259" s="220"/>
      <c r="AW259" s="237"/>
      <c r="AX259" s="220"/>
      <c r="AY259" s="220"/>
    </row>
    <row r="260" spans="2:51" ht="19.899999999999999" customHeight="1" x14ac:dyDescent="0.3">
      <c r="B260" s="233"/>
      <c r="G260" s="234"/>
      <c r="M260" s="233"/>
      <c r="N260" s="233"/>
      <c r="O260" s="237"/>
      <c r="Q260" s="237"/>
      <c r="S260" s="237"/>
      <c r="U260" s="237"/>
      <c r="Z260" s="237"/>
      <c r="AB260" s="259"/>
      <c r="AC260" s="259"/>
      <c r="AN260" s="220"/>
      <c r="AO260" s="220"/>
      <c r="AP260" s="220"/>
      <c r="AW260" s="237"/>
      <c r="AX260" s="220"/>
      <c r="AY260" s="220"/>
    </row>
    <row r="261" spans="2:51" ht="19.899999999999999" customHeight="1" x14ac:dyDescent="0.3">
      <c r="B261" s="233"/>
      <c r="G261" s="234"/>
      <c r="M261" s="233"/>
      <c r="N261" s="233"/>
      <c r="O261" s="237"/>
      <c r="Q261" s="237"/>
      <c r="S261" s="237"/>
      <c r="U261" s="237"/>
      <c r="Z261" s="237"/>
      <c r="AB261" s="259"/>
      <c r="AC261" s="259"/>
      <c r="AN261" s="220"/>
      <c r="AO261" s="220"/>
      <c r="AP261" s="220"/>
      <c r="AW261" s="237"/>
      <c r="AX261" s="220"/>
      <c r="AY261" s="220"/>
    </row>
    <row r="262" spans="2:51" ht="19.899999999999999" customHeight="1" x14ac:dyDescent="0.3">
      <c r="B262" s="233"/>
      <c r="G262" s="234"/>
      <c r="M262" s="233"/>
      <c r="N262" s="233"/>
      <c r="O262" s="237"/>
      <c r="Q262" s="237"/>
      <c r="S262" s="237"/>
      <c r="U262" s="237"/>
      <c r="Z262" s="237"/>
      <c r="AB262" s="259"/>
      <c r="AC262" s="259"/>
      <c r="AN262" s="220"/>
      <c r="AO262" s="220"/>
      <c r="AP262" s="220"/>
      <c r="AW262" s="237"/>
      <c r="AX262" s="220"/>
      <c r="AY262" s="220"/>
    </row>
    <row r="263" spans="2:51" ht="19.899999999999999" customHeight="1" x14ac:dyDescent="0.3">
      <c r="B263" s="235"/>
      <c r="C263" s="236"/>
      <c r="D263" s="236"/>
      <c r="E263" s="236"/>
      <c r="F263" s="165"/>
      <c r="G263" s="236"/>
      <c r="M263" s="233"/>
      <c r="N263" s="233"/>
      <c r="O263" s="237"/>
      <c r="Q263" s="237"/>
      <c r="S263" s="237"/>
      <c r="U263" s="237"/>
      <c r="Z263" s="237"/>
      <c r="AB263" s="259"/>
      <c r="AC263" s="259"/>
      <c r="AN263" s="220"/>
      <c r="AO263" s="220"/>
      <c r="AP263" s="220"/>
      <c r="AW263" s="237"/>
      <c r="AX263" s="220"/>
      <c r="AY263" s="220"/>
    </row>
    <row r="264" spans="2:51" ht="16.5" customHeight="1" x14ac:dyDescent="0.3">
      <c r="B264" s="233"/>
      <c r="G264" s="234"/>
      <c r="M264" s="233"/>
      <c r="N264" s="233"/>
      <c r="O264" s="237"/>
      <c r="Q264" s="237"/>
      <c r="S264" s="237"/>
      <c r="U264" s="237"/>
      <c r="Z264" s="237"/>
      <c r="AB264" s="259"/>
      <c r="AC264" s="259"/>
      <c r="AN264" s="237"/>
      <c r="AO264" s="237"/>
      <c r="AP264" s="237"/>
      <c r="AW264" s="237"/>
      <c r="AX264" s="237"/>
      <c r="AY264" s="237"/>
    </row>
    <row r="265" spans="2:51" ht="16.5" customHeight="1" x14ac:dyDescent="0.3">
      <c r="B265" s="233"/>
      <c r="G265" s="234"/>
      <c r="M265" s="233"/>
      <c r="N265" s="233"/>
      <c r="O265" s="237"/>
      <c r="Q265" s="237"/>
      <c r="S265" s="237"/>
      <c r="U265" s="237"/>
      <c r="Z265" s="237"/>
      <c r="AB265" s="259"/>
      <c r="AC265" s="259"/>
      <c r="AN265" s="237"/>
      <c r="AO265" s="237"/>
      <c r="AP265" s="237"/>
      <c r="AW265" s="237"/>
      <c r="AX265" s="237"/>
      <c r="AY265" s="237"/>
    </row>
    <row r="266" spans="2:51" ht="16.5" customHeight="1" x14ac:dyDescent="0.3">
      <c r="B266" s="233"/>
      <c r="G266" s="234"/>
      <c r="M266" s="233"/>
      <c r="N266" s="233"/>
      <c r="O266" s="237"/>
      <c r="Q266" s="237"/>
      <c r="S266" s="237"/>
      <c r="U266" s="237"/>
      <c r="Z266" s="237"/>
      <c r="AB266" s="259"/>
      <c r="AC266" s="259"/>
      <c r="AN266" s="237"/>
      <c r="AO266" s="237"/>
      <c r="AP266" s="237"/>
      <c r="AW266" s="237"/>
      <c r="AX266" s="237"/>
      <c r="AY266" s="237"/>
    </row>
    <row r="267" spans="2:51" ht="16.5" customHeight="1" x14ac:dyDescent="0.3">
      <c r="B267" s="233"/>
      <c r="G267" s="234"/>
      <c r="M267" s="233"/>
      <c r="N267" s="233"/>
      <c r="O267" s="237"/>
      <c r="Q267" s="237"/>
      <c r="S267" s="237"/>
      <c r="U267" s="237"/>
      <c r="Z267" s="237"/>
      <c r="AB267" s="259"/>
      <c r="AC267" s="259"/>
      <c r="AN267" s="237"/>
      <c r="AO267" s="237"/>
      <c r="AP267" s="237"/>
      <c r="AW267" s="237"/>
      <c r="AX267" s="237"/>
      <c r="AY267" s="237"/>
    </row>
    <row r="268" spans="2:51" ht="16.5" customHeight="1" x14ac:dyDescent="0.3">
      <c r="B268" s="233"/>
      <c r="G268" s="234"/>
      <c r="M268" s="233"/>
      <c r="N268" s="233"/>
      <c r="O268" s="237"/>
      <c r="Q268" s="237"/>
      <c r="S268" s="237"/>
      <c r="U268" s="237"/>
      <c r="Z268" s="237"/>
      <c r="AB268" s="259"/>
      <c r="AC268" s="259"/>
      <c r="AN268" s="237"/>
      <c r="AO268" s="237"/>
      <c r="AP268" s="237"/>
      <c r="AW268" s="237"/>
      <c r="AX268" s="237"/>
      <c r="AY268" s="237"/>
    </row>
    <row r="269" spans="2:51" ht="16.5" customHeight="1" x14ac:dyDescent="0.3">
      <c r="B269" s="233"/>
      <c r="G269" s="234"/>
      <c r="M269" s="233"/>
      <c r="N269" s="233"/>
      <c r="O269" s="237"/>
      <c r="Q269" s="237"/>
      <c r="S269" s="237"/>
      <c r="U269" s="237"/>
      <c r="Z269" s="237"/>
      <c r="AB269" s="259"/>
      <c r="AC269" s="259"/>
      <c r="AN269" s="237"/>
      <c r="AO269" s="237"/>
      <c r="AP269" s="237"/>
      <c r="AW269" s="237"/>
      <c r="AX269" s="237"/>
      <c r="AY269" s="237"/>
    </row>
    <row r="270" spans="2:51" ht="16.5" customHeight="1" x14ac:dyDescent="0.3">
      <c r="B270" s="233"/>
      <c r="G270" s="234"/>
      <c r="M270" s="233"/>
      <c r="N270" s="233"/>
      <c r="O270" s="237"/>
      <c r="Q270" s="237"/>
      <c r="S270" s="237"/>
      <c r="U270" s="237"/>
      <c r="Z270" s="237"/>
      <c r="AB270" s="259"/>
      <c r="AC270" s="259"/>
      <c r="AN270" s="220"/>
      <c r="AO270" s="220"/>
      <c r="AP270" s="220"/>
      <c r="AW270" s="237"/>
      <c r="AX270" s="237"/>
      <c r="AY270" s="220"/>
    </row>
    <row r="271" spans="2:51" ht="16.5" customHeight="1" x14ac:dyDescent="0.3">
      <c r="B271" s="233"/>
      <c r="G271" s="234"/>
      <c r="M271" s="233"/>
      <c r="N271" s="233"/>
      <c r="O271" s="237"/>
      <c r="Q271" s="237"/>
      <c r="S271" s="237"/>
      <c r="U271" s="237"/>
      <c r="Z271" s="237"/>
      <c r="AB271" s="259"/>
      <c r="AC271" s="259"/>
      <c r="AN271" s="220"/>
      <c r="AO271" s="220"/>
      <c r="AP271" s="220"/>
      <c r="AW271" s="237"/>
      <c r="AX271" s="237"/>
      <c r="AY271" s="220"/>
    </row>
    <row r="272" spans="2:51" ht="16.5" customHeight="1" x14ac:dyDescent="0.3">
      <c r="B272" s="233"/>
      <c r="G272" s="234"/>
      <c r="M272" s="233"/>
      <c r="N272" s="233"/>
      <c r="O272" s="237"/>
      <c r="Q272" s="237"/>
      <c r="S272" s="237"/>
      <c r="U272" s="237"/>
      <c r="Z272" s="237"/>
      <c r="AB272" s="259"/>
      <c r="AC272" s="259"/>
      <c r="AN272" s="220"/>
      <c r="AO272" s="220"/>
      <c r="AP272" s="220"/>
      <c r="AW272" s="237"/>
      <c r="AX272" s="220"/>
      <c r="AY272" s="220"/>
    </row>
    <row r="273" spans="2:94" ht="16.5" customHeight="1" x14ac:dyDescent="0.3">
      <c r="B273" s="233"/>
      <c r="G273" s="234"/>
      <c r="M273" s="233"/>
      <c r="N273" s="233"/>
      <c r="O273" s="237"/>
      <c r="Q273" s="237"/>
      <c r="S273" s="237"/>
      <c r="U273" s="237"/>
      <c r="Z273" s="237"/>
      <c r="AB273" s="259"/>
      <c r="AC273" s="259"/>
      <c r="AN273" s="220"/>
      <c r="AO273" s="220"/>
      <c r="AP273" s="220"/>
      <c r="AW273" s="237"/>
      <c r="AX273" s="220"/>
      <c r="AY273" s="220"/>
    </row>
    <row r="274" spans="2:94" ht="16.5" customHeight="1" x14ac:dyDescent="0.3">
      <c r="B274" s="233"/>
      <c r="G274" s="234"/>
      <c r="M274" s="233"/>
      <c r="N274" s="233"/>
      <c r="O274" s="237"/>
      <c r="Q274" s="237"/>
      <c r="S274" s="237"/>
      <c r="U274" s="237"/>
      <c r="Z274" s="237"/>
      <c r="AB274" s="259"/>
      <c r="AC274" s="259"/>
      <c r="AN274" s="220"/>
      <c r="AO274" s="220"/>
      <c r="AP274" s="220"/>
      <c r="AW274" s="237"/>
      <c r="AX274" s="220"/>
      <c r="AY274" s="220"/>
    </row>
    <row r="275" spans="2:94" ht="16.5" customHeight="1" x14ac:dyDescent="0.3">
      <c r="B275" s="233"/>
      <c r="G275" s="234"/>
      <c r="M275" s="233"/>
      <c r="N275" s="233"/>
      <c r="O275" s="237"/>
      <c r="Q275" s="237"/>
      <c r="S275" s="237"/>
      <c r="U275" s="237"/>
      <c r="Z275" s="237"/>
      <c r="AB275" s="259"/>
      <c r="AC275" s="259"/>
      <c r="AN275" s="220"/>
      <c r="AO275" s="220"/>
      <c r="AP275" s="220"/>
      <c r="AW275" s="237"/>
      <c r="AX275" s="220"/>
      <c r="AY275" s="220"/>
      <c r="BA275" s="234"/>
      <c r="CN275" s="234"/>
      <c r="CO275" s="234"/>
      <c r="CP275" s="234"/>
    </row>
    <row r="276" spans="2:94" ht="16.5" customHeight="1" x14ac:dyDescent="0.3">
      <c r="B276" s="233"/>
      <c r="G276" s="234"/>
      <c r="M276" s="233"/>
      <c r="N276" s="233"/>
      <c r="O276" s="237"/>
      <c r="Q276" s="237"/>
      <c r="S276" s="237"/>
      <c r="U276" s="237"/>
      <c r="Z276" s="237"/>
      <c r="AB276" s="259"/>
      <c r="AC276" s="259"/>
      <c r="AN276" s="220"/>
      <c r="AO276" s="220"/>
      <c r="AP276" s="220"/>
      <c r="AW276" s="237"/>
      <c r="AX276" s="220"/>
      <c r="AY276" s="220"/>
      <c r="BA276" s="234"/>
      <c r="CN276" s="234"/>
      <c r="CO276" s="234"/>
      <c r="CP276" s="234"/>
    </row>
    <row r="277" spans="2:94" ht="16.5" customHeight="1" x14ac:dyDescent="0.3">
      <c r="B277" s="164"/>
      <c r="M277" s="164"/>
      <c r="N277" s="164"/>
      <c r="O277" s="236"/>
      <c r="Q277" s="236"/>
      <c r="S277" s="236"/>
      <c r="U277" s="236"/>
      <c r="Z277" s="236"/>
      <c r="AB277" s="262"/>
      <c r="AC277" s="262"/>
      <c r="AN277" s="165"/>
      <c r="AO277" s="165"/>
      <c r="AP277" s="165"/>
      <c r="AW277" s="236"/>
      <c r="AX277" s="165"/>
      <c r="AY277" s="165"/>
    </row>
    <row r="278" spans="2:94" ht="16.5" customHeight="1" x14ac:dyDescent="0.3">
      <c r="B278" s="164"/>
      <c r="M278" s="164"/>
      <c r="N278" s="164"/>
      <c r="O278" s="236"/>
      <c r="Q278" s="236"/>
      <c r="S278" s="236"/>
      <c r="U278" s="236"/>
      <c r="Z278" s="236"/>
      <c r="AB278" s="262"/>
      <c r="AC278" s="262"/>
      <c r="AN278" s="165"/>
      <c r="AO278" s="165"/>
      <c r="AP278" s="165"/>
      <c r="AW278" s="236"/>
      <c r="AX278" s="165"/>
      <c r="AY278" s="165"/>
    </row>
    <row r="279" spans="2:94" ht="16.5" customHeight="1" x14ac:dyDescent="0.3">
      <c r="B279" s="164"/>
      <c r="M279" s="164"/>
      <c r="N279" s="164"/>
      <c r="O279" s="236"/>
      <c r="Q279" s="236"/>
      <c r="S279" s="236"/>
      <c r="U279" s="236"/>
      <c r="Z279" s="236"/>
      <c r="AB279" s="262"/>
      <c r="AC279" s="262"/>
      <c r="AN279" s="165"/>
      <c r="AO279" s="165"/>
      <c r="AP279" s="165"/>
      <c r="AW279" s="236"/>
      <c r="AX279" s="165"/>
      <c r="AY279" s="165"/>
    </row>
    <row r="280" spans="2:94" ht="16.5" customHeight="1" x14ac:dyDescent="0.3">
      <c r="B280" s="164"/>
      <c r="M280" s="164"/>
      <c r="N280" s="164"/>
      <c r="O280" s="236"/>
      <c r="Q280" s="236"/>
      <c r="S280" s="236"/>
      <c r="U280" s="236"/>
      <c r="Z280" s="236"/>
      <c r="AB280" s="262"/>
      <c r="AC280" s="262"/>
      <c r="AN280" s="165"/>
      <c r="AO280" s="165"/>
      <c r="AP280" s="165"/>
      <c r="AW280" s="236"/>
      <c r="AX280" s="165"/>
      <c r="AY280" s="165"/>
    </row>
    <row r="281" spans="2:94" ht="16.5" customHeight="1" x14ac:dyDescent="0.3">
      <c r="B281" s="164"/>
      <c r="M281" s="164"/>
      <c r="N281" s="164"/>
      <c r="O281" s="236"/>
      <c r="Q281" s="236"/>
      <c r="S281" s="236"/>
      <c r="U281" s="236"/>
      <c r="Z281" s="236"/>
      <c r="AB281" s="262"/>
      <c r="AC281" s="262"/>
      <c r="AN281" s="165"/>
      <c r="AO281" s="165"/>
      <c r="AP281" s="165"/>
      <c r="AW281" s="236"/>
      <c r="AX281" s="165"/>
      <c r="AY281" s="165"/>
    </row>
    <row r="282" spans="2:94" ht="16.5" customHeight="1" x14ac:dyDescent="0.3">
      <c r="B282" s="164"/>
      <c r="M282" s="164"/>
      <c r="N282" s="164"/>
      <c r="O282" s="236"/>
      <c r="Q282" s="236"/>
      <c r="S282" s="236"/>
      <c r="U282" s="236"/>
      <c r="Z282" s="236"/>
      <c r="AB282" s="262"/>
      <c r="AC282" s="262"/>
      <c r="AN282" s="165"/>
      <c r="AO282" s="165"/>
      <c r="AP282" s="165"/>
      <c r="AW282" s="236"/>
      <c r="AX282" s="165"/>
      <c r="AY282" s="165"/>
    </row>
    <row r="283" spans="2:94" ht="16.5" customHeight="1" x14ac:dyDescent="0.3">
      <c r="B283" s="164"/>
      <c r="M283" s="164"/>
      <c r="N283" s="164"/>
      <c r="O283" s="236"/>
      <c r="Q283" s="236"/>
      <c r="S283" s="236"/>
      <c r="U283" s="236"/>
      <c r="Z283" s="236"/>
      <c r="AB283" s="262"/>
      <c r="AC283" s="262"/>
      <c r="AN283" s="165"/>
      <c r="AO283" s="165"/>
      <c r="AP283" s="165"/>
      <c r="AW283" s="236"/>
      <c r="AX283" s="165"/>
      <c r="AY283" s="165"/>
    </row>
    <row r="284" spans="2:94" ht="16.5" customHeight="1" x14ac:dyDescent="0.3">
      <c r="B284" s="164"/>
      <c r="M284" s="164"/>
      <c r="N284" s="164"/>
      <c r="O284" s="236"/>
      <c r="Q284" s="236"/>
      <c r="S284" s="236"/>
      <c r="U284" s="236"/>
      <c r="Z284" s="236"/>
      <c r="AB284" s="262"/>
      <c r="AC284" s="262"/>
      <c r="AN284" s="165"/>
      <c r="AO284" s="165"/>
      <c r="AP284" s="165"/>
      <c r="AX284" s="165"/>
    </row>
    <row r="285" spans="2:94" ht="16.5" customHeight="1" x14ac:dyDescent="0.3">
      <c r="B285" s="164"/>
      <c r="M285" s="164"/>
      <c r="N285" s="164"/>
      <c r="O285" s="236"/>
      <c r="Q285" s="236"/>
      <c r="S285" s="236"/>
      <c r="U285" s="236"/>
      <c r="Z285" s="236"/>
      <c r="AB285" s="262"/>
      <c r="AC285" s="262"/>
      <c r="AN285" s="165"/>
      <c r="AO285" s="165"/>
      <c r="AP285" s="165"/>
      <c r="AW285" s="236"/>
      <c r="AX285" s="165"/>
      <c r="AY285" s="165"/>
    </row>
    <row r="286" spans="2:94" ht="16.5" customHeight="1" x14ac:dyDescent="0.3">
      <c r="B286" s="164"/>
      <c r="M286" s="164"/>
      <c r="N286" s="164"/>
      <c r="O286" s="236"/>
      <c r="Q286" s="236"/>
      <c r="S286" s="236"/>
      <c r="Z286" s="236"/>
      <c r="AB286" s="262"/>
      <c r="AC286" s="262"/>
      <c r="AN286" s="165"/>
      <c r="AO286" s="165"/>
      <c r="AP286" s="165"/>
      <c r="AX286" s="165"/>
    </row>
    <row r="287" spans="2:94" ht="16.5" customHeight="1" x14ac:dyDescent="0.3">
      <c r="B287" s="164"/>
      <c r="M287" s="164"/>
      <c r="N287" s="164"/>
      <c r="O287" s="236"/>
      <c r="Q287" s="236"/>
      <c r="S287" s="236"/>
      <c r="U287" s="236"/>
      <c r="Z287" s="236"/>
      <c r="AB287" s="262"/>
      <c r="AC287" s="262"/>
      <c r="AN287" s="165"/>
      <c r="AO287" s="165"/>
      <c r="AP287" s="165"/>
      <c r="AW287" s="236"/>
      <c r="AX287" s="165"/>
      <c r="AY287" s="165"/>
    </row>
    <row r="288" spans="2:94" ht="16.5" customHeight="1" x14ac:dyDescent="0.3">
      <c r="B288" s="164"/>
      <c r="M288" s="164"/>
      <c r="N288" s="164"/>
      <c r="O288" s="236"/>
      <c r="Q288" s="236"/>
      <c r="S288" s="236"/>
      <c r="Z288" s="236"/>
      <c r="AB288" s="262"/>
      <c r="AC288" s="262"/>
      <c r="AN288" s="165"/>
      <c r="AO288" s="165"/>
      <c r="AP288" s="165"/>
      <c r="AX288" s="165"/>
    </row>
    <row r="289" spans="2:51" ht="16.5" customHeight="1" x14ac:dyDescent="0.3">
      <c r="B289" s="164"/>
      <c r="M289" s="164"/>
      <c r="N289" s="164"/>
      <c r="O289" s="236"/>
      <c r="Q289" s="236"/>
      <c r="S289" s="236"/>
      <c r="U289" s="236"/>
      <c r="Z289" s="236"/>
      <c r="AB289" s="262"/>
      <c r="AC289" s="262"/>
      <c r="AN289" s="165"/>
      <c r="AO289" s="165"/>
      <c r="AP289" s="165"/>
      <c r="AW289" s="236"/>
      <c r="AX289" s="165"/>
      <c r="AY289" s="165"/>
    </row>
    <row r="290" spans="2:51" ht="16.5" customHeight="1" x14ac:dyDescent="0.3">
      <c r="B290" s="164"/>
      <c r="M290" s="164"/>
      <c r="N290" s="164"/>
      <c r="O290" s="236"/>
      <c r="U290" s="236"/>
      <c r="Z290" s="236"/>
      <c r="AC290" s="262"/>
      <c r="AO290" s="165"/>
      <c r="AX290" s="165"/>
    </row>
    <row r="291" spans="2:51" ht="16.5" customHeight="1" x14ac:dyDescent="0.3">
      <c r="B291" s="164"/>
      <c r="M291" s="164"/>
      <c r="N291" s="164"/>
      <c r="O291" s="236"/>
      <c r="U291" s="236"/>
      <c r="Z291" s="236"/>
      <c r="AC291" s="262"/>
      <c r="AO291" s="165"/>
      <c r="AX291" s="165"/>
    </row>
    <row r="292" spans="2:51" ht="16.5" customHeight="1" x14ac:dyDescent="0.3">
      <c r="B292" s="164"/>
      <c r="M292" s="164"/>
      <c r="N292" s="164"/>
      <c r="O292" s="236"/>
      <c r="Q292" s="236"/>
      <c r="S292" s="236"/>
      <c r="U292" s="236"/>
      <c r="Z292" s="236"/>
      <c r="AB292" s="262"/>
      <c r="AC292" s="262"/>
      <c r="AN292" s="165"/>
      <c r="AO292" s="165"/>
      <c r="AP292" s="165"/>
      <c r="AW292" s="236"/>
      <c r="AX292" s="165"/>
      <c r="AY292" s="165"/>
    </row>
    <row r="293" spans="2:51" ht="16.5" customHeight="1" x14ac:dyDescent="0.3">
      <c r="B293" s="164"/>
      <c r="M293" s="164"/>
      <c r="N293" s="164"/>
      <c r="O293" s="236"/>
      <c r="Q293" s="236"/>
      <c r="S293" s="236"/>
      <c r="Z293" s="236"/>
      <c r="AB293" s="262"/>
      <c r="AC293" s="262"/>
      <c r="AN293" s="165"/>
      <c r="AO293" s="165"/>
      <c r="AP293" s="165"/>
      <c r="AX293" s="165"/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workbookViewId="0">
      <selection activeCell="D14" sqref="D14"/>
    </sheetView>
  </sheetViews>
  <sheetFormatPr defaultRowHeight="15" x14ac:dyDescent="0.25"/>
  <cols>
    <col min="2" max="2" width="12" bestFit="1" customWidth="1"/>
    <col min="3" max="3" width="47.28515625" bestFit="1" customWidth="1"/>
    <col min="4" max="4" width="43.7109375" bestFit="1" customWidth="1"/>
    <col min="9" max="9" width="25.140625" bestFit="1" customWidth="1"/>
    <col min="10" max="10" width="25.7109375" bestFit="1" customWidth="1"/>
    <col min="11" max="11" width="18.42578125" bestFit="1" customWidth="1"/>
    <col min="12" max="12" width="23.140625" bestFit="1" customWidth="1"/>
    <col min="13" max="13" width="22" customWidth="1"/>
    <col min="14" max="14" width="21.5703125" customWidth="1"/>
  </cols>
  <sheetData>
    <row r="1" spans="1:14" s="1" customFormat="1" ht="16.5" customHeight="1" x14ac:dyDescent="0.25">
      <c r="A1" s="75" t="s">
        <v>327</v>
      </c>
      <c r="B1" s="77" t="s">
        <v>27</v>
      </c>
      <c r="C1" s="78" t="s">
        <v>328</v>
      </c>
      <c r="D1" s="77" t="s">
        <v>329</v>
      </c>
      <c r="E1" s="77" t="s">
        <v>330</v>
      </c>
      <c r="F1" s="77" t="s">
        <v>331</v>
      </c>
      <c r="G1" s="77" t="s">
        <v>332</v>
      </c>
      <c r="H1" s="77" t="s">
        <v>333</v>
      </c>
      <c r="I1" s="74" t="s">
        <v>334</v>
      </c>
      <c r="J1" s="74" t="s">
        <v>335</v>
      </c>
      <c r="K1" s="74" t="s">
        <v>32</v>
      </c>
      <c r="L1" s="74" t="s">
        <v>336</v>
      </c>
      <c r="M1" s="76" t="s">
        <v>35</v>
      </c>
      <c r="N1" s="76" t="s">
        <v>337</v>
      </c>
    </row>
    <row r="2" spans="1:14" x14ac:dyDescent="0.25">
      <c r="A2" s="72"/>
      <c r="B2" s="69">
        <v>10016165320</v>
      </c>
      <c r="C2" s="71" t="s">
        <v>338</v>
      </c>
      <c r="D2" s="72" t="s">
        <v>339</v>
      </c>
      <c r="E2" s="73">
        <v>75386640</v>
      </c>
      <c r="F2" s="73" t="s">
        <v>340</v>
      </c>
      <c r="G2" s="73" t="s">
        <v>341</v>
      </c>
      <c r="H2" s="71" t="s">
        <v>342</v>
      </c>
      <c r="I2" s="72"/>
      <c r="J2" s="72"/>
      <c r="K2" s="72"/>
      <c r="L2" s="72"/>
      <c r="M2" s="72"/>
      <c r="N2" s="72"/>
    </row>
    <row r="3" spans="1:14" x14ac:dyDescent="0.25">
      <c r="A3" s="72"/>
      <c r="B3" s="70">
        <v>200344183</v>
      </c>
      <c r="C3" s="71" t="s">
        <v>343</v>
      </c>
      <c r="D3" s="72" t="s">
        <v>344</v>
      </c>
      <c r="E3" s="73">
        <v>74926580</v>
      </c>
      <c r="F3" s="73" t="s">
        <v>345</v>
      </c>
      <c r="G3" s="73" t="s">
        <v>341</v>
      </c>
      <c r="H3" s="71" t="s">
        <v>342</v>
      </c>
      <c r="I3" s="72"/>
      <c r="J3" s="72"/>
      <c r="K3" s="72"/>
      <c r="L3" s="72"/>
      <c r="M3" s="72"/>
      <c r="N3" s="72"/>
    </row>
    <row r="4" spans="1:14" x14ac:dyDescent="0.25">
      <c r="A4" s="72"/>
      <c r="B4" s="70">
        <v>10032831143</v>
      </c>
      <c r="C4" s="71" t="s">
        <v>346</v>
      </c>
      <c r="D4" s="72" t="s">
        <v>347</v>
      </c>
      <c r="E4" s="73">
        <v>74923130</v>
      </c>
      <c r="F4" s="73" t="s">
        <v>345</v>
      </c>
      <c r="G4" s="73" t="s">
        <v>341</v>
      </c>
      <c r="H4" s="71" t="s">
        <v>342</v>
      </c>
      <c r="I4" s="72"/>
      <c r="J4" s="72"/>
      <c r="K4" s="72"/>
      <c r="L4" s="72"/>
      <c r="M4" s="72"/>
      <c r="N4" s="72"/>
    </row>
  </sheetData>
  <conditionalFormatting sqref="B2">
    <cfRule type="duplicateValues" dxfId="3" priority="4"/>
  </conditionalFormatting>
  <conditionalFormatting sqref="B3:B4">
    <cfRule type="duplicateValues" dxfId="2" priority="3"/>
  </conditionalFormatting>
  <conditionalFormatting sqref="C2">
    <cfRule type="duplicateValues" dxfId="1" priority="2"/>
  </conditionalFormatting>
  <conditionalFormatting sqref="C3:C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Q16"/>
  <sheetViews>
    <sheetView zoomScale="115" zoomScaleNormal="115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AH14" sqref="AH14"/>
    </sheetView>
  </sheetViews>
  <sheetFormatPr defaultRowHeight="19.899999999999999" customHeight="1" x14ac:dyDescent="0.3"/>
  <cols>
    <col min="1" max="1" width="18.85546875" bestFit="1" customWidth="1"/>
    <col min="2" max="2" width="15.7109375" style="33" customWidth="1"/>
    <col min="3" max="3" width="28.85546875" bestFit="1" customWidth="1"/>
    <col min="4" max="4" width="21.7109375" style="33" customWidth="1"/>
    <col min="5" max="5" width="17.28515625" style="48" customWidth="1"/>
    <col min="6" max="6" width="15.140625" style="29" customWidth="1"/>
    <col min="7" max="7" width="12.42578125" style="29" customWidth="1"/>
    <col min="8" max="8" width="15.140625" style="29" customWidth="1"/>
    <col min="9" max="9" width="23.140625" style="48" bestFit="1" customWidth="1"/>
    <col min="10" max="10" width="33" style="33" customWidth="1"/>
    <col min="11" max="11" width="18.28515625" style="33" bestFit="1" customWidth="1"/>
    <col min="12" max="12" width="17.28515625" style="52" customWidth="1"/>
    <col min="13" max="13" width="29.5703125" customWidth="1"/>
    <col min="14" max="14" width="29" hidden="1" customWidth="1"/>
    <col min="15" max="17" width="17.85546875" hidden="1" customWidth="1"/>
    <col min="18" max="18" width="14.5703125" hidden="1" customWidth="1"/>
    <col min="19" max="22" width="16.7109375" hidden="1" customWidth="1"/>
    <col min="23" max="23" width="14.28515625" hidden="1" customWidth="1"/>
    <col min="24" max="25" width="11.7109375" hidden="1" customWidth="1"/>
    <col min="26" max="27" width="16.7109375" hidden="1" customWidth="1"/>
    <col min="28" max="32" width="15.7109375" style="29" hidden="1" customWidth="1"/>
    <col min="33" max="33" width="14.7109375" customWidth="1"/>
    <col min="34" max="34" width="12.5703125" customWidth="1"/>
    <col min="35" max="36" width="12.7109375" customWidth="1"/>
    <col min="37" max="37" width="15" style="178" customWidth="1"/>
    <col min="38" max="41" width="20.28515625" customWidth="1"/>
    <col min="42" max="42" width="22.28515625" style="178" customWidth="1"/>
    <col min="43" max="46" width="19.85546875" customWidth="1"/>
    <col min="47" max="50" width="18.85546875" customWidth="1"/>
    <col min="51" max="51" width="18.85546875" style="178" customWidth="1"/>
    <col min="52" max="53" width="22.28515625" style="51" bestFit="1" customWidth="1"/>
    <col min="54" max="57" width="21.140625" style="51" bestFit="1" customWidth="1"/>
    <col min="58" max="58" width="17.85546875" style="51" bestFit="1" customWidth="1"/>
    <col min="59" max="59" width="16.7109375" style="51" bestFit="1" customWidth="1"/>
    <col min="60" max="66" width="20.7109375" style="29" customWidth="1"/>
    <col min="67" max="67" width="27.28515625" style="29" bestFit="1" customWidth="1"/>
    <col min="68" max="68" width="27.28515625" style="29" customWidth="1"/>
    <col min="69" max="70" width="20.7109375" style="29" customWidth="1"/>
    <col min="71" max="71" width="27.28515625" style="29" bestFit="1" customWidth="1"/>
    <col min="72" max="73" width="20.7109375" style="29" customWidth="1"/>
    <col min="74" max="74" width="27.28515625" style="29" bestFit="1" customWidth="1"/>
    <col min="75" max="89" width="20.7109375" style="29" customWidth="1"/>
    <col min="90" max="90" width="26.42578125" style="29" bestFit="1" customWidth="1"/>
    <col min="91" max="91" width="19.85546875" style="60" bestFit="1" customWidth="1"/>
    <col min="92" max="92" width="16.85546875" style="29" customWidth="1"/>
    <col min="93" max="93" width="19.7109375" style="29" customWidth="1"/>
    <col min="94" max="94" width="15.5703125" style="60" customWidth="1"/>
    <col min="95" max="95" width="11.140625" style="51" bestFit="1" customWidth="1"/>
    <col min="96" max="96" width="18.42578125" bestFit="1" customWidth="1"/>
  </cols>
  <sheetData>
    <row r="1" spans="1:95" ht="84" customHeight="1" x14ac:dyDescent="0.25">
      <c r="A1" s="63" t="s">
        <v>26</v>
      </c>
      <c r="B1" s="43" t="s">
        <v>27</v>
      </c>
      <c r="C1" s="27" t="s">
        <v>28</v>
      </c>
      <c r="D1" s="43" t="s">
        <v>29</v>
      </c>
      <c r="E1" s="46" t="s">
        <v>30</v>
      </c>
      <c r="F1" s="31" t="s">
        <v>31</v>
      </c>
      <c r="G1" s="31" t="s">
        <v>32</v>
      </c>
      <c r="H1" s="31" t="s">
        <v>33</v>
      </c>
      <c r="I1" s="46" t="s">
        <v>34</v>
      </c>
      <c r="J1" s="43" t="s">
        <v>35</v>
      </c>
      <c r="K1" s="43" t="s">
        <v>36</v>
      </c>
      <c r="L1" s="43" t="s">
        <v>37</v>
      </c>
      <c r="M1" s="26" t="s">
        <v>38</v>
      </c>
      <c r="N1" s="26" t="s">
        <v>39</v>
      </c>
      <c r="O1" s="38" t="s">
        <v>40</v>
      </c>
      <c r="P1" s="38" t="s">
        <v>41</v>
      </c>
      <c r="Q1" s="38" t="s">
        <v>42</v>
      </c>
      <c r="R1" s="38" t="s">
        <v>44</v>
      </c>
      <c r="S1" s="38" t="s">
        <v>45</v>
      </c>
      <c r="T1" s="43" t="s">
        <v>46</v>
      </c>
      <c r="U1" s="43" t="s">
        <v>47</v>
      </c>
      <c r="V1" s="43" t="s">
        <v>48</v>
      </c>
      <c r="W1" s="43" t="s">
        <v>49</v>
      </c>
      <c r="X1" s="43" t="s">
        <v>50</v>
      </c>
      <c r="Y1" s="43" t="s">
        <v>51</v>
      </c>
      <c r="Z1" s="44" t="s">
        <v>53</v>
      </c>
      <c r="AA1" s="44" t="s">
        <v>54</v>
      </c>
      <c r="AB1" s="31" t="s">
        <v>55</v>
      </c>
      <c r="AC1" s="31" t="s">
        <v>56</v>
      </c>
      <c r="AD1" s="31" t="s">
        <v>57</v>
      </c>
      <c r="AE1" s="31" t="s">
        <v>58</v>
      </c>
      <c r="AF1" s="31" t="s">
        <v>59</v>
      </c>
      <c r="AG1" s="37" t="s">
        <v>60</v>
      </c>
      <c r="AH1" s="37" t="s">
        <v>61</v>
      </c>
      <c r="AI1" s="37" t="s">
        <v>62</v>
      </c>
      <c r="AJ1" s="37" t="s">
        <v>63</v>
      </c>
      <c r="AK1" s="224" t="s">
        <v>64</v>
      </c>
      <c r="AL1" s="34" t="s">
        <v>65</v>
      </c>
      <c r="AM1" s="34" t="s">
        <v>66</v>
      </c>
      <c r="AN1" s="34" t="s">
        <v>67</v>
      </c>
      <c r="AO1" s="34" t="s">
        <v>68</v>
      </c>
      <c r="AP1" s="225" t="s">
        <v>69</v>
      </c>
      <c r="AQ1" s="35" t="s">
        <v>70</v>
      </c>
      <c r="AR1" s="35" t="s">
        <v>71</v>
      </c>
      <c r="AS1" s="35" t="s">
        <v>72</v>
      </c>
      <c r="AT1" s="35" t="s">
        <v>73</v>
      </c>
      <c r="AU1" s="36" t="s">
        <v>74</v>
      </c>
      <c r="AV1" s="36" t="s">
        <v>75</v>
      </c>
      <c r="AW1" s="36" t="s">
        <v>76</v>
      </c>
      <c r="AX1" s="36" t="s">
        <v>77</v>
      </c>
      <c r="AY1" s="226" t="s">
        <v>78</v>
      </c>
      <c r="AZ1" s="45" t="s">
        <v>79</v>
      </c>
      <c r="BA1" s="45" t="s">
        <v>80</v>
      </c>
      <c r="BB1" s="45" t="s">
        <v>81</v>
      </c>
      <c r="BC1" s="45" t="s">
        <v>82</v>
      </c>
      <c r="BD1" s="45" t="s">
        <v>83</v>
      </c>
      <c r="BE1" s="45" t="s">
        <v>84</v>
      </c>
      <c r="BF1" s="45" t="s">
        <v>85</v>
      </c>
      <c r="BG1" s="45" t="s">
        <v>86</v>
      </c>
      <c r="BH1" s="30" t="s">
        <v>87</v>
      </c>
      <c r="BI1" s="28" t="s">
        <v>88</v>
      </c>
      <c r="BJ1" s="32" t="s">
        <v>89</v>
      </c>
      <c r="BK1" s="32" t="s">
        <v>90</v>
      </c>
      <c r="BL1" s="32" t="s">
        <v>91</v>
      </c>
      <c r="BM1" s="62" t="s">
        <v>92</v>
      </c>
      <c r="BN1" s="62" t="s">
        <v>93</v>
      </c>
      <c r="BO1" s="28" t="s">
        <v>94</v>
      </c>
      <c r="BP1" s="28" t="s">
        <v>95</v>
      </c>
      <c r="BQ1" s="32" t="s">
        <v>96</v>
      </c>
      <c r="BR1" s="62" t="s">
        <v>97</v>
      </c>
      <c r="BS1" s="28" t="s">
        <v>98</v>
      </c>
      <c r="BT1" s="32" t="s">
        <v>99</v>
      </c>
      <c r="BU1" s="62" t="s">
        <v>100</v>
      </c>
      <c r="BV1" s="28" t="s">
        <v>101</v>
      </c>
      <c r="BW1" s="32" t="s">
        <v>102</v>
      </c>
      <c r="BX1" s="62" t="s">
        <v>103</v>
      </c>
      <c r="BY1" s="28" t="s">
        <v>104</v>
      </c>
      <c r="BZ1" s="32" t="s">
        <v>105</v>
      </c>
      <c r="CA1" s="62" t="s">
        <v>106</v>
      </c>
      <c r="CB1" s="28" t="s">
        <v>107</v>
      </c>
      <c r="CC1" s="32" t="s">
        <v>108</v>
      </c>
      <c r="CD1" s="62" t="s">
        <v>109</v>
      </c>
      <c r="CE1" s="28" t="s">
        <v>110</v>
      </c>
      <c r="CF1" s="32" t="s">
        <v>111</v>
      </c>
      <c r="CG1" s="62" t="s">
        <v>112</v>
      </c>
      <c r="CH1" s="28" t="s">
        <v>113</v>
      </c>
      <c r="CI1" s="32" t="s">
        <v>114</v>
      </c>
      <c r="CJ1" s="62" t="s">
        <v>115</v>
      </c>
      <c r="CK1" s="28" t="s">
        <v>116</v>
      </c>
      <c r="CL1" s="28" t="s">
        <v>117</v>
      </c>
      <c r="CM1" s="59" t="s">
        <v>118</v>
      </c>
      <c r="CN1" s="31" t="s">
        <v>119</v>
      </c>
      <c r="CO1" s="31" t="s">
        <v>120</v>
      </c>
      <c r="CP1" s="59" t="s">
        <v>121</v>
      </c>
      <c r="CQ1" s="45" t="s">
        <v>122</v>
      </c>
    </row>
    <row r="2" spans="1:95" s="51" customFormat="1" ht="19.899999999999999" customHeight="1" x14ac:dyDescent="0.3">
      <c r="B2" s="49">
        <v>10036862957</v>
      </c>
      <c r="C2" s="39" t="s">
        <v>280</v>
      </c>
      <c r="D2" s="47" t="s">
        <v>281</v>
      </c>
      <c r="E2" s="53" t="s">
        <v>150</v>
      </c>
      <c r="F2" s="57">
        <v>16726</v>
      </c>
      <c r="G2" s="227">
        <v>0.77</v>
      </c>
      <c r="H2" s="41">
        <f t="shared" ref="H2:H16" si="0">F2*G2</f>
        <v>12879.02</v>
      </c>
      <c r="I2" s="54" t="s">
        <v>148</v>
      </c>
      <c r="J2" s="55" t="s">
        <v>282</v>
      </c>
      <c r="K2" s="56" t="s">
        <v>283</v>
      </c>
      <c r="L2" s="57"/>
      <c r="M2" s="42" t="s">
        <v>173</v>
      </c>
      <c r="N2" s="42" t="s">
        <v>348</v>
      </c>
      <c r="O2">
        <v>742.72</v>
      </c>
      <c r="R2">
        <f>66.88+8.81</f>
        <v>75.69</v>
      </c>
      <c r="AB2" s="29"/>
      <c r="AC2" s="29"/>
      <c r="AD2" s="29"/>
      <c r="AE2" s="29"/>
      <c r="AF2" s="29"/>
      <c r="AK2" s="178"/>
      <c r="AL2">
        <v>105.79</v>
      </c>
      <c r="AM2">
        <v>714</v>
      </c>
      <c r="AN2">
        <v>218.4</v>
      </c>
      <c r="AO2" s="41">
        <f t="shared" ref="AO2:AO16" si="1">SUM(AL2:AN2)</f>
        <v>1038.19</v>
      </c>
      <c r="AP2" s="228">
        <f t="shared" ref="AP2:AP16" si="2">(AL2*Z2)+((AM2+AN2)*AA2)</f>
        <v>0</v>
      </c>
      <c r="AY2" s="178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60"/>
      <c r="CN2" s="29"/>
      <c r="CO2" s="29"/>
      <c r="CP2" s="60"/>
    </row>
    <row r="3" spans="1:95" s="51" customFormat="1" ht="19.899999999999999" customHeight="1" x14ac:dyDescent="0.3">
      <c r="B3" s="49">
        <v>10036862957</v>
      </c>
      <c r="C3" s="39" t="s">
        <v>280</v>
      </c>
      <c r="D3" s="47" t="s">
        <v>281</v>
      </c>
      <c r="E3" s="53" t="s">
        <v>150</v>
      </c>
      <c r="F3" s="57">
        <v>16726</v>
      </c>
      <c r="G3" s="227">
        <v>0.77</v>
      </c>
      <c r="H3" s="41">
        <f t="shared" si="0"/>
        <v>12879.02</v>
      </c>
      <c r="I3" s="54" t="s">
        <v>148</v>
      </c>
      <c r="J3" s="55" t="s">
        <v>282</v>
      </c>
      <c r="K3" s="56" t="s">
        <v>283</v>
      </c>
      <c r="L3" s="57"/>
      <c r="M3" s="42" t="s">
        <v>129</v>
      </c>
      <c r="N3" s="42" t="s">
        <v>149</v>
      </c>
      <c r="O3">
        <v>728.03</v>
      </c>
      <c r="R3">
        <f>109.11+11.2</f>
        <v>120.31</v>
      </c>
      <c r="S3">
        <v>14.85</v>
      </c>
      <c r="AB3" s="29"/>
      <c r="AC3" s="29"/>
      <c r="AD3" s="29"/>
      <c r="AE3" s="29"/>
      <c r="AF3" s="29"/>
      <c r="AK3" s="178"/>
      <c r="AL3">
        <v>91.01</v>
      </c>
      <c r="AM3">
        <v>688.8</v>
      </c>
      <c r="AN3">
        <v>155.4</v>
      </c>
      <c r="AO3" s="41">
        <f t="shared" si="1"/>
        <v>935.20999999999992</v>
      </c>
      <c r="AP3" s="228">
        <f t="shared" si="2"/>
        <v>0</v>
      </c>
      <c r="AY3" s="178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60"/>
      <c r="CN3" s="29"/>
      <c r="CO3" s="29"/>
      <c r="CP3" s="60"/>
    </row>
    <row r="4" spans="1:95" s="51" customFormat="1" ht="19.899999999999999" customHeight="1" x14ac:dyDescent="0.3">
      <c r="B4" s="49">
        <v>10036862957</v>
      </c>
      <c r="C4" s="39" t="s">
        <v>280</v>
      </c>
      <c r="D4" s="47" t="s">
        <v>281</v>
      </c>
      <c r="E4" s="53" t="s">
        <v>150</v>
      </c>
      <c r="F4" s="57">
        <v>16726</v>
      </c>
      <c r="G4" s="227">
        <v>0.77</v>
      </c>
      <c r="H4" s="41">
        <f t="shared" si="0"/>
        <v>12879.02</v>
      </c>
      <c r="I4" s="54" t="s">
        <v>148</v>
      </c>
      <c r="J4" s="55" t="s">
        <v>282</v>
      </c>
      <c r="K4" s="56" t="s">
        <v>283</v>
      </c>
      <c r="L4" s="57"/>
      <c r="M4" s="40" t="s">
        <v>159</v>
      </c>
      <c r="N4" s="42" t="s">
        <v>162</v>
      </c>
      <c r="O4">
        <v>6236.72</v>
      </c>
      <c r="R4">
        <f>242.31+21.96</f>
        <v>264.27</v>
      </c>
      <c r="S4">
        <f>7.17+0.23+14.26</f>
        <v>21.66</v>
      </c>
      <c r="Y4">
        <v>68.91</v>
      </c>
      <c r="AB4" s="29"/>
      <c r="AC4" s="29"/>
      <c r="AD4" s="29"/>
      <c r="AE4" s="29"/>
      <c r="AF4" s="29"/>
      <c r="AK4" s="178"/>
      <c r="AL4">
        <v>721.3</v>
      </c>
      <c r="AM4">
        <v>6052.2</v>
      </c>
      <c r="AN4">
        <v>1549.8</v>
      </c>
      <c r="AO4" s="41">
        <f t="shared" si="1"/>
        <v>8323.2999999999993</v>
      </c>
      <c r="AP4" s="228">
        <f t="shared" si="2"/>
        <v>0</v>
      </c>
      <c r="AY4" s="178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60"/>
      <c r="CN4" s="29"/>
      <c r="CO4" s="29"/>
      <c r="CP4" s="60"/>
    </row>
    <row r="5" spans="1:95" s="51" customFormat="1" ht="19.899999999999999" customHeight="1" x14ac:dyDescent="0.3">
      <c r="B5" s="49">
        <v>10036862957</v>
      </c>
      <c r="C5" s="39" t="s">
        <v>280</v>
      </c>
      <c r="D5" s="47" t="s">
        <v>281</v>
      </c>
      <c r="E5" s="53" t="s">
        <v>150</v>
      </c>
      <c r="F5" s="57">
        <v>16726</v>
      </c>
      <c r="G5" s="227">
        <v>0.77</v>
      </c>
      <c r="H5" s="41">
        <f t="shared" si="0"/>
        <v>12879.02</v>
      </c>
      <c r="I5" s="54" t="s">
        <v>148</v>
      </c>
      <c r="J5" s="55" t="s">
        <v>282</v>
      </c>
      <c r="K5" s="56" t="s">
        <v>283</v>
      </c>
      <c r="L5" s="57"/>
      <c r="M5" s="40" t="s">
        <v>163</v>
      </c>
      <c r="N5" s="42" t="s">
        <v>164</v>
      </c>
      <c r="O5">
        <v>21994.59</v>
      </c>
      <c r="R5">
        <f>1002.23+136.84</f>
        <v>1139.07</v>
      </c>
      <c r="AB5" s="29"/>
      <c r="AC5" s="29"/>
      <c r="AD5" s="29"/>
      <c r="AE5" s="29"/>
      <c r="AF5" s="29"/>
      <c r="AK5" s="178"/>
      <c r="AL5">
        <v>2842.05</v>
      </c>
      <c r="AM5">
        <v>20701.8</v>
      </c>
      <c r="AN5">
        <v>6266.4</v>
      </c>
      <c r="AO5" s="41">
        <f t="shared" si="1"/>
        <v>29810.25</v>
      </c>
      <c r="AP5" s="228">
        <f t="shared" si="2"/>
        <v>0</v>
      </c>
      <c r="AY5" s="178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60"/>
      <c r="CN5" s="29"/>
      <c r="CO5" s="29"/>
      <c r="CP5" s="60"/>
    </row>
    <row r="6" spans="1:95" s="51" customFormat="1" ht="19.899999999999999" customHeight="1" x14ac:dyDescent="0.3">
      <c r="B6" s="49">
        <v>10036862957</v>
      </c>
      <c r="C6" s="39" t="s">
        <v>280</v>
      </c>
      <c r="D6" s="47" t="s">
        <v>281</v>
      </c>
      <c r="E6" s="53" t="s">
        <v>150</v>
      </c>
      <c r="F6" s="57">
        <v>16726</v>
      </c>
      <c r="G6" s="227">
        <v>0.77</v>
      </c>
      <c r="H6" s="41">
        <f t="shared" si="0"/>
        <v>12879.02</v>
      </c>
      <c r="I6" s="54" t="s">
        <v>148</v>
      </c>
      <c r="J6" s="55" t="s">
        <v>282</v>
      </c>
      <c r="K6" s="56" t="s">
        <v>283</v>
      </c>
      <c r="L6" s="57"/>
      <c r="M6" s="40" t="s">
        <v>165</v>
      </c>
      <c r="N6" s="42" t="s">
        <v>166</v>
      </c>
      <c r="O6">
        <v>10444.120000000001</v>
      </c>
      <c r="R6">
        <f>439.37+36.7</f>
        <v>476.07</v>
      </c>
      <c r="S6">
        <f>51.32+439.89</f>
        <v>491.21</v>
      </c>
      <c r="AB6" s="29"/>
      <c r="AC6" s="29"/>
      <c r="AD6" s="29"/>
      <c r="AE6" s="29"/>
      <c r="AF6" s="29"/>
      <c r="AK6" s="178"/>
      <c r="AL6">
        <v>954.4</v>
      </c>
      <c r="AM6">
        <v>9370.2000000000007</v>
      </c>
      <c r="AN6">
        <v>2020.2</v>
      </c>
      <c r="AO6" s="41">
        <f t="shared" si="1"/>
        <v>12344.800000000001</v>
      </c>
      <c r="AP6" s="228">
        <f t="shared" si="2"/>
        <v>0</v>
      </c>
      <c r="AY6" s="178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60"/>
      <c r="CN6" s="29"/>
      <c r="CO6" s="29"/>
      <c r="CP6" s="60"/>
    </row>
    <row r="7" spans="1:95" s="51" customFormat="1" ht="19.899999999999999" customHeight="1" x14ac:dyDescent="0.3">
      <c r="B7" s="49">
        <v>10036862957</v>
      </c>
      <c r="C7" s="39" t="s">
        <v>280</v>
      </c>
      <c r="D7" s="47" t="s">
        <v>281</v>
      </c>
      <c r="E7" s="53" t="s">
        <v>150</v>
      </c>
      <c r="F7" s="57">
        <v>16726</v>
      </c>
      <c r="G7" s="227">
        <v>0.77</v>
      </c>
      <c r="H7" s="41">
        <f t="shared" si="0"/>
        <v>12879.02</v>
      </c>
      <c r="I7" s="54" t="s">
        <v>148</v>
      </c>
      <c r="J7" s="55" t="s">
        <v>282</v>
      </c>
      <c r="K7" s="56" t="s">
        <v>283</v>
      </c>
      <c r="L7" s="57"/>
      <c r="M7" s="40" t="s">
        <v>133</v>
      </c>
      <c r="N7" s="42" t="s">
        <v>134</v>
      </c>
      <c r="O7">
        <v>20242.04</v>
      </c>
      <c r="R7">
        <f>915.67+120.73</f>
        <v>1036.3999999999999</v>
      </c>
      <c r="AB7" s="29"/>
      <c r="AC7" s="29"/>
      <c r="AD7" s="29"/>
      <c r="AE7" s="29"/>
      <c r="AF7" s="29"/>
      <c r="AK7" s="178"/>
      <c r="AL7">
        <v>2422.39</v>
      </c>
      <c r="AM7">
        <v>17677.8</v>
      </c>
      <c r="AN7">
        <v>5069.3999999999996</v>
      </c>
      <c r="AO7" s="41">
        <f t="shared" si="1"/>
        <v>25169.589999999997</v>
      </c>
      <c r="AP7" s="228">
        <f t="shared" si="2"/>
        <v>0</v>
      </c>
      <c r="AY7" s="178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60"/>
      <c r="CN7" s="29"/>
      <c r="CO7" s="29"/>
      <c r="CP7" s="60"/>
    </row>
    <row r="8" spans="1:95" ht="19.899999999999999" customHeight="1" x14ac:dyDescent="0.3">
      <c r="B8" s="49">
        <v>10036862957</v>
      </c>
      <c r="C8" s="39" t="s">
        <v>280</v>
      </c>
      <c r="D8" s="47" t="s">
        <v>281</v>
      </c>
      <c r="E8" s="53" t="s">
        <v>150</v>
      </c>
      <c r="F8" s="57">
        <v>16726</v>
      </c>
      <c r="G8" s="227">
        <v>0.77</v>
      </c>
      <c r="H8" s="41">
        <f t="shared" si="0"/>
        <v>12879.02</v>
      </c>
      <c r="I8" s="54" t="s">
        <v>148</v>
      </c>
      <c r="J8" s="55" t="s">
        <v>282</v>
      </c>
      <c r="K8" s="56" t="s">
        <v>283</v>
      </c>
      <c r="L8" s="57"/>
      <c r="M8" s="40" t="s">
        <v>135</v>
      </c>
      <c r="N8" s="42" t="s">
        <v>136</v>
      </c>
      <c r="O8">
        <v>13822.33</v>
      </c>
      <c r="R8">
        <f>662.07+56.47</f>
        <v>718.54000000000008</v>
      </c>
      <c r="AL8">
        <v>1237.74</v>
      </c>
      <c r="AM8">
        <v>13196.4</v>
      </c>
      <c r="AN8">
        <v>2671.2</v>
      </c>
      <c r="AO8" s="41">
        <f t="shared" si="1"/>
        <v>17105.34</v>
      </c>
      <c r="AP8" s="228">
        <f t="shared" si="2"/>
        <v>0</v>
      </c>
    </row>
    <row r="9" spans="1:95" ht="19.899999999999999" customHeight="1" x14ac:dyDescent="0.3">
      <c r="B9" s="49">
        <v>10036862957</v>
      </c>
      <c r="C9" s="39" t="s">
        <v>280</v>
      </c>
      <c r="D9" s="47" t="s">
        <v>281</v>
      </c>
      <c r="E9" s="53" t="s">
        <v>150</v>
      </c>
      <c r="F9" s="57">
        <v>16726</v>
      </c>
      <c r="G9" s="227">
        <v>0.77</v>
      </c>
      <c r="H9" s="41">
        <f t="shared" si="0"/>
        <v>12879.02</v>
      </c>
      <c r="I9" s="54" t="s">
        <v>148</v>
      </c>
      <c r="J9" s="55" t="s">
        <v>282</v>
      </c>
      <c r="K9" s="56" t="s">
        <v>283</v>
      </c>
      <c r="L9" s="57"/>
      <c r="M9" s="40" t="s">
        <v>137</v>
      </c>
      <c r="N9" s="42" t="s">
        <v>138</v>
      </c>
      <c r="O9">
        <v>16689.27</v>
      </c>
      <c r="R9">
        <f>732+88.34</f>
        <v>820.34</v>
      </c>
      <c r="AL9">
        <v>1866.81</v>
      </c>
      <c r="AM9">
        <v>14624.4</v>
      </c>
      <c r="AN9">
        <v>3981.6</v>
      </c>
      <c r="AO9" s="41">
        <f t="shared" si="1"/>
        <v>20472.809999999998</v>
      </c>
      <c r="AP9" s="228">
        <f t="shared" si="2"/>
        <v>0</v>
      </c>
    </row>
    <row r="10" spans="1:95" ht="19.899999999999999" customHeight="1" x14ac:dyDescent="0.3">
      <c r="B10" s="49">
        <v>10036862957</v>
      </c>
      <c r="C10" s="39" t="s">
        <v>280</v>
      </c>
      <c r="D10" s="47" t="s">
        <v>281</v>
      </c>
      <c r="E10" s="53" t="s">
        <v>150</v>
      </c>
      <c r="F10" s="57">
        <v>16726</v>
      </c>
      <c r="G10" s="227">
        <v>0.77</v>
      </c>
      <c r="H10" s="41">
        <f t="shared" si="0"/>
        <v>12879.02</v>
      </c>
      <c r="I10" s="54" t="s">
        <v>148</v>
      </c>
      <c r="J10" s="55" t="s">
        <v>282</v>
      </c>
      <c r="K10" s="56" t="s">
        <v>283</v>
      </c>
      <c r="L10" s="57"/>
      <c r="M10" s="40" t="s">
        <v>139</v>
      </c>
      <c r="N10" s="42" t="s">
        <v>140</v>
      </c>
      <c r="O10">
        <v>18570.38</v>
      </c>
      <c r="R10">
        <f>868.64+101.18</f>
        <v>969.81999999999994</v>
      </c>
      <c r="AL10">
        <v>1992.18</v>
      </c>
      <c r="AM10">
        <v>16619.400000000001</v>
      </c>
      <c r="AN10">
        <v>3809.4</v>
      </c>
      <c r="AO10" s="41">
        <f t="shared" si="1"/>
        <v>22420.980000000003</v>
      </c>
      <c r="AP10" s="228">
        <f t="shared" si="2"/>
        <v>0</v>
      </c>
    </row>
    <row r="11" spans="1:95" ht="19.899999999999999" customHeight="1" x14ac:dyDescent="0.3">
      <c r="B11" s="49">
        <v>10036862957</v>
      </c>
      <c r="C11" s="39" t="s">
        <v>280</v>
      </c>
      <c r="D11" s="47" t="s">
        <v>281</v>
      </c>
      <c r="E11" s="53" t="s">
        <v>150</v>
      </c>
      <c r="F11" s="57">
        <v>16726</v>
      </c>
      <c r="G11" s="227">
        <v>0.77</v>
      </c>
      <c r="H11" s="41">
        <f t="shared" si="0"/>
        <v>12879.02</v>
      </c>
      <c r="I11" s="54" t="s">
        <v>148</v>
      </c>
      <c r="J11" s="55" t="s">
        <v>282</v>
      </c>
      <c r="K11" s="56" t="s">
        <v>283</v>
      </c>
      <c r="L11" s="57"/>
      <c r="M11" s="40" t="s">
        <v>141</v>
      </c>
      <c r="N11" s="42" t="s">
        <v>349</v>
      </c>
      <c r="O11">
        <v>8454.01</v>
      </c>
      <c r="R11">
        <f>474.16</f>
        <v>474.16</v>
      </c>
      <c r="S11">
        <f>24.76+371.41</f>
        <v>396.17</v>
      </c>
      <c r="AG11" s="41">
        <f t="shared" ref="AG11:AI16" si="3">AB11-AQ11</f>
        <v>0</v>
      </c>
      <c r="AH11" s="41">
        <f t="shared" si="3"/>
        <v>-4435.2</v>
      </c>
      <c r="AI11" s="41">
        <f t="shared" si="3"/>
        <v>0</v>
      </c>
      <c r="AJ11" s="41">
        <f t="shared" ref="AJ11:AJ16" si="4">SUM(AG11:AI11)</f>
        <v>-4435.2</v>
      </c>
      <c r="AK11" s="228">
        <f t="shared" ref="AK11:AK16" si="5">(AG11*Z11)+((AH11+AI11)*AA11)</f>
        <v>0</v>
      </c>
      <c r="AL11">
        <v>1139.08</v>
      </c>
      <c r="AM11">
        <v>9471</v>
      </c>
      <c r="AN11">
        <v>3313.8</v>
      </c>
      <c r="AO11" s="41">
        <f t="shared" si="1"/>
        <v>13923.880000000001</v>
      </c>
      <c r="AP11" s="228">
        <f t="shared" si="2"/>
        <v>0</v>
      </c>
      <c r="AR11">
        <v>4435.2</v>
      </c>
    </row>
    <row r="12" spans="1:95" ht="19.899999999999999" customHeight="1" x14ac:dyDescent="0.3">
      <c r="B12" s="49">
        <v>10036862957</v>
      </c>
      <c r="C12" s="39" t="s">
        <v>280</v>
      </c>
      <c r="D12" s="47" t="s">
        <v>281</v>
      </c>
      <c r="E12" s="53" t="s">
        <v>150</v>
      </c>
      <c r="F12" s="57">
        <v>16726</v>
      </c>
      <c r="G12" s="227">
        <v>0.77</v>
      </c>
      <c r="H12" s="41">
        <f t="shared" si="0"/>
        <v>12879.02</v>
      </c>
      <c r="I12" s="54" t="s">
        <v>148</v>
      </c>
      <c r="J12" s="55" t="s">
        <v>282</v>
      </c>
      <c r="K12" s="56" t="s">
        <v>283</v>
      </c>
      <c r="L12" s="57"/>
      <c r="M12" s="40" t="s">
        <v>130</v>
      </c>
      <c r="N12" s="42" t="s">
        <v>143</v>
      </c>
      <c r="O12">
        <v>7204.45</v>
      </c>
      <c r="R12">
        <f>518.7+112.46</f>
        <v>631.16000000000008</v>
      </c>
      <c r="AF12" s="29">
        <v>17400</v>
      </c>
      <c r="AG12" s="41">
        <f t="shared" si="3"/>
        <v>0</v>
      </c>
      <c r="AH12" s="41">
        <f t="shared" si="3"/>
        <v>-5430.6</v>
      </c>
      <c r="AI12" s="41">
        <f t="shared" si="3"/>
        <v>0</v>
      </c>
      <c r="AJ12" s="41">
        <f t="shared" si="4"/>
        <v>-5430.6</v>
      </c>
      <c r="AK12" s="228">
        <f t="shared" si="5"/>
        <v>0</v>
      </c>
      <c r="AL12">
        <v>2486.98</v>
      </c>
      <c r="AM12">
        <v>7736.4</v>
      </c>
      <c r="AN12">
        <v>4225.2</v>
      </c>
      <c r="AO12" s="41">
        <f t="shared" si="1"/>
        <v>14448.579999999998</v>
      </c>
      <c r="AP12" s="228">
        <f t="shared" si="2"/>
        <v>0</v>
      </c>
      <c r="AR12">
        <v>5430.6</v>
      </c>
    </row>
    <row r="13" spans="1:95" ht="19.899999999999999" customHeight="1" x14ac:dyDescent="0.3">
      <c r="B13" s="49">
        <v>10036862957</v>
      </c>
      <c r="C13" s="39" t="s">
        <v>280</v>
      </c>
      <c r="D13" s="47" t="s">
        <v>281</v>
      </c>
      <c r="E13" s="53" t="s">
        <v>150</v>
      </c>
      <c r="F13" s="57">
        <v>16726</v>
      </c>
      <c r="G13" s="227">
        <v>0.77</v>
      </c>
      <c r="H13" s="41">
        <f t="shared" si="0"/>
        <v>12879.02</v>
      </c>
      <c r="I13" s="54" t="s">
        <v>148</v>
      </c>
      <c r="J13" s="55" t="s">
        <v>282</v>
      </c>
      <c r="K13" s="56" t="s">
        <v>283</v>
      </c>
      <c r="L13" s="57"/>
      <c r="M13" s="40" t="s">
        <v>144</v>
      </c>
      <c r="N13" s="42" t="s">
        <v>145</v>
      </c>
      <c r="O13">
        <v>0</v>
      </c>
      <c r="R13">
        <f>210.14+42.91</f>
        <v>253.04999999999998</v>
      </c>
      <c r="Y13">
        <v>-327.48</v>
      </c>
      <c r="AF13" s="29">
        <v>18000</v>
      </c>
      <c r="AG13" s="41">
        <f t="shared" si="3"/>
        <v>-1128.24</v>
      </c>
      <c r="AH13" s="41">
        <f t="shared" si="3"/>
        <v>-3797.6</v>
      </c>
      <c r="AI13" s="41">
        <f t="shared" si="3"/>
        <v>-3036.6</v>
      </c>
      <c r="AJ13" s="41">
        <f t="shared" si="4"/>
        <v>-7962.4400000000005</v>
      </c>
      <c r="AK13" s="228">
        <f t="shared" si="5"/>
        <v>0</v>
      </c>
      <c r="AL13">
        <v>1128.24</v>
      </c>
      <c r="AM13">
        <v>3897.6</v>
      </c>
      <c r="AN13">
        <v>3036.6</v>
      </c>
      <c r="AO13" s="41">
        <f t="shared" si="1"/>
        <v>8062.4400000000005</v>
      </c>
      <c r="AP13" s="228">
        <f t="shared" si="2"/>
        <v>0</v>
      </c>
      <c r="AQ13">
        <v>1128.24</v>
      </c>
      <c r="AR13">
        <v>3797.6</v>
      </c>
      <c r="AS13">
        <v>3036.6</v>
      </c>
    </row>
    <row r="14" spans="1:95" ht="19.899999999999999" customHeight="1" x14ac:dyDescent="0.3">
      <c r="B14" s="49">
        <v>10036862957</v>
      </c>
      <c r="C14" s="39" t="s">
        <v>280</v>
      </c>
      <c r="D14" s="47" t="s">
        <v>281</v>
      </c>
      <c r="E14" s="53" t="s">
        <v>150</v>
      </c>
      <c r="F14" s="57">
        <v>16726</v>
      </c>
      <c r="G14" s="227">
        <v>0.77</v>
      </c>
      <c r="H14" s="41">
        <f t="shared" si="0"/>
        <v>12879.02</v>
      </c>
      <c r="I14" s="54" t="s">
        <v>148</v>
      </c>
      <c r="J14" s="55" t="s">
        <v>282</v>
      </c>
      <c r="K14" s="56" t="s">
        <v>283</v>
      </c>
      <c r="L14" s="57"/>
      <c r="M14" s="40" t="s">
        <v>146</v>
      </c>
      <c r="N14" s="42" t="s">
        <v>147</v>
      </c>
      <c r="O14">
        <v>8123.77</v>
      </c>
      <c r="R14">
        <f>610.33+145.83</f>
        <v>756.16000000000008</v>
      </c>
      <c r="Y14">
        <v>-2112.9299999999998</v>
      </c>
      <c r="AF14" s="29">
        <v>19000</v>
      </c>
      <c r="AG14" s="41">
        <f t="shared" si="3"/>
        <v>0</v>
      </c>
      <c r="AH14" s="41">
        <f t="shared" si="3"/>
        <v>-7166.08</v>
      </c>
      <c r="AI14" s="41">
        <f t="shared" si="3"/>
        <v>0</v>
      </c>
      <c r="AJ14" s="41">
        <f t="shared" si="4"/>
        <v>-7166.08</v>
      </c>
      <c r="AK14" s="228">
        <f t="shared" si="5"/>
        <v>0</v>
      </c>
      <c r="AL14">
        <v>2955.2</v>
      </c>
      <c r="AM14">
        <v>9756.6</v>
      </c>
      <c r="AN14">
        <v>6501.6</v>
      </c>
      <c r="AO14" s="41">
        <f t="shared" si="1"/>
        <v>19213.400000000001</v>
      </c>
      <c r="AP14" s="228">
        <f t="shared" si="2"/>
        <v>0</v>
      </c>
      <c r="AR14">
        <v>7166.08</v>
      </c>
    </row>
    <row r="15" spans="1:95" s="51" customFormat="1" ht="19.899999999999999" customHeight="1" x14ac:dyDescent="0.3">
      <c r="B15" s="49">
        <v>10036862957</v>
      </c>
      <c r="C15" s="39" t="s">
        <v>280</v>
      </c>
      <c r="D15" s="47" t="s">
        <v>281</v>
      </c>
      <c r="E15" s="53" t="s">
        <v>150</v>
      </c>
      <c r="F15" s="57">
        <v>16726</v>
      </c>
      <c r="G15" s="227">
        <v>0.77</v>
      </c>
      <c r="H15" s="41">
        <f t="shared" si="0"/>
        <v>12879.02</v>
      </c>
      <c r="I15" s="54" t="s">
        <v>148</v>
      </c>
      <c r="J15" s="55" t="s">
        <v>282</v>
      </c>
      <c r="K15" s="56" t="s">
        <v>283</v>
      </c>
      <c r="L15" s="57"/>
      <c r="M15" s="42" t="s">
        <v>148</v>
      </c>
      <c r="N15" s="42" t="s">
        <v>149</v>
      </c>
      <c r="O15" s="229">
        <v>199.55</v>
      </c>
      <c r="P15" s="229">
        <v>0</v>
      </c>
      <c r="Q15" s="229">
        <v>0</v>
      </c>
      <c r="R15" s="229">
        <v>114.17</v>
      </c>
      <c r="S15" s="229">
        <v>0</v>
      </c>
      <c r="T15" s="229">
        <v>0</v>
      </c>
      <c r="U15" s="229">
        <v>0</v>
      </c>
      <c r="V15" s="229">
        <v>0</v>
      </c>
      <c r="W15" s="229"/>
      <c r="X15" s="229"/>
      <c r="Y15" s="229"/>
      <c r="Z15" s="230">
        <v>0.85382999999999998</v>
      </c>
      <c r="AA15" s="230">
        <v>0.85382999999999998</v>
      </c>
      <c r="AB15" s="41"/>
      <c r="AC15" s="41"/>
      <c r="AD15" s="41"/>
      <c r="AE15" s="41">
        <f>SUM(AB15:AD15)</f>
        <v>0</v>
      </c>
      <c r="AF15" s="227">
        <v>18600</v>
      </c>
      <c r="AG15" s="41">
        <f t="shared" si="3"/>
        <v>-2.1</v>
      </c>
      <c r="AH15" s="41">
        <f t="shared" si="3"/>
        <v>-13687.8</v>
      </c>
      <c r="AI15" s="41">
        <f t="shared" si="3"/>
        <v>0</v>
      </c>
      <c r="AJ15" s="41">
        <f t="shared" si="4"/>
        <v>-13689.9</v>
      </c>
      <c r="AK15" s="228">
        <f t="shared" si="5"/>
        <v>-11688.847316999998</v>
      </c>
      <c r="AL15" s="41">
        <v>636.16999999999996</v>
      </c>
      <c r="AM15" s="41">
        <v>1734.6</v>
      </c>
      <c r="AN15" s="41">
        <v>1738.8</v>
      </c>
      <c r="AO15" s="41">
        <f t="shared" si="1"/>
        <v>4109.57</v>
      </c>
      <c r="AP15" s="228">
        <f t="shared" si="2"/>
        <v>3508.8741530999996</v>
      </c>
      <c r="AQ15" s="41">
        <v>2.1</v>
      </c>
      <c r="AR15" s="41">
        <v>13687.8</v>
      </c>
      <c r="AS15" s="41">
        <v>0</v>
      </c>
      <c r="AT15" s="41">
        <f>SUM(AQ15:AS15)</f>
        <v>13689.9</v>
      </c>
      <c r="AU15" s="41">
        <v>636.16999999999996</v>
      </c>
      <c r="AV15" s="41">
        <v>1634.6</v>
      </c>
      <c r="AW15" s="41">
        <v>1738.8</v>
      </c>
      <c r="AX15" s="41">
        <f>SUM(AU15:AW15)</f>
        <v>4009.5699999999997</v>
      </c>
      <c r="AY15" s="231">
        <f>(AU15*Z15)+((AV15+AW15)*AA15)</f>
        <v>3423.4911530999993</v>
      </c>
      <c r="AZ15" s="57">
        <f>AL15-AU15</f>
        <v>0</v>
      </c>
      <c r="BA15" s="58">
        <f>AZ15*Z15</f>
        <v>0</v>
      </c>
      <c r="BB15" s="57">
        <f>AM15-AV15</f>
        <v>100</v>
      </c>
      <c r="BC15" s="57">
        <f>BB15*AA15</f>
        <v>85.382999999999996</v>
      </c>
      <c r="BD15" s="57">
        <f>AN15-AW15</f>
        <v>0</v>
      </c>
      <c r="BE15" s="57">
        <f>BD15*AA15</f>
        <v>0</v>
      </c>
      <c r="BF15" s="57">
        <f>AZ15+BB15+BD15</f>
        <v>100</v>
      </c>
      <c r="BG15" s="57">
        <f>BA15+BC15+BE15</f>
        <v>85.382999999999996</v>
      </c>
      <c r="BH15" s="232">
        <f>BJ15+BQ15+BT15+BW15+BZ15+CC15+CF15+CI15</f>
        <v>-9680.33</v>
      </c>
      <c r="BI15" s="227">
        <f>((AG15+AU15)*Z15)+((AH15+AI15+AV15+AW15)*AA15)</f>
        <v>-8265.3561639</v>
      </c>
      <c r="BJ15" s="64">
        <f>BK15+BL15+AJ15</f>
        <v>-9680.33</v>
      </c>
      <c r="BK15" s="61">
        <f>AU15</f>
        <v>636.16999999999996</v>
      </c>
      <c r="BL15" s="61">
        <f>AV15+AW15</f>
        <v>3373.3999999999996</v>
      </c>
      <c r="BM15" s="227"/>
      <c r="BN15" s="227"/>
      <c r="BO15" s="227">
        <v>0</v>
      </c>
      <c r="BP15" s="227"/>
      <c r="BQ15" s="41">
        <v>0</v>
      </c>
      <c r="BR15" s="227"/>
      <c r="BS15" s="227">
        <v>0</v>
      </c>
      <c r="BT15" s="41">
        <v>0</v>
      </c>
      <c r="BU15" s="227"/>
      <c r="BV15" s="227">
        <v>0</v>
      </c>
      <c r="BW15" s="41"/>
      <c r="BX15" s="227"/>
      <c r="BY15" s="41"/>
      <c r="BZ15" s="41"/>
      <c r="CA15" s="227"/>
      <c r="CB15" s="41"/>
      <c r="CC15" s="41"/>
      <c r="CD15" s="227"/>
      <c r="CE15" s="41"/>
      <c r="CF15" s="41"/>
      <c r="CG15" s="227"/>
      <c r="CH15" s="41"/>
      <c r="CI15" s="41"/>
      <c r="CJ15" s="227"/>
      <c r="CK15" s="41"/>
      <c r="CL15" s="227">
        <f>BI15+BS15+BV15+BY15+CB15+CE15+CH15+CK15</f>
        <v>-8265.3561639</v>
      </c>
      <c r="CM15" s="66">
        <f>AT15-AX15</f>
        <v>9680.33</v>
      </c>
      <c r="CN15" s="227">
        <f>CP15*G15</f>
        <v>7453.8541000000005</v>
      </c>
      <c r="CO15" s="41">
        <f>AJ15+AX15+AO15</f>
        <v>-5570.76</v>
      </c>
      <c r="CP15" s="65">
        <f>AT15-AX15-BQ15-BT15-BW15-BZ15</f>
        <v>9680.33</v>
      </c>
    </row>
    <row r="16" spans="1:95" ht="19.899999999999999" customHeight="1" x14ac:dyDescent="0.3">
      <c r="B16" s="49">
        <v>10036862957</v>
      </c>
      <c r="C16" s="39" t="s">
        <v>280</v>
      </c>
      <c r="D16" s="47" t="s">
        <v>281</v>
      </c>
      <c r="E16" s="53" t="s">
        <v>150</v>
      </c>
      <c r="F16" s="57">
        <v>16726</v>
      </c>
      <c r="G16" s="227">
        <v>0.77</v>
      </c>
      <c r="H16" s="41">
        <f t="shared" si="0"/>
        <v>12879.02</v>
      </c>
      <c r="I16" s="54" t="s">
        <v>148</v>
      </c>
      <c r="J16" s="55" t="s">
        <v>282</v>
      </c>
      <c r="K16" s="56" t="s">
        <v>283</v>
      </c>
      <c r="L16" s="57"/>
      <c r="M16" s="40" t="s">
        <v>150</v>
      </c>
      <c r="N16" s="40" t="s">
        <v>151</v>
      </c>
      <c r="O16" s="229">
        <v>6047.92</v>
      </c>
      <c r="P16" s="229">
        <v>0</v>
      </c>
      <c r="Q16" s="229">
        <v>0</v>
      </c>
      <c r="R16" s="229">
        <f>81.48+20.88</f>
        <v>102.36</v>
      </c>
      <c r="S16" s="229">
        <v>0</v>
      </c>
      <c r="T16" s="229">
        <v>0</v>
      </c>
      <c r="U16" s="229">
        <v>0</v>
      </c>
      <c r="V16" s="229">
        <v>0</v>
      </c>
      <c r="W16" s="229">
        <v>0</v>
      </c>
      <c r="X16" s="229">
        <v>0</v>
      </c>
      <c r="Y16" s="229">
        <v>0</v>
      </c>
      <c r="Z16" s="230">
        <v>0.84188466918101468</v>
      </c>
      <c r="AA16" s="230">
        <v>0.84188466918101468</v>
      </c>
      <c r="AB16" s="41">
        <v>39.450000000000003</v>
      </c>
      <c r="AC16" s="41">
        <f>9.92+17905.12</f>
        <v>17915.039999999997</v>
      </c>
      <c r="AD16" s="41">
        <v>0</v>
      </c>
      <c r="AE16" s="41">
        <f>SUM(AB16:AD16)</f>
        <v>17954.489999999998</v>
      </c>
      <c r="AF16" s="227">
        <f>(AB16*Z16)+((AC16+AD16)*AA16)</f>
        <v>15115.609873963835</v>
      </c>
      <c r="AG16" s="41">
        <f t="shared" si="3"/>
        <v>39.450000000000003</v>
      </c>
      <c r="AH16" s="41">
        <f t="shared" si="3"/>
        <v>14345.039999999997</v>
      </c>
      <c r="AI16" s="41">
        <f t="shared" si="3"/>
        <v>0</v>
      </c>
      <c r="AJ16" s="41">
        <f t="shared" si="4"/>
        <v>14384.489999999998</v>
      </c>
      <c r="AK16" s="228">
        <f t="shared" si="5"/>
        <v>12110.081604987612</v>
      </c>
      <c r="AL16" s="41">
        <v>2815.34</v>
      </c>
      <c r="AM16" s="41">
        <v>10327.799999999999</v>
      </c>
      <c r="AN16" s="41">
        <v>7169.4</v>
      </c>
      <c r="AO16" s="41">
        <f t="shared" si="1"/>
        <v>20312.54</v>
      </c>
      <c r="AP16" s="228">
        <f t="shared" si="2"/>
        <v>17100.816018126126</v>
      </c>
      <c r="AQ16" s="41">
        <v>0</v>
      </c>
      <c r="AR16" s="41">
        <v>3570</v>
      </c>
      <c r="AS16" s="41">
        <v>0</v>
      </c>
      <c r="AT16" s="41">
        <f>SUM(AQ16:AS16)</f>
        <v>3570</v>
      </c>
      <c r="AU16" s="41">
        <v>0</v>
      </c>
      <c r="AV16" s="41">
        <v>10227.799999999999</v>
      </c>
      <c r="AW16" s="41">
        <v>3022.53</v>
      </c>
      <c r="AX16" s="41">
        <f>SUM(AU16:AW16)</f>
        <v>13250.33</v>
      </c>
      <c r="AY16" s="231">
        <f>(AU16*Z16)+((AV16+AW16)*AA16)</f>
        <v>11155.249688589274</v>
      </c>
      <c r="AZ16" s="57">
        <f>AL16-AU16</f>
        <v>2815.34</v>
      </c>
      <c r="BA16" s="58">
        <f>AZ16*Z16</f>
        <v>2370.1915845320782</v>
      </c>
      <c r="BB16" s="57">
        <f>AM16-AV16</f>
        <v>100</v>
      </c>
      <c r="BC16" s="57">
        <f>BB16*AA16</f>
        <v>84.188466918101469</v>
      </c>
      <c r="BD16" s="57">
        <f>AN16-AW16</f>
        <v>4146.869999999999</v>
      </c>
      <c r="BE16" s="57">
        <f>BD16*AA16</f>
        <v>3491.1862780866736</v>
      </c>
      <c r="BF16" s="57">
        <f>AZ16+BB16+BD16</f>
        <v>7062.2099999999991</v>
      </c>
      <c r="BG16" s="57">
        <f>BA16+BC16+BE16</f>
        <v>5945.5663295368531</v>
      </c>
      <c r="BH16" s="232">
        <f>BJ16+BQ16+BT16+BW16+BZ16+CC16+CF16+CI16</f>
        <v>27634.82</v>
      </c>
      <c r="BI16" s="227">
        <f>((AG16+AU16)*Z16)+((AH16+AI16+AV16+AW16)*AA16)</f>
        <v>23265.331293576884</v>
      </c>
      <c r="BJ16" s="64">
        <f>BK16+BL16+AJ16</f>
        <v>27634.82</v>
      </c>
      <c r="BK16" s="61">
        <f>AU16</f>
        <v>0</v>
      </c>
      <c r="BL16" s="61">
        <f>AV16+AW16</f>
        <v>13250.33</v>
      </c>
      <c r="BM16" s="227"/>
      <c r="BN16" s="227"/>
      <c r="BO16" s="227">
        <v>0</v>
      </c>
      <c r="BP16" s="227"/>
      <c r="BQ16" s="41">
        <v>0</v>
      </c>
      <c r="BR16" s="227"/>
      <c r="BS16" s="227">
        <v>0</v>
      </c>
      <c r="BT16" s="41">
        <v>0</v>
      </c>
      <c r="BU16" s="227"/>
      <c r="BV16" s="227">
        <v>0</v>
      </c>
      <c r="BW16" s="41"/>
      <c r="BX16" s="227"/>
      <c r="BY16" s="41"/>
      <c r="BZ16" s="41"/>
      <c r="CA16" s="227"/>
      <c r="CB16" s="41"/>
      <c r="CC16" s="41"/>
      <c r="CD16" s="227"/>
      <c r="CE16" s="41"/>
      <c r="CF16" s="41"/>
      <c r="CG16" s="227"/>
      <c r="CH16" s="41"/>
      <c r="CI16" s="41"/>
      <c r="CJ16" s="227"/>
      <c r="CK16" s="41"/>
      <c r="CL16" s="227">
        <f>BI16+BS16+BV16+BY16+CB16+CE16+CH16+CK16</f>
        <v>23265.331293576884</v>
      </c>
      <c r="CM16" s="57">
        <f>(AT16-(AX16+BT16+BW16+BZ16+CC16+CF16+CI16+BQ16)+CM15)</f>
        <v>0</v>
      </c>
      <c r="CN16" s="227">
        <f>CP16*G16</f>
        <v>-7453.8541000000005</v>
      </c>
      <c r="CO16" s="41">
        <f>AJ16+AX16+AO16</f>
        <v>47947.360000000001</v>
      </c>
      <c r="CP16" s="65">
        <f>AT16-AX16-BQ16-BT16-BW16-BZ16</f>
        <v>-9680.33</v>
      </c>
      <c r="CQ16" s="51" t="s">
        <v>284</v>
      </c>
    </row>
  </sheetData>
  <autoFilter ref="A1:CQ14" xr:uid="{00000000-0009-0000-0000-000003000000}"/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Analise Propostas Usina rev.0</vt:lpstr>
      <vt:lpstr>Base de Dados</vt:lpstr>
      <vt:lpstr>dCliente</vt:lpstr>
      <vt:lpstr>Base de Dados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Pablo Carvalho</cp:lastModifiedBy>
  <dcterms:created xsi:type="dcterms:W3CDTF">2022-05-09T18:41:57Z</dcterms:created>
  <dcterms:modified xsi:type="dcterms:W3CDTF">2024-05-02T17:51:00Z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0x01010038171064057FD94C812B16C6596F8E50</vt:lpwstr>
  </property>
  <property fmtid="{D5CDD505-2E9C-101B-9397-08002B2CF9AE}" pid="3" name="MediaServiceImageTags">
    <vt:lpwstr/>
  </property>
</Properties>
</file>