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2" windowWidth="18084" windowHeight="7956"/>
  </bookViews>
  <sheets>
    <sheet name="CLASSIC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J4" i="1" l="1"/>
  <c r="J5" i="1"/>
  <c r="K4" i="1"/>
  <c r="K5" i="1"/>
  <c r="K6" i="1"/>
  <c r="J6" i="1"/>
  <c r="G5" i="1"/>
  <c r="G6" i="1"/>
  <c r="E22" i="1"/>
  <c r="H21" i="1"/>
  <c r="J21" i="1" s="1"/>
  <c r="K21" i="1" s="1"/>
  <c r="F21" i="1"/>
  <c r="E21" i="1"/>
  <c r="H20" i="1"/>
  <c r="J20" i="1" s="1"/>
  <c r="K20" i="1" s="1"/>
  <c r="F20" i="1"/>
  <c r="E20" i="1"/>
  <c r="I20" i="1" s="1"/>
  <c r="H19" i="1"/>
  <c r="J19" i="1" s="1"/>
  <c r="K19" i="1" s="1"/>
  <c r="F19" i="1"/>
  <c r="E19" i="1"/>
  <c r="H18" i="1"/>
  <c r="J18" i="1" s="1"/>
  <c r="K18" i="1" s="1"/>
  <c r="F18" i="1"/>
  <c r="E18" i="1"/>
  <c r="H17" i="1"/>
  <c r="J17" i="1" s="1"/>
  <c r="K17" i="1" s="1"/>
  <c r="F17" i="1"/>
  <c r="E17" i="1"/>
  <c r="H16" i="1"/>
  <c r="J16" i="1" s="1"/>
  <c r="K16" i="1" s="1"/>
  <c r="F16" i="1"/>
  <c r="E16" i="1"/>
  <c r="H15" i="1"/>
  <c r="J15" i="1" s="1"/>
  <c r="K15" i="1" s="1"/>
  <c r="F15" i="1"/>
  <c r="E15" i="1"/>
  <c r="N14" i="1"/>
  <c r="H14" i="1"/>
  <c r="J14" i="1" s="1"/>
  <c r="F14" i="1"/>
  <c r="E14" i="1"/>
  <c r="H13" i="1"/>
  <c r="F13" i="1"/>
  <c r="I13" i="1" s="1"/>
  <c r="G4" i="1"/>
  <c r="I16" i="1" l="1"/>
  <c r="I19" i="1"/>
  <c r="T6" i="1"/>
  <c r="V6" i="1" s="1"/>
  <c r="W6" i="1" s="1"/>
  <c r="Y6" i="1" s="1"/>
  <c r="I17" i="1"/>
  <c r="I14" i="1"/>
  <c r="I21" i="1"/>
  <c r="O6" i="1"/>
  <c r="Q6" i="1" s="1"/>
  <c r="T5" i="1"/>
  <c r="V5" i="1" s="1"/>
  <c r="W5" i="1" s="1"/>
  <c r="Y5" i="1" s="1"/>
  <c r="AF5" i="1" s="1"/>
  <c r="AG5" i="1" s="1"/>
  <c r="AH5" i="1" s="1"/>
  <c r="AI5" i="1" s="1" a="1"/>
  <c r="AI5" i="1" s="1"/>
  <c r="O5" i="1"/>
  <c r="Q5" i="1" s="1"/>
  <c r="I15" i="1"/>
  <c r="I18" i="1"/>
  <c r="L15" i="1"/>
  <c r="L14" i="1"/>
  <c r="K14" i="1"/>
  <c r="O4" i="1"/>
  <c r="Q4" i="1" s="1"/>
  <c r="T4" i="1"/>
  <c r="V4" i="1" s="1"/>
  <c r="W4" i="1" s="1"/>
  <c r="X6" i="1" l="1"/>
  <c r="AJ5" i="1" a="1"/>
  <c r="AJ5" i="1" s="1"/>
  <c r="X5" i="1"/>
  <c r="AF6" i="1"/>
  <c r="AG6" i="1" s="1"/>
  <c r="AH6" i="1" s="1"/>
  <c r="X4" i="1"/>
  <c r="Y4" i="1"/>
  <c r="AF4" i="1" s="1"/>
  <c r="AG4" i="1" s="1"/>
  <c r="AH4" i="1" s="1"/>
  <c r="M14" i="1"/>
  <c r="N15" i="1"/>
  <c r="N16" i="1"/>
  <c r="M15" i="1"/>
  <c r="L16" i="1"/>
  <c r="AI6" i="1" l="1" a="1"/>
  <c r="AI6" i="1" s="1"/>
  <c r="AJ6" i="1" a="1"/>
  <c r="AJ6" i="1" s="1"/>
  <c r="AK6" i="1" a="1"/>
  <c r="AK6" i="1" s="1"/>
  <c r="AJ4" i="1" a="1"/>
  <c r="AJ4" i="1" s="1"/>
  <c r="AI4" i="1" a="1"/>
  <c r="AI4" i="1" s="1"/>
  <c r="N17" i="1"/>
  <c r="AK5" i="1" s="1" a="1"/>
  <c r="AK5" i="1" s="1"/>
  <c r="AL5" i="1" s="1"/>
  <c r="M16" i="1"/>
  <c r="L17" i="1"/>
  <c r="AM5" i="1" l="1"/>
  <c r="AA5" i="1" s="1"/>
  <c r="AB5" i="1" s="1"/>
  <c r="AC5" i="1" s="1"/>
  <c r="AK4" i="1" a="1"/>
  <c r="AK4" i="1" s="1"/>
  <c r="AL4" i="1" s="1"/>
  <c r="AM4" i="1" s="1"/>
  <c r="AL6" i="1"/>
  <c r="L18" i="1"/>
  <c r="N18" i="1"/>
  <c r="M17" i="1"/>
  <c r="AM6" i="1" l="1"/>
  <c r="AA6" i="1" s="1"/>
  <c r="AB6" i="1" s="1"/>
  <c r="AC6" i="1" s="1"/>
  <c r="AA4" i="1"/>
  <c r="AB4" i="1" s="1"/>
  <c r="AC4" i="1" s="1"/>
  <c r="M18" i="1"/>
  <c r="N19" i="1"/>
  <c r="L19" i="1"/>
  <c r="M19" i="1" l="1"/>
  <c r="N20" i="1"/>
  <c r="L20" i="1"/>
  <c r="N21" i="1" l="1"/>
  <c r="L21" i="1"/>
  <c r="M20" i="1"/>
  <c r="M21" i="1" l="1"/>
  <c r="N22" i="1"/>
</calcChain>
</file>

<file path=xl/sharedStrings.xml><?xml version="1.0" encoding="utf-8"?>
<sst xmlns="http://schemas.openxmlformats.org/spreadsheetml/2006/main" count="57" uniqueCount="56">
  <si>
    <t>EMPLOYEE NAME</t>
  </si>
  <si>
    <t>AMELIA ROSE THORNTON</t>
  </si>
  <si>
    <t xml:space="preserve">ETHAN JAMES CALDWELL </t>
  </si>
  <si>
    <t>HARPER ELISE WHITMORE</t>
  </si>
  <si>
    <t>Basic Salary</t>
  </si>
  <si>
    <t>Seniority</t>
  </si>
  <si>
    <t>Seniority Bonus</t>
  </si>
  <si>
    <t>Seniority (Rate)</t>
  </si>
  <si>
    <t>Non-Taxable Earnings</t>
  </si>
  <si>
    <t>Family Allowance</t>
  </si>
  <si>
    <t xml:space="preserve"> Housing (30%)</t>
  </si>
  <si>
    <t>N# Days</t>
  </si>
  <si>
    <t>Working days</t>
  </si>
  <si>
    <t>Daily rate</t>
  </si>
  <si>
    <t>Basic Salary recalculed</t>
  </si>
  <si>
    <t>Transport Allowance</t>
  </si>
  <si>
    <t>Total Non-Taxable</t>
  </si>
  <si>
    <t>Taxable Earnings</t>
  </si>
  <si>
    <t>School Fees</t>
  </si>
  <si>
    <t>Cost of Living Allowance</t>
  </si>
  <si>
    <t>Other Bonuses</t>
  </si>
  <si>
    <t>Total Taxable</t>
  </si>
  <si>
    <t>Gross Salary</t>
  </si>
  <si>
    <t>INSS QPO (3.5%)</t>
  </si>
  <si>
    <t>Inss Qpo (3.5%)</t>
  </si>
  <si>
    <t>Taxable Gross Salary</t>
  </si>
  <si>
    <t>Salary Advance</t>
  </si>
  <si>
    <t>IPR</t>
  </si>
  <si>
    <t>IPR Base</t>
  </si>
  <si>
    <t>EXCHANGE RATE</t>
  </si>
  <si>
    <t>IPR Base (FC)</t>
  </si>
  <si>
    <t>Rate</t>
  </si>
  <si>
    <t>Annual Bracket Start</t>
  </si>
  <si>
    <t xml:space="preserve"> Annual Bracket End</t>
  </si>
  <si>
    <t>Monthly Bracket Start</t>
  </si>
  <si>
    <t>Monthly Bracket End</t>
  </si>
  <si>
    <t>Annual Gap</t>
  </si>
  <si>
    <t>Monthly Gap</t>
  </si>
  <si>
    <t>Annual Tax</t>
  </si>
  <si>
    <t>Monthly Tax</t>
  </si>
  <si>
    <t>Annual Cumulative</t>
  </si>
  <si>
    <t>Monthly Cumulative</t>
  </si>
  <si>
    <t>ANNUAL CUMULATIVE - 1</t>
  </si>
  <si>
    <t>IPR Base Annual (FC)</t>
  </si>
  <si>
    <t>IPR Bracket</t>
  </si>
  <si>
    <t>Annual Cummulative -1</t>
  </si>
  <si>
    <t>IPR (FC)</t>
  </si>
  <si>
    <t>Deductions</t>
  </si>
  <si>
    <t>Total Deductions</t>
  </si>
  <si>
    <t>Net Salary</t>
  </si>
  <si>
    <t>N# Children</t>
  </si>
  <si>
    <t>IPR RECALCULATED</t>
  </si>
  <si>
    <t>IPR RATE DEDUCTION BY CHILDREN</t>
  </si>
  <si>
    <t>N#Holiday</t>
  </si>
  <si>
    <t>Pay Rate</t>
  </si>
  <si>
    <t>Leave Pay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</si>
</sst>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[$$-409]#,##0.00"/>
    <numFmt numFmtId="170" formatCode="0.0%"/>
    <numFmt numFmtId="171" formatCode="#,##0\ [$FC-240C]"/>
    <numFmt numFmtId="172" formatCode="#,##0.00\ [$FC-240C]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168" fontId="1" fillId="0" borderId="1" xfId="0" applyNumberFormat="1" applyFont="1" applyBorder="1"/>
    <xf numFmtId="168" fontId="1" fillId="4" borderId="1" xfId="0" applyNumberFormat="1" applyFont="1" applyFill="1" applyBorder="1"/>
    <xf numFmtId="170" fontId="1" fillId="0" borderId="1" xfId="0" applyNumberFormat="1" applyFont="1" applyBorder="1"/>
    <xf numFmtId="170" fontId="1" fillId="4" borderId="1" xfId="0" applyNumberFormat="1" applyFont="1" applyFill="1" applyBorder="1"/>
    <xf numFmtId="168" fontId="2" fillId="0" borderId="1" xfId="0" applyNumberFormat="1" applyFont="1" applyBorder="1"/>
    <xf numFmtId="170" fontId="1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171" fontId="1" fillId="2" borderId="1" xfId="0" applyNumberFormat="1" applyFont="1" applyFill="1" applyBorder="1"/>
    <xf numFmtId="171" fontId="1" fillId="3" borderId="1" xfId="0" applyNumberFormat="1" applyFont="1" applyFill="1" applyBorder="1"/>
    <xf numFmtId="0" fontId="2" fillId="2" borderId="4" xfId="0" applyFont="1" applyFill="1" applyBorder="1"/>
    <xf numFmtId="0" fontId="1" fillId="5" borderId="1" xfId="0" applyFont="1" applyFill="1" applyBorder="1"/>
    <xf numFmtId="171" fontId="1" fillId="5" borderId="1" xfId="0" applyNumberFormat="1" applyFont="1" applyFill="1" applyBorder="1"/>
    <xf numFmtId="2" fontId="1" fillId="0" borderId="1" xfId="0" applyNumberFormat="1" applyFont="1" applyBorder="1"/>
    <xf numFmtId="2" fontId="1" fillId="4" borderId="1" xfId="0" applyNumberFormat="1" applyFont="1" applyFill="1" applyBorder="1"/>
    <xf numFmtId="168" fontId="2" fillId="4" borderId="1" xfId="0" applyNumberFormat="1" applyFont="1" applyFill="1" applyBorder="1"/>
    <xf numFmtId="171" fontId="1" fillId="4" borderId="1" xfId="0" applyNumberFormat="1" applyFont="1" applyFill="1" applyBorder="1"/>
    <xf numFmtId="172" fontId="1" fillId="4" borderId="1" xfId="0" applyNumberFormat="1" applyFont="1" applyFill="1" applyBorder="1"/>
    <xf numFmtId="0" fontId="1" fillId="0" borderId="0" xfId="0" applyFont="1" applyFill="1"/>
    <xf numFmtId="168" fontId="1" fillId="5" borderId="1" xfId="0" applyNumberFormat="1" applyFont="1" applyFill="1" applyBorder="1"/>
    <xf numFmtId="172" fontId="1" fillId="5" borderId="1" xfId="0" applyNumberFormat="1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70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7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22"/>
  <sheetViews>
    <sheetView tabSelected="1" workbookViewId="0">
      <selection activeCell="AM6" sqref="AM6"/>
    </sheetView>
  </sheetViews>
  <sheetFormatPr baseColWidth="10" defaultRowHeight="15" x14ac:dyDescent="0.25"/>
  <cols>
    <col min="1" max="1" width="11.5546875" style="1"/>
    <col min="2" max="2" width="40.33203125" style="1" bestFit="1" customWidth="1"/>
    <col min="3" max="3" width="33.44140625" style="1" customWidth="1"/>
    <col min="4" max="4" width="24.88671875" style="1" bestFit="1" customWidth="1"/>
    <col min="5" max="5" width="29" style="1" customWidth="1"/>
    <col min="6" max="9" width="26.5546875" style="1" customWidth="1"/>
    <col min="10" max="10" width="25.88671875" style="1" bestFit="1" customWidth="1"/>
    <col min="11" max="11" width="22.5546875" style="1" customWidth="1"/>
    <col min="12" max="12" width="23.6640625" style="1" bestFit="1" customWidth="1"/>
    <col min="13" max="13" width="22.77734375" style="1" bestFit="1" customWidth="1"/>
    <col min="14" max="14" width="23.6640625" style="1" bestFit="1" customWidth="1"/>
    <col min="15" max="15" width="23.109375" style="1" bestFit="1" customWidth="1"/>
    <col min="16" max="16" width="28.44140625" style="1" bestFit="1" customWidth="1"/>
    <col min="17" max="17" width="18.77734375" style="1" customWidth="1"/>
    <col min="18" max="18" width="27.21875" style="1" bestFit="1" customWidth="1"/>
    <col min="19" max="19" width="17.88671875" style="1" bestFit="1" customWidth="1"/>
    <col min="20" max="20" width="17" style="1" bestFit="1" customWidth="1"/>
    <col min="21" max="21" width="16.5546875" style="1" customWidth="1"/>
    <col min="22" max="22" width="21.33203125" style="1" customWidth="1"/>
    <col min="23" max="23" width="17.88671875" style="1" customWidth="1"/>
    <col min="24" max="24" width="20.21875" style="1" customWidth="1"/>
    <col min="25" max="25" width="18" style="1" customWidth="1"/>
    <col min="26" max="26" width="17.109375" style="1" customWidth="1"/>
    <col min="27" max="27" width="18.88671875" style="1" customWidth="1"/>
    <col min="28" max="28" width="19" style="1" bestFit="1" customWidth="1"/>
    <col min="29" max="31" width="11.5546875" style="1"/>
    <col min="32" max="32" width="15.44140625" style="1" bestFit="1" customWidth="1"/>
    <col min="33" max="33" width="22.77734375" style="1" bestFit="1" customWidth="1"/>
    <col min="34" max="34" width="21.33203125" style="1" bestFit="1" customWidth="1"/>
    <col min="35" max="35" width="17.21875" style="1" bestFit="1" customWidth="1"/>
    <col min="36" max="36" width="23.33203125" style="1" bestFit="1" customWidth="1"/>
    <col min="37" max="37" width="25.21875" style="1" customWidth="1"/>
    <col min="38" max="38" width="15.44140625" style="1" bestFit="1" customWidth="1"/>
    <col min="39" max="39" width="22.77734375" style="1" bestFit="1" customWidth="1"/>
    <col min="40" max="16384" width="11.5546875" style="1"/>
  </cols>
  <sheetData>
    <row r="2" spans="2:39" ht="15.6" customHeight="1" x14ac:dyDescent="0.3">
      <c r="N2" s="13" t="s">
        <v>8</v>
      </c>
      <c r="O2" s="13"/>
      <c r="P2" s="13"/>
      <c r="Q2" s="13"/>
      <c r="R2" s="13" t="s">
        <v>17</v>
      </c>
      <c r="S2" s="13"/>
      <c r="T2" s="13"/>
      <c r="U2" s="13"/>
      <c r="V2" s="13"/>
      <c r="W2" s="27" t="s">
        <v>25</v>
      </c>
      <c r="X2" s="27" t="s">
        <v>22</v>
      </c>
      <c r="Y2" s="13" t="s">
        <v>47</v>
      </c>
      <c r="Z2" s="13"/>
      <c r="AA2" s="13"/>
      <c r="AB2" s="13"/>
      <c r="AC2" s="27" t="s">
        <v>49</v>
      </c>
    </row>
    <row r="3" spans="2:39" ht="15.6" x14ac:dyDescent="0.3">
      <c r="B3" s="3" t="s">
        <v>0</v>
      </c>
      <c r="C3" s="3" t="s">
        <v>4</v>
      </c>
      <c r="D3" s="3" t="s">
        <v>50</v>
      </c>
      <c r="E3" s="3" t="s">
        <v>11</v>
      </c>
      <c r="F3" s="3" t="s">
        <v>12</v>
      </c>
      <c r="G3" s="3" t="s">
        <v>13</v>
      </c>
      <c r="H3" s="3" t="s">
        <v>53</v>
      </c>
      <c r="I3" s="3" t="s">
        <v>54</v>
      </c>
      <c r="J3" s="3" t="s">
        <v>55</v>
      </c>
      <c r="K3" s="3" t="s">
        <v>14</v>
      </c>
      <c r="L3" s="3" t="s">
        <v>5</v>
      </c>
      <c r="M3" s="3" t="s">
        <v>7</v>
      </c>
      <c r="N3" s="2" t="s">
        <v>9</v>
      </c>
      <c r="O3" s="2" t="s">
        <v>10</v>
      </c>
      <c r="P3" s="2" t="s">
        <v>15</v>
      </c>
      <c r="Q3" s="3" t="s">
        <v>16</v>
      </c>
      <c r="R3" s="2" t="s">
        <v>18</v>
      </c>
      <c r="S3" s="2" t="s">
        <v>19</v>
      </c>
      <c r="T3" s="2" t="s">
        <v>6</v>
      </c>
      <c r="U3" s="2" t="s">
        <v>20</v>
      </c>
      <c r="V3" s="3" t="s">
        <v>21</v>
      </c>
      <c r="W3" s="28"/>
      <c r="X3" s="28"/>
      <c r="Y3" s="2" t="s">
        <v>24</v>
      </c>
      <c r="Z3" s="2" t="s">
        <v>26</v>
      </c>
      <c r="AA3" s="2" t="s">
        <v>27</v>
      </c>
      <c r="AB3" s="3" t="s">
        <v>48</v>
      </c>
      <c r="AC3" s="28"/>
      <c r="AF3" s="2" t="s">
        <v>28</v>
      </c>
      <c r="AG3" s="2" t="s">
        <v>30</v>
      </c>
      <c r="AH3" s="2" t="s">
        <v>43</v>
      </c>
      <c r="AI3" s="2" t="s">
        <v>44</v>
      </c>
      <c r="AJ3" s="2" t="s">
        <v>31</v>
      </c>
      <c r="AK3" s="2" t="s">
        <v>45</v>
      </c>
      <c r="AL3" s="2" t="s">
        <v>46</v>
      </c>
      <c r="AM3" s="2" t="s">
        <v>51</v>
      </c>
    </row>
    <row r="4" spans="2:39" ht="15.6" x14ac:dyDescent="0.3">
      <c r="B4" s="4" t="s">
        <v>1</v>
      </c>
      <c r="C4" s="7">
        <v>225</v>
      </c>
      <c r="D4" s="4">
        <v>0</v>
      </c>
      <c r="E4" s="4">
        <v>23</v>
      </c>
      <c r="F4" s="4">
        <v>23</v>
      </c>
      <c r="G4" s="19">
        <f>C4/E4</f>
        <v>9.7826086956521738</v>
      </c>
      <c r="H4" s="4">
        <v>0</v>
      </c>
      <c r="I4" s="4">
        <v>0</v>
      </c>
      <c r="J4" s="7">
        <f t="shared" ref="J4:J5" si="0">G4*H4*I4</f>
        <v>0</v>
      </c>
      <c r="K4" s="7">
        <f t="shared" ref="K4:K5" si="1">(G4*F4)+J4</f>
        <v>225</v>
      </c>
      <c r="L4" s="4">
        <v>42</v>
      </c>
      <c r="M4" s="9">
        <v>3.5000000000000003E-2</v>
      </c>
      <c r="N4" s="7">
        <v>30</v>
      </c>
      <c r="O4" s="7">
        <f>K4*0.3</f>
        <v>67.5</v>
      </c>
      <c r="P4" s="7">
        <v>70</v>
      </c>
      <c r="Q4" s="11">
        <f>SUM(N4:P4)</f>
        <v>167.5</v>
      </c>
      <c r="R4" s="7">
        <v>50</v>
      </c>
      <c r="S4" s="7">
        <v>0</v>
      </c>
      <c r="T4" s="7">
        <f>K4*L4*M4</f>
        <v>330.75000000000006</v>
      </c>
      <c r="U4" s="7">
        <v>25</v>
      </c>
      <c r="V4" s="11">
        <f>R4+S4+T4+U4</f>
        <v>405.75000000000006</v>
      </c>
      <c r="W4" s="11">
        <f>K4+V4</f>
        <v>630.75</v>
      </c>
      <c r="X4" s="11">
        <f>K4+Q4+V4</f>
        <v>798.25</v>
      </c>
      <c r="Y4" s="7">
        <f>W4*$C$8</f>
        <v>22.076250000000002</v>
      </c>
      <c r="Z4" s="7">
        <v>100</v>
      </c>
      <c r="AA4" s="7">
        <f>AM4/$C$9</f>
        <v>122.32757728494626</v>
      </c>
      <c r="AB4" s="11">
        <f>SUM(Y4:AA4)</f>
        <v>244.40382728494626</v>
      </c>
      <c r="AC4" s="11">
        <f>X4-AB4</f>
        <v>553.84617271505374</v>
      </c>
      <c r="AF4" s="25">
        <f>W4-Y4</f>
        <v>608.67375000000004</v>
      </c>
      <c r="AG4" s="18">
        <f>AF4*$C$9</f>
        <v>566066.58750000002</v>
      </c>
      <c r="AH4" s="26">
        <f>AG4*12</f>
        <v>6792799.0500000007</v>
      </c>
      <c r="AI4" s="26">
        <f t="array" ref="AI4">INDEX($C$13:$C$22,MATCH(1,(AH4&gt;=$C$13:$C$22)*(AH4&lt;$D$13:$D$22),0))</f>
        <v>4620000</v>
      </c>
      <c r="AJ4" s="17">
        <f t="array" ref="AJ4">INDEX($B$13:$B$22,MATCH(1,(AH4&gt;=$C$13:$C$22)*(AH4&lt;$D$13:$D$22),0))/100</f>
        <v>0.25</v>
      </c>
      <c r="AK4" s="26">
        <f t="array" ref="AK4">INDEX($N$13:$N$22,MATCH(1,(AH4&gt;=$C$13:$C$22)*(AH4&lt;$D$13:$D$22),0))</f>
        <v>821976</v>
      </c>
      <c r="AL4" s="26">
        <f>(((AH4-AI4) * AJ4) + AK4) / 12</f>
        <v>113764.64687500002</v>
      </c>
      <c r="AM4" s="26">
        <f>AL4-(AL4*$C$10*D4)</f>
        <v>113764.64687500002</v>
      </c>
    </row>
    <row r="5" spans="2:39" s="24" customFormat="1" ht="15.6" x14ac:dyDescent="0.3">
      <c r="B5" s="6" t="s">
        <v>2</v>
      </c>
      <c r="C5" s="8">
        <v>220</v>
      </c>
      <c r="D5" s="6">
        <v>3</v>
      </c>
      <c r="E5" s="6">
        <v>23</v>
      </c>
      <c r="F5" s="6">
        <v>23</v>
      </c>
      <c r="G5" s="20">
        <f>C5/E5</f>
        <v>9.5652173913043477</v>
      </c>
      <c r="H5" s="6">
        <v>0</v>
      </c>
      <c r="I5" s="6">
        <v>0</v>
      </c>
      <c r="J5" s="8">
        <f t="shared" si="0"/>
        <v>0</v>
      </c>
      <c r="K5" s="8">
        <f t="shared" si="1"/>
        <v>220</v>
      </c>
      <c r="L5" s="6">
        <v>35</v>
      </c>
      <c r="M5" s="10">
        <v>3.5000000000000003E-2</v>
      </c>
      <c r="N5" s="8">
        <v>120</v>
      </c>
      <c r="O5" s="8">
        <f t="shared" ref="O5:O6" si="2">K5*0.3</f>
        <v>66</v>
      </c>
      <c r="P5" s="8">
        <v>50</v>
      </c>
      <c r="Q5" s="21">
        <f>SUM(N5:P5)</f>
        <v>236</v>
      </c>
      <c r="R5" s="8">
        <v>0</v>
      </c>
      <c r="S5" s="8">
        <v>0</v>
      </c>
      <c r="T5" s="8">
        <f t="shared" ref="T5:T6" si="3">K5*L5*M5</f>
        <v>269.5</v>
      </c>
      <c r="U5" s="8">
        <v>0</v>
      </c>
      <c r="V5" s="21">
        <f t="shared" ref="V5:V6" si="4">R5+S5+T5+U5</f>
        <v>269.5</v>
      </c>
      <c r="W5" s="21">
        <f>K5+V5</f>
        <v>489.5</v>
      </c>
      <c r="X5" s="21">
        <f t="shared" ref="X5:X6" si="5">K5+Q5+V5</f>
        <v>725.5</v>
      </c>
      <c r="Y5" s="8">
        <f t="shared" ref="Y5:Y6" si="6">W5*$C$8</f>
        <v>17.1325</v>
      </c>
      <c r="Z5" s="8">
        <v>0</v>
      </c>
      <c r="AA5" s="8">
        <f t="shared" ref="AA5:AA6" si="7">AM5/$C$9</f>
        <v>82.955953897849483</v>
      </c>
      <c r="AB5" s="21">
        <f t="shared" ref="AB5:AB6" si="8">SUM(Y5:AA5)</f>
        <v>100.08845389784949</v>
      </c>
      <c r="AC5" s="21">
        <f t="shared" ref="AC5:AC6" si="9">X5-AB5</f>
        <v>625.41154610215051</v>
      </c>
      <c r="AF5" s="8">
        <f t="shared" ref="AF5:AF6" si="10">W5-Y5</f>
        <v>472.36750000000001</v>
      </c>
      <c r="AG5" s="22">
        <f t="shared" ref="AG5:AG6" si="11">AF5*$C$9</f>
        <v>439301.77500000002</v>
      </c>
      <c r="AH5" s="23">
        <f t="shared" ref="AH5:AH6" si="12">AG5*12</f>
        <v>5271621.3000000007</v>
      </c>
      <c r="AI5" s="23">
        <f t="array" ref="AI5">INDEX($C$13:$C$22,MATCH(1,(AH5&gt;=$C$13:$C$22)*(AH5&lt;$D$13:$D$22),0))</f>
        <v>4620000</v>
      </c>
      <c r="AJ5" s="6">
        <f t="array" ref="AJ5">INDEX($B$13:$B$22,MATCH(1,(AH5&gt;=$C$13:$C$22)*(AH5&lt;$D$13:$D$22),0))/100</f>
        <v>0.25</v>
      </c>
      <c r="AK5" s="23">
        <f t="array" ref="AK5">INDEX($N$13:$N$22,MATCH(1,(AH5&gt;=$C$13:$C$22)*(AH5&lt;$D$13:$D$22),0))</f>
        <v>821976</v>
      </c>
      <c r="AL5" s="23">
        <f t="shared" ref="AL5:AL6" si="13">(((AH5-AI5) * AJ5) + AK5) / 12</f>
        <v>82073.44375000002</v>
      </c>
      <c r="AM5" s="23">
        <f t="shared" ref="AM5:AM6" si="14">AL5-(AL5*$C$10*D5)</f>
        <v>77149.037125000017</v>
      </c>
    </row>
    <row r="6" spans="2:39" ht="15.6" x14ac:dyDescent="0.3">
      <c r="B6" s="4" t="s">
        <v>3</v>
      </c>
      <c r="C6" s="7">
        <v>30</v>
      </c>
      <c r="D6" s="4">
        <v>1</v>
      </c>
      <c r="E6" s="4">
        <v>23</v>
      </c>
      <c r="F6" s="4">
        <v>13</v>
      </c>
      <c r="G6" s="19">
        <f>C6/E6</f>
        <v>1.3043478260869565</v>
      </c>
      <c r="H6" s="4">
        <v>10</v>
      </c>
      <c r="I6" s="29">
        <v>0.8</v>
      </c>
      <c r="J6" s="7">
        <f>G6*H6*I6</f>
        <v>10.434782608695654</v>
      </c>
      <c r="K6" s="7">
        <f>(G6*F6)+J6</f>
        <v>27.391304347826086</v>
      </c>
      <c r="L6" s="4">
        <v>3</v>
      </c>
      <c r="M6" s="9">
        <v>3.5000000000000003E-2</v>
      </c>
      <c r="N6" s="7">
        <v>0</v>
      </c>
      <c r="O6" s="7">
        <f t="shared" si="2"/>
        <v>8.2173913043478262</v>
      </c>
      <c r="P6" s="7">
        <v>40</v>
      </c>
      <c r="Q6" s="11">
        <f>SUM(N6:P6)</f>
        <v>48.217391304347828</v>
      </c>
      <c r="R6" s="7">
        <v>0</v>
      </c>
      <c r="S6" s="7">
        <v>5</v>
      </c>
      <c r="T6" s="7">
        <f t="shared" si="3"/>
        <v>2.8760869565217391</v>
      </c>
      <c r="U6" s="7">
        <v>0</v>
      </c>
      <c r="V6" s="11">
        <f t="shared" si="4"/>
        <v>7.8760869565217391</v>
      </c>
      <c r="W6" s="11">
        <f t="shared" ref="W6" si="15">K6+V6</f>
        <v>35.267391304347825</v>
      </c>
      <c r="X6" s="11">
        <f t="shared" si="5"/>
        <v>83.484782608695639</v>
      </c>
      <c r="Y6" s="7">
        <f t="shared" si="6"/>
        <v>1.2343586956521739</v>
      </c>
      <c r="Z6" s="7">
        <v>0</v>
      </c>
      <c r="AA6" s="7">
        <f t="shared" si="7"/>
        <v>0</v>
      </c>
      <c r="AB6" s="11">
        <f t="shared" si="8"/>
        <v>1.2343586956521739</v>
      </c>
      <c r="AC6" s="11">
        <f t="shared" si="9"/>
        <v>82.250423913043463</v>
      </c>
      <c r="AF6" s="25">
        <f t="shared" si="10"/>
        <v>34.033032608695649</v>
      </c>
      <c r="AG6" s="18">
        <f t="shared" si="11"/>
        <v>31650.720326086954</v>
      </c>
      <c r="AH6" s="26">
        <f t="shared" si="12"/>
        <v>379808.64391304343</v>
      </c>
      <c r="AI6" s="26">
        <f t="array" ref="AI6">INDEX($C$13:$C$22,MATCH(1,(AH6&gt;=$C$13:$C$22)*(AH6&lt;$D$13:$D$22),0))</f>
        <v>0</v>
      </c>
      <c r="AJ6" s="17">
        <f t="array" ref="AJ6">INDEX($B$13:$B$22,MATCH(1,(AH6&gt;=$C$13:$C$22)*(AH6&lt;$D$13:$D$22),0))/100</f>
        <v>0</v>
      </c>
      <c r="AK6" s="26">
        <f t="array" ref="AK6">INDEX($N$13:$N$22,MATCH(1,(AH6&gt;=$C$13:$C$22)*(AH6&lt;$D$13:$D$22),0))</f>
        <v>0</v>
      </c>
      <c r="AL6" s="26">
        <f t="shared" si="13"/>
        <v>0</v>
      </c>
      <c r="AM6" s="26">
        <f t="shared" si="14"/>
        <v>0</v>
      </c>
    </row>
    <row r="8" spans="2:39" x14ac:dyDescent="0.25">
      <c r="B8" s="2" t="s">
        <v>23</v>
      </c>
      <c r="C8" s="12">
        <v>3.5000000000000003E-2</v>
      </c>
    </row>
    <row r="9" spans="2:39" x14ac:dyDescent="0.25">
      <c r="B9" s="2" t="s">
        <v>29</v>
      </c>
      <c r="C9" s="14">
        <v>930</v>
      </c>
    </row>
    <row r="10" spans="2:39" x14ac:dyDescent="0.25">
      <c r="B10" s="2" t="s">
        <v>52</v>
      </c>
      <c r="C10" s="12">
        <v>0.02</v>
      </c>
    </row>
    <row r="12" spans="2:39" ht="15.6" x14ac:dyDescent="0.3">
      <c r="B12" s="3" t="s">
        <v>31</v>
      </c>
      <c r="C12" s="3" t="s">
        <v>32</v>
      </c>
      <c r="D12" s="3" t="s">
        <v>33</v>
      </c>
      <c r="E12" s="3" t="s">
        <v>34</v>
      </c>
      <c r="F12" s="3" t="s">
        <v>35</v>
      </c>
      <c r="G12" s="3"/>
      <c r="H12" s="3" t="s">
        <v>36</v>
      </c>
      <c r="I12" s="3" t="s">
        <v>37</v>
      </c>
      <c r="J12" s="3" t="s">
        <v>38</v>
      </c>
      <c r="K12" s="3" t="s">
        <v>39</v>
      </c>
      <c r="L12" s="3" t="s">
        <v>40</v>
      </c>
      <c r="M12" s="16" t="s">
        <v>41</v>
      </c>
      <c r="N12" s="16" t="s">
        <v>42</v>
      </c>
    </row>
    <row r="13" spans="2:39" x14ac:dyDescent="0.25">
      <c r="B13" s="17">
        <v>0</v>
      </c>
      <c r="C13" s="18">
        <v>0</v>
      </c>
      <c r="D13" s="18">
        <v>524160</v>
      </c>
      <c r="E13" s="18">
        <v>0</v>
      </c>
      <c r="F13" s="18">
        <f>D13/12</f>
        <v>43680</v>
      </c>
      <c r="G13" s="18"/>
      <c r="H13" s="18">
        <f>D13-C13</f>
        <v>524160</v>
      </c>
      <c r="I13" s="18">
        <f>F13-E13</f>
        <v>43680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</row>
    <row r="14" spans="2:39" x14ac:dyDescent="0.25">
      <c r="B14" s="5">
        <v>15</v>
      </c>
      <c r="C14" s="15">
        <v>524160</v>
      </c>
      <c r="D14" s="15">
        <v>1428000</v>
      </c>
      <c r="E14" s="15">
        <f>C14/12</f>
        <v>43680</v>
      </c>
      <c r="F14" s="15">
        <f t="shared" ref="F14:F21" si="16">D14/12</f>
        <v>119000</v>
      </c>
      <c r="G14" s="15"/>
      <c r="H14" s="15">
        <f>D14-C14</f>
        <v>903840</v>
      </c>
      <c r="I14" s="15">
        <f>F14-E14</f>
        <v>75320</v>
      </c>
      <c r="J14" s="15">
        <f>H14*(B14/100)</f>
        <v>135576</v>
      </c>
      <c r="K14" s="15">
        <f>J14/12</f>
        <v>11298</v>
      </c>
      <c r="L14" s="15">
        <f>J13+J14</f>
        <v>135576</v>
      </c>
      <c r="M14" s="15">
        <f>L14/12</f>
        <v>11298</v>
      </c>
      <c r="N14" s="15">
        <f>L13</f>
        <v>0</v>
      </c>
    </row>
    <row r="15" spans="2:39" x14ac:dyDescent="0.25">
      <c r="B15" s="17">
        <v>20</v>
      </c>
      <c r="C15" s="18">
        <v>1428000</v>
      </c>
      <c r="D15" s="18">
        <v>2700000</v>
      </c>
      <c r="E15" s="18">
        <f>C15/12</f>
        <v>119000</v>
      </c>
      <c r="F15" s="18">
        <f t="shared" si="16"/>
        <v>225000</v>
      </c>
      <c r="G15" s="18"/>
      <c r="H15" s="18">
        <f>D15-C15</f>
        <v>1272000</v>
      </c>
      <c r="I15" s="18">
        <f>F15-E15</f>
        <v>106000</v>
      </c>
      <c r="J15" s="18">
        <f>H15*(B15/100)</f>
        <v>254400</v>
      </c>
      <c r="K15" s="18">
        <f>J15/12</f>
        <v>21200</v>
      </c>
      <c r="L15" s="18">
        <f>J14+J15</f>
        <v>389976</v>
      </c>
      <c r="M15" s="18">
        <f>L15/12</f>
        <v>32498</v>
      </c>
      <c r="N15" s="18">
        <f>L14</f>
        <v>135576</v>
      </c>
    </row>
    <row r="16" spans="2:39" x14ac:dyDescent="0.25">
      <c r="B16" s="5">
        <v>22.5</v>
      </c>
      <c r="C16" s="15">
        <v>2700000</v>
      </c>
      <c r="D16" s="15">
        <v>4620000</v>
      </c>
      <c r="E16" s="15">
        <f>C16/12</f>
        <v>225000</v>
      </c>
      <c r="F16" s="15">
        <f t="shared" si="16"/>
        <v>385000</v>
      </c>
      <c r="G16" s="15"/>
      <c r="H16" s="15">
        <f>D16-C16</f>
        <v>1920000</v>
      </c>
      <c r="I16" s="15">
        <f>F16-E16</f>
        <v>160000</v>
      </c>
      <c r="J16" s="15">
        <f>H16*(B16/100)</f>
        <v>432000</v>
      </c>
      <c r="K16" s="15">
        <f t="shared" ref="K16:K22" si="17">J16/12</f>
        <v>36000</v>
      </c>
      <c r="L16" s="15">
        <f t="shared" ref="L16:L22" si="18">L15+J16</f>
        <v>821976</v>
      </c>
      <c r="M16" s="15">
        <f t="shared" ref="M16:M22" si="19">L16/12</f>
        <v>68498</v>
      </c>
      <c r="N16" s="15">
        <f t="shared" ref="N16:N22" si="20">L15</f>
        <v>389976</v>
      </c>
    </row>
    <row r="17" spans="2:14" x14ac:dyDescent="0.25">
      <c r="B17" s="17">
        <v>25</v>
      </c>
      <c r="C17" s="18">
        <v>4620000</v>
      </c>
      <c r="D17" s="18">
        <v>7260000</v>
      </c>
      <c r="E17" s="18">
        <f>C17/12</f>
        <v>385000</v>
      </c>
      <c r="F17" s="18">
        <f t="shared" si="16"/>
        <v>605000</v>
      </c>
      <c r="G17" s="18"/>
      <c r="H17" s="18">
        <f>D17-C17</f>
        <v>2640000</v>
      </c>
      <c r="I17" s="18">
        <f>F17-E17</f>
        <v>220000</v>
      </c>
      <c r="J17" s="18">
        <f>H17*(B17/100)</f>
        <v>660000</v>
      </c>
      <c r="K17" s="18">
        <f t="shared" si="17"/>
        <v>55000</v>
      </c>
      <c r="L17" s="18">
        <f t="shared" si="18"/>
        <v>1481976</v>
      </c>
      <c r="M17" s="18">
        <f t="shared" si="19"/>
        <v>123498</v>
      </c>
      <c r="N17" s="18">
        <f t="shared" si="20"/>
        <v>821976</v>
      </c>
    </row>
    <row r="18" spans="2:14" x14ac:dyDescent="0.25">
      <c r="B18" s="5">
        <v>30</v>
      </c>
      <c r="C18" s="15">
        <v>7260000</v>
      </c>
      <c r="D18" s="15">
        <v>10260000</v>
      </c>
      <c r="E18" s="15">
        <f>C18/12</f>
        <v>605000</v>
      </c>
      <c r="F18" s="15">
        <f t="shared" si="16"/>
        <v>855000</v>
      </c>
      <c r="G18" s="15"/>
      <c r="H18" s="15">
        <f>D18-C18</f>
        <v>3000000</v>
      </c>
      <c r="I18" s="15">
        <f>F18-E18</f>
        <v>250000</v>
      </c>
      <c r="J18" s="15">
        <f>H18*(B18/100)</f>
        <v>900000</v>
      </c>
      <c r="K18" s="15">
        <f t="shared" si="17"/>
        <v>75000</v>
      </c>
      <c r="L18" s="15">
        <f t="shared" si="18"/>
        <v>2381976</v>
      </c>
      <c r="M18" s="15">
        <f t="shared" si="19"/>
        <v>198498</v>
      </c>
      <c r="N18" s="15">
        <f t="shared" si="20"/>
        <v>1481976</v>
      </c>
    </row>
    <row r="19" spans="2:14" x14ac:dyDescent="0.25">
      <c r="B19" s="17">
        <v>32.5</v>
      </c>
      <c r="C19" s="18">
        <v>10260000</v>
      </c>
      <c r="D19" s="18">
        <v>13908000</v>
      </c>
      <c r="E19" s="18">
        <f>C19/12</f>
        <v>855000</v>
      </c>
      <c r="F19" s="18">
        <f t="shared" si="16"/>
        <v>1159000</v>
      </c>
      <c r="G19" s="18"/>
      <c r="H19" s="18">
        <f>D19-C19</f>
        <v>3648000</v>
      </c>
      <c r="I19" s="18">
        <f>F19-E19</f>
        <v>304000</v>
      </c>
      <c r="J19" s="18">
        <f>H19*(B19/100)</f>
        <v>1185600</v>
      </c>
      <c r="K19" s="18">
        <f t="shared" si="17"/>
        <v>98800</v>
      </c>
      <c r="L19" s="18">
        <f t="shared" si="18"/>
        <v>3567576</v>
      </c>
      <c r="M19" s="18">
        <f t="shared" si="19"/>
        <v>297298</v>
      </c>
      <c r="N19" s="18">
        <f t="shared" si="20"/>
        <v>2381976</v>
      </c>
    </row>
    <row r="20" spans="2:14" x14ac:dyDescent="0.25">
      <c r="B20" s="5">
        <v>35</v>
      </c>
      <c r="C20" s="15">
        <v>13908000</v>
      </c>
      <c r="D20" s="15">
        <v>16824000</v>
      </c>
      <c r="E20" s="15">
        <f>C20/12</f>
        <v>1159000</v>
      </c>
      <c r="F20" s="15">
        <f t="shared" si="16"/>
        <v>1402000</v>
      </c>
      <c r="G20" s="15"/>
      <c r="H20" s="15">
        <f>D20-C20</f>
        <v>2916000</v>
      </c>
      <c r="I20" s="15">
        <f>F20-E20</f>
        <v>243000</v>
      </c>
      <c r="J20" s="15">
        <f>H20*(B20/100)</f>
        <v>1020599.9999999999</v>
      </c>
      <c r="K20" s="15">
        <f t="shared" si="17"/>
        <v>85049.999999999985</v>
      </c>
      <c r="L20" s="15">
        <f t="shared" si="18"/>
        <v>4588176</v>
      </c>
      <c r="M20" s="15">
        <f t="shared" si="19"/>
        <v>382348</v>
      </c>
      <c r="N20" s="15">
        <f t="shared" si="20"/>
        <v>3567576</v>
      </c>
    </row>
    <row r="21" spans="2:14" x14ac:dyDescent="0.25">
      <c r="B21" s="17">
        <v>37.5</v>
      </c>
      <c r="C21" s="18">
        <v>16824000</v>
      </c>
      <c r="D21" s="18">
        <v>22956000</v>
      </c>
      <c r="E21" s="18">
        <f>C21/12</f>
        <v>1402000</v>
      </c>
      <c r="F21" s="18">
        <f t="shared" si="16"/>
        <v>1913000</v>
      </c>
      <c r="G21" s="18"/>
      <c r="H21" s="18">
        <f>D21-C21</f>
        <v>6132000</v>
      </c>
      <c r="I21" s="18">
        <f>F21-E21</f>
        <v>511000</v>
      </c>
      <c r="J21" s="18">
        <f>H21*(B21/100)</f>
        <v>2299500</v>
      </c>
      <c r="K21" s="18">
        <f t="shared" si="17"/>
        <v>191625</v>
      </c>
      <c r="L21" s="18">
        <f t="shared" si="18"/>
        <v>6887676</v>
      </c>
      <c r="M21" s="18">
        <f t="shared" si="19"/>
        <v>573973</v>
      </c>
      <c r="N21" s="18">
        <f t="shared" si="20"/>
        <v>4588176</v>
      </c>
    </row>
    <row r="22" spans="2:14" x14ac:dyDescent="0.25">
      <c r="B22" s="5">
        <v>40</v>
      </c>
      <c r="C22" s="15">
        <v>22956000</v>
      </c>
      <c r="D22" s="15"/>
      <c r="E22" s="15">
        <f>C22/12</f>
        <v>1913000</v>
      </c>
      <c r="F22" s="15"/>
      <c r="G22" s="15"/>
      <c r="H22" s="15"/>
      <c r="I22" s="15"/>
      <c r="J22" s="15"/>
      <c r="K22" s="15"/>
      <c r="L22" s="15"/>
      <c r="M22" s="15"/>
      <c r="N22" s="15">
        <f t="shared" si="20"/>
        <v>6887676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CLASSIC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2025-04-24T14:07:07Z</dcterms:created>
  <dcterms:modified xsi:type="dcterms:W3CDTF">2025-04-24T17:36:52Z</dcterms:modified>
</cp:coreProperties>
</file>