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s\nrf24l01-node\"/>
    </mc:Choice>
  </mc:AlternateContent>
  <bookViews>
    <workbookView xWindow="0" yWindow="0" windowWidth="19110" windowHeight="15720"/>
  </bookViews>
  <sheets>
    <sheet name="Ark1" sheetId="1" r:id="rId1"/>
    <sheet name="NRF24L01" sheetId="2" r:id="rId2"/>
    <sheet name="Capacito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B25" i="2"/>
  <c r="B24" i="2"/>
  <c r="B23" i="2"/>
  <c r="B21" i="2"/>
  <c r="E23" i="1"/>
  <c r="D23" i="1"/>
  <c r="B23" i="1"/>
  <c r="G23" i="1" s="1"/>
  <c r="B10" i="1"/>
  <c r="H23" i="1" l="1"/>
  <c r="I23" i="1" s="1"/>
  <c r="E6" i="1"/>
  <c r="E7" i="1"/>
  <c r="E8" i="1"/>
  <c r="E9" i="1"/>
  <c r="E13" i="1"/>
  <c r="E16" i="1"/>
  <c r="E19" i="1"/>
  <c r="E21" i="1"/>
  <c r="E5" i="1"/>
  <c r="B22" i="1" l="1"/>
  <c r="B15" i="1"/>
  <c r="B14" i="1"/>
  <c r="D9" i="1"/>
  <c r="D8" i="1"/>
  <c r="D7" i="1"/>
  <c r="D6" i="1"/>
  <c r="D5" i="1"/>
  <c r="F5" i="2"/>
  <c r="E5" i="2"/>
  <c r="D5" i="2"/>
  <c r="C5" i="2"/>
  <c r="B5" i="2"/>
  <c r="B6" i="2"/>
  <c r="C6" i="2"/>
  <c r="D6" i="2"/>
  <c r="E6" i="2"/>
  <c r="F6" i="2"/>
  <c r="G6" i="2"/>
  <c r="G5" i="2"/>
  <c r="G4" i="2"/>
  <c r="F4" i="2"/>
  <c r="E4" i="2"/>
  <c r="D4" i="2"/>
  <c r="C4" i="2"/>
  <c r="B4" i="2"/>
  <c r="D2" i="2"/>
  <c r="E2" i="2"/>
  <c r="F2" i="2"/>
  <c r="G2" i="2"/>
  <c r="C2" i="2"/>
  <c r="B2" i="2"/>
  <c r="B2" i="1"/>
  <c r="C2" i="1" s="1"/>
  <c r="D2" i="1" s="1"/>
  <c r="D14" i="1" s="1"/>
  <c r="E14" i="1" s="1"/>
  <c r="C6" i="1"/>
  <c r="C7" i="1"/>
  <c r="C8" i="1"/>
  <c r="C9" i="1"/>
  <c r="C13" i="1"/>
  <c r="C19" i="1"/>
  <c r="C5" i="1"/>
  <c r="D21" i="1"/>
  <c r="B21" i="1"/>
  <c r="C21" i="1" s="1"/>
  <c r="B20" i="1"/>
  <c r="C20" i="1" s="1"/>
  <c r="D10" i="1" l="1"/>
  <c r="E10" i="1" s="1"/>
  <c r="D22" i="1"/>
  <c r="E22" i="1" s="1"/>
  <c r="D15" i="1"/>
  <c r="D20" i="1"/>
  <c r="E20" i="1" s="1"/>
  <c r="D19" i="1"/>
  <c r="B18" i="1"/>
  <c r="C18" i="1" s="1"/>
  <c r="G15" i="1" l="1"/>
  <c r="E15" i="1"/>
  <c r="B16" i="1"/>
  <c r="C16" i="1" s="1"/>
  <c r="B12" i="1"/>
  <c r="C12" i="1" s="1"/>
  <c r="C14" i="1"/>
  <c r="B11" i="1"/>
  <c r="C11" i="1" s="1"/>
  <c r="C10" i="1"/>
  <c r="H15" i="1" l="1"/>
  <c r="I15" i="1" s="1"/>
  <c r="G5" i="1"/>
  <c r="H5" i="1" s="1"/>
  <c r="I5" i="1" s="1"/>
  <c r="G8" i="1"/>
  <c r="H8" i="1" s="1"/>
  <c r="I8" i="1" s="1"/>
  <c r="G6" i="1"/>
  <c r="H6" i="1" s="1"/>
  <c r="I6" i="1" s="1"/>
  <c r="G7" i="1"/>
  <c r="H7" i="1" s="1"/>
  <c r="I7" i="1" s="1"/>
  <c r="G9" i="1"/>
  <c r="H9" i="1" s="1"/>
  <c r="I9" i="1" s="1"/>
  <c r="D12" i="1"/>
  <c r="D18" i="1"/>
  <c r="G20" i="1"/>
  <c r="H20" i="1" s="1"/>
  <c r="I20" i="1" s="1"/>
  <c r="G19" i="1"/>
  <c r="H19" i="1" s="1"/>
  <c r="I19" i="1" s="1"/>
  <c r="G22" i="1"/>
  <c r="H22" i="1" s="1"/>
  <c r="I22" i="1" s="1"/>
  <c r="G21" i="1"/>
  <c r="H21" i="1" s="1"/>
  <c r="I21" i="1" s="1"/>
  <c r="D17" i="1"/>
  <c r="G13" i="1"/>
  <c r="H13" i="1" s="1"/>
  <c r="I13" i="1" s="1"/>
  <c r="D11" i="1"/>
  <c r="G16" i="1"/>
  <c r="H16" i="1" s="1"/>
  <c r="I16" i="1" s="1"/>
  <c r="G10" i="1"/>
  <c r="H10" i="1" s="1"/>
  <c r="I10" i="1" s="1"/>
  <c r="G14" i="1"/>
  <c r="H14" i="1" s="1"/>
  <c r="I14" i="1" s="1"/>
  <c r="E17" i="1" l="1"/>
  <c r="G18" i="1"/>
  <c r="H18" i="1" s="1"/>
  <c r="I18" i="1" s="1"/>
  <c r="E18" i="1"/>
  <c r="G11" i="1"/>
  <c r="H11" i="1" s="1"/>
  <c r="I11" i="1" s="1"/>
  <c r="E11" i="1"/>
  <c r="G12" i="1"/>
  <c r="H12" i="1" s="1"/>
  <c r="I12" i="1" s="1"/>
  <c r="E12" i="1"/>
  <c r="B17" i="1"/>
  <c r="G17" i="1" s="1"/>
  <c r="H17" i="1" s="1"/>
  <c r="I17" i="1" s="1"/>
  <c r="G26" i="1" l="1"/>
  <c r="D33" i="1" l="1"/>
  <c r="E33" i="1" s="1"/>
  <c r="D32" i="1"/>
  <c r="E32" i="1" s="1"/>
  <c r="D31" i="1"/>
  <c r="E31" i="1" s="1"/>
  <c r="H26" i="1"/>
  <c r="I26" i="1" s="1"/>
  <c r="D30" i="1"/>
  <c r="E30" i="1" s="1"/>
  <c r="J18" i="1" l="1"/>
  <c r="J14" i="1"/>
  <c r="J19" i="1"/>
  <c r="J13" i="1"/>
  <c r="J20" i="1"/>
  <c r="J16" i="1"/>
  <c r="J9" i="1"/>
  <c r="J21" i="1"/>
  <c r="J5" i="1"/>
  <c r="J7" i="1"/>
  <c r="J10" i="1"/>
  <c r="J23" i="1"/>
  <c r="J11" i="1"/>
  <c r="J22" i="1"/>
  <c r="J15" i="1"/>
  <c r="J12" i="1"/>
  <c r="J8" i="1"/>
  <c r="J6" i="1"/>
  <c r="J17" i="1"/>
  <c r="J26" i="1" l="1"/>
</calcChain>
</file>

<file path=xl/sharedStrings.xml><?xml version="1.0" encoding="utf-8"?>
<sst xmlns="http://schemas.openxmlformats.org/spreadsheetml/2006/main" count="57" uniqueCount="53">
  <si>
    <t>min</t>
  </si>
  <si>
    <t>sekunder</t>
  </si>
  <si>
    <t>mA</t>
  </si>
  <si>
    <t>us</t>
  </si>
  <si>
    <t>CR2032</t>
  </si>
  <si>
    <t>NRF standby</t>
  </si>
  <si>
    <t>NRF Power Down</t>
  </si>
  <si>
    <t>SAMD21 Sleep</t>
  </si>
  <si>
    <t>SAMD21 Active</t>
  </si>
  <si>
    <t>Enabled</t>
  </si>
  <si>
    <t>NRF Start Up</t>
  </si>
  <si>
    <t>avg. Cur. mA</t>
  </si>
  <si>
    <t>avg. Cur. uA</t>
  </si>
  <si>
    <t>avg. Cur. nA</t>
  </si>
  <si>
    <t>Percentage</t>
  </si>
  <si>
    <t>Batteries</t>
  </si>
  <si>
    <t>mAh</t>
  </si>
  <si>
    <t>Days</t>
  </si>
  <si>
    <t>Years</t>
  </si>
  <si>
    <t>Supercap Leakage</t>
  </si>
  <si>
    <t>CR3032</t>
  </si>
  <si>
    <t>LDO</t>
  </si>
  <si>
    <t>Device/Mode</t>
  </si>
  <si>
    <t>Eneloop 1.2V</t>
  </si>
  <si>
    <t>Discharge 5y</t>
  </si>
  <si>
    <t>LED</t>
  </si>
  <si>
    <t>CR2450</t>
  </si>
  <si>
    <t>NRF24L01 TX 2Mbits</t>
  </si>
  <si>
    <t>NRF24L01 TX 250kbits</t>
  </si>
  <si>
    <t>ms</t>
  </si>
  <si>
    <t>BME280 Sleep-Mode</t>
  </si>
  <si>
    <t>BME280 T/H/P</t>
  </si>
  <si>
    <t>uA</t>
  </si>
  <si>
    <t>SAMD21 Sleep REAL</t>
  </si>
  <si>
    <t>Data rates Mbit/s/Payload</t>
  </si>
  <si>
    <t>T_IRQ @ 1Mbits</t>
  </si>
  <si>
    <t>T_IRQ @ 2Mbits</t>
  </si>
  <si>
    <t>T_standby</t>
  </si>
  <si>
    <t>Packet length</t>
  </si>
  <si>
    <t>NRF24L01 TX -6dBm @ 2Mbits</t>
  </si>
  <si>
    <t>NRF24L01 TX -12dBm @ 2Mbits</t>
  </si>
  <si>
    <t>NRF24L01 TX -18dBm @ 2Mbits</t>
  </si>
  <si>
    <t>74AUP373</t>
  </si>
  <si>
    <t>TLP5010</t>
  </si>
  <si>
    <t>Etc.</t>
  </si>
  <si>
    <t>Peak current</t>
  </si>
  <si>
    <t>Time at peak</t>
  </si>
  <si>
    <t>Voltage</t>
  </si>
  <si>
    <t>mV</t>
  </si>
  <si>
    <t>Energy</t>
  </si>
  <si>
    <t>W</t>
  </si>
  <si>
    <t>mW</t>
  </si>
  <si>
    <t>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</si>
</sst>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righ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61-454B-912A-B6F6905495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61-454B-912A-B6F6905495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61-454B-912A-B6F6905495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61-454B-912A-B6F6905495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61-454B-912A-B6F6905495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61-454B-912A-B6F6905495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861-454B-912A-B6F6905495C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861-454B-912A-B6F6905495C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861-454B-912A-B6F6905495C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861-454B-912A-B6F6905495C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861-454B-912A-B6F6905495C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861-454B-912A-B6F6905495C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861-454B-912A-B6F6905495C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861-454B-912A-B6F6905495C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861-454B-912A-B6F6905495C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861-454B-912A-B6F6905495C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861-454B-912A-B6F6905495C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861-454B-912A-B6F6905495CC}"/>
              </c:ext>
            </c:extLst>
          </c:dPt>
          <c:cat>
            <c:strRef>
              <c:f>'Ark1'!$A$5:$A$22</c:f>
              <c:strCache>
                <c:ptCount val="18"/>
                <c:pt idx="0">
                  <c:v>NRF24L01 TX 250kbits</c:v>
                </c:pt>
                <c:pt idx="1">
                  <c:v>NRF24L01 TX 2Mbits</c:v>
                </c:pt>
                <c:pt idx="2">
                  <c:v>NRF24L01 TX -6dBm @ 2Mbits</c:v>
                </c:pt>
                <c:pt idx="3">
                  <c:v>NRF24L01 TX -12dBm @ 2Mbits</c:v>
                </c:pt>
                <c:pt idx="4">
                  <c:v>NRF24L01 TX -18dBm @ 2Mbits</c:v>
                </c:pt>
                <c:pt idx="5">
                  <c:v>TLP5010</c:v>
                </c:pt>
                <c:pt idx="6">
                  <c:v>NRF standby</c:v>
                </c:pt>
                <c:pt idx="7">
                  <c:v>NRF Power Down</c:v>
                </c:pt>
                <c:pt idx="8">
                  <c:v>SAMD21 Active</c:v>
                </c:pt>
                <c:pt idx="9">
                  <c:v>SAMD21 Sleep</c:v>
                </c:pt>
                <c:pt idx="10">
                  <c:v>SAMD21 Sleep REAL</c:v>
                </c:pt>
                <c:pt idx="11">
                  <c:v>NRF Start Up</c:v>
                </c:pt>
                <c:pt idx="12">
                  <c:v>Supercap Leakage</c:v>
                </c:pt>
                <c:pt idx="13">
                  <c:v>LDO</c:v>
                </c:pt>
                <c:pt idx="14">
                  <c:v>LED</c:v>
                </c:pt>
                <c:pt idx="15">
                  <c:v>BME280 Sleep-Mode</c:v>
                </c:pt>
                <c:pt idx="16">
                  <c:v>BME280 T/H/P</c:v>
                </c:pt>
                <c:pt idx="17">
                  <c:v>74AUP373</c:v>
                </c:pt>
              </c:strCache>
            </c:strRef>
          </c:cat>
          <c:val>
            <c:numRef>
              <c:f>'Ark1'!$J$5:$J$22</c:f>
              <c:numCache>
                <c:formatCode>0.0</c:formatCode>
                <c:ptCount val="18"/>
                <c:pt idx="0">
                  <c:v>0</c:v>
                </c:pt>
                <c:pt idx="1">
                  <c:v>0.22802220759432015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1.2268515654916423</c:v>
                </c:pt>
                <c:pt idx="6">
                  <c:v>0</c:v>
                </c:pt>
                <c:pt idx="7">
                  <c:v>0</c:v>
                </c:pt>
                <c:pt idx="8">
                  <c:v>4.381612733898723E-2</c:v>
                </c:pt>
                <c:pt idx="9">
                  <c:v>94.642803504600721</c:v>
                </c:pt>
                <c:pt idx="10">
                  <c:v>0</c:v>
                </c:pt>
                <c:pt idx="11">
                  <c:v>5.8421503118649644E-4</c:v>
                </c:pt>
                <c:pt idx="12">
                  <c:v>2.2083328178849563E-2</c:v>
                </c:pt>
                <c:pt idx="13">
                  <c:v>0</c:v>
                </c:pt>
                <c:pt idx="14">
                  <c:v>0</c:v>
                </c:pt>
                <c:pt idx="15">
                  <c:v>3.5049396581002665</c:v>
                </c:pt>
                <c:pt idx="16">
                  <c:v>0.33089939366403159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C-49EE-A46A-08990AE58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</xdr:colOff>
      <xdr:row>3</xdr:row>
      <xdr:rowOff>142875</xdr:rowOff>
    </xdr:from>
    <xdr:to>
      <xdr:col>24</xdr:col>
      <xdr:colOff>161924</xdr:colOff>
      <xdr:row>29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C18" sqref="C18"/>
    </sheetView>
  </sheetViews>
  <sheetFormatPr defaultRowHeight="15" x14ac:dyDescent="0.25"/>
  <cols>
    <col min="1" max="1" width="28.42578125" bestFit="1" customWidth="1"/>
    <col min="3" max="4" width="12" bestFit="1" customWidth="1"/>
    <col min="5" max="5" width="9.5703125" bestFit="1" customWidth="1"/>
    <col min="6" max="6" width="8.140625" bestFit="1" customWidth="1"/>
    <col min="7" max="7" width="12" bestFit="1" customWidth="1"/>
    <col min="8" max="9" width="11.42578125" bestFit="1" customWidth="1"/>
    <col min="10" max="10" width="11" bestFit="1" customWidth="1"/>
  </cols>
  <sheetData>
    <row r="1" spans="1:10" x14ac:dyDescent="0.25">
      <c r="A1" s="24" t="s">
        <v>0</v>
      </c>
      <c r="B1" s="3" t="s">
        <v>1</v>
      </c>
      <c r="C1" s="3" t="s">
        <v>29</v>
      </c>
      <c r="D1" s="25" t="s">
        <v>3</v>
      </c>
    </row>
    <row r="2" spans="1:10" x14ac:dyDescent="0.25">
      <c r="A2" s="23">
        <v>5</v>
      </c>
      <c r="B2" s="11">
        <f>A2*60</f>
        <v>300</v>
      </c>
      <c r="C2" s="11">
        <f>B2*1000</f>
        <v>300000</v>
      </c>
      <c r="D2" s="13">
        <f>C2*1000</f>
        <v>300000000</v>
      </c>
      <c r="E2" s="23"/>
    </row>
    <row r="4" spans="1:10" x14ac:dyDescent="0.25">
      <c r="A4" s="1" t="s">
        <v>22</v>
      </c>
      <c r="B4" s="4" t="s">
        <v>2</v>
      </c>
      <c r="C4" s="4" t="s">
        <v>32</v>
      </c>
      <c r="D4" s="4" t="s">
        <v>3</v>
      </c>
      <c r="E4" s="26" t="s">
        <v>29</v>
      </c>
      <c r="F4" s="4" t="s">
        <v>9</v>
      </c>
      <c r="G4" s="4" t="s">
        <v>11</v>
      </c>
      <c r="H4" s="4" t="s">
        <v>12</v>
      </c>
      <c r="I4" s="4" t="s">
        <v>13</v>
      </c>
      <c r="J4" s="9" t="s">
        <v>14</v>
      </c>
    </row>
    <row r="5" spans="1:10" x14ac:dyDescent="0.25">
      <c r="A5" t="s">
        <v>28</v>
      </c>
      <c r="B5" s="5">
        <v>11.3</v>
      </c>
      <c r="C5" s="11">
        <f>B5*1000</f>
        <v>11300</v>
      </c>
      <c r="D5" s="11">
        <f>NRF24L01!G4</f>
        <v>1324.2026000000001</v>
      </c>
      <c r="E5" s="6">
        <f>D5*0.001</f>
        <v>1.3242026</v>
      </c>
      <c r="F5" s="3">
        <v>0</v>
      </c>
      <c r="G5" s="5">
        <f>(B5*(D5/$D$2))*F5</f>
        <v>0</v>
      </c>
      <c r="H5" s="6">
        <f t="shared" ref="H5:I9" si="0">G5*1000</f>
        <v>0</v>
      </c>
      <c r="I5" s="6">
        <f t="shared" si="0"/>
        <v>0</v>
      </c>
      <c r="J5" s="10">
        <f t="shared" ref="J5:J23" si="1">I5/$I$26*100</f>
        <v>0</v>
      </c>
    </row>
    <row r="6" spans="1:10" x14ac:dyDescent="0.25">
      <c r="A6" t="s">
        <v>27</v>
      </c>
      <c r="B6" s="5">
        <v>11.3</v>
      </c>
      <c r="C6" s="11">
        <f t="shared" ref="C6:C14" si="2">B6*1000</f>
        <v>11300</v>
      </c>
      <c r="D6" s="11">
        <f>NRF24L01!$G$6</f>
        <v>172.7014485</v>
      </c>
      <c r="E6" s="6">
        <f t="shared" ref="E6:E23" si="3">D6*0.001</f>
        <v>0.17270144849999999</v>
      </c>
      <c r="F6" s="3">
        <v>1</v>
      </c>
      <c r="G6" s="5">
        <f>(B6*(D6/$D$2))*F6</f>
        <v>6.5050878935E-6</v>
      </c>
      <c r="H6" s="6">
        <f t="shared" si="0"/>
        <v>6.5050878935000002E-3</v>
      </c>
      <c r="I6" s="6">
        <f t="shared" si="0"/>
        <v>6.5050878934999998</v>
      </c>
      <c r="J6" s="10">
        <f t="shared" si="1"/>
        <v>0.22802220759432015</v>
      </c>
    </row>
    <row r="7" spans="1:10" x14ac:dyDescent="0.25">
      <c r="A7" t="s">
        <v>39</v>
      </c>
      <c r="B7" s="5">
        <v>9</v>
      </c>
      <c r="C7" s="11">
        <f t="shared" si="2"/>
        <v>9000</v>
      </c>
      <c r="D7" s="11">
        <f>NRF24L01!$G$6</f>
        <v>172.7014485</v>
      </c>
      <c r="E7" s="6">
        <f t="shared" si="3"/>
        <v>0.17270144849999999</v>
      </c>
      <c r="F7" s="3">
        <v>0</v>
      </c>
      <c r="G7" s="5">
        <f>(B7*(D7/$D$2))*F7</f>
        <v>0</v>
      </c>
      <c r="H7" s="6">
        <f t="shared" si="0"/>
        <v>0</v>
      </c>
      <c r="I7" s="6">
        <f t="shared" si="0"/>
        <v>0</v>
      </c>
      <c r="J7" s="10">
        <f t="shared" si="1"/>
        <v>0</v>
      </c>
    </row>
    <row r="8" spans="1:10" x14ac:dyDescent="0.25">
      <c r="A8" t="s">
        <v>40</v>
      </c>
      <c r="B8" s="5">
        <v>7.5</v>
      </c>
      <c r="C8" s="11">
        <f t="shared" si="2"/>
        <v>7500</v>
      </c>
      <c r="D8" s="11">
        <f>NRF24L01!$G$6</f>
        <v>172.7014485</v>
      </c>
      <c r="E8" s="6">
        <f t="shared" si="3"/>
        <v>0.17270144849999999</v>
      </c>
      <c r="F8" s="3">
        <v>0</v>
      </c>
      <c r="G8" s="5">
        <f>(B8*(D8/$D$2))*F8</f>
        <v>0</v>
      </c>
      <c r="H8" s="6">
        <f t="shared" si="0"/>
        <v>0</v>
      </c>
      <c r="I8" s="6">
        <f t="shared" si="0"/>
        <v>0</v>
      </c>
      <c r="J8" s="10">
        <f t="shared" si="1"/>
        <v>0</v>
      </c>
    </row>
    <row r="9" spans="1:10" x14ac:dyDescent="0.25">
      <c r="A9" t="s">
        <v>41</v>
      </c>
      <c r="B9" s="5">
        <v>7</v>
      </c>
      <c r="C9" s="11">
        <f t="shared" si="2"/>
        <v>7000</v>
      </c>
      <c r="D9" s="11">
        <f>NRF24L01!$G$6</f>
        <v>172.7014485</v>
      </c>
      <c r="E9" s="6">
        <f t="shared" si="3"/>
        <v>0.17270144849999999</v>
      </c>
      <c r="F9" s="3">
        <v>0</v>
      </c>
      <c r="G9" s="5">
        <f>(B9*(D9/$D$2))*F9</f>
        <v>0</v>
      </c>
      <c r="H9" s="6">
        <f t="shared" si="0"/>
        <v>0</v>
      </c>
      <c r="I9" s="6">
        <f t="shared" si="0"/>
        <v>0</v>
      </c>
      <c r="J9" s="10">
        <f t="shared" si="1"/>
        <v>0</v>
      </c>
    </row>
    <row r="10" spans="1:10" x14ac:dyDescent="0.25">
      <c r="A10" t="s">
        <v>43</v>
      </c>
      <c r="B10" s="5">
        <f>35*0.000001</f>
        <v>3.4999999999999997E-5</v>
      </c>
      <c r="C10" s="11">
        <f t="shared" si="2"/>
        <v>3.4999999999999996E-2</v>
      </c>
      <c r="D10" s="11">
        <f>D2</f>
        <v>300000000</v>
      </c>
      <c r="E10" s="6">
        <f t="shared" si="3"/>
        <v>300000</v>
      </c>
      <c r="F10" s="3">
        <v>1</v>
      </c>
      <c r="G10" s="5">
        <f>(B10*(D10/D2))*F10</f>
        <v>3.4999999999999997E-5</v>
      </c>
      <c r="H10" s="6">
        <f t="shared" ref="H10:I23" si="4">G10*1000</f>
        <v>3.4999999999999996E-2</v>
      </c>
      <c r="I10" s="6">
        <f t="shared" si="4"/>
        <v>34.999999999999993</v>
      </c>
      <c r="J10" s="10">
        <f t="shared" si="1"/>
        <v>1.2268515654916423</v>
      </c>
    </row>
    <row r="11" spans="1:10" x14ac:dyDescent="0.25">
      <c r="A11" t="s">
        <v>5</v>
      </c>
      <c r="B11" s="5">
        <f>26*0.001</f>
        <v>2.6000000000000002E-2</v>
      </c>
      <c r="C11" s="11">
        <f t="shared" si="2"/>
        <v>26.000000000000004</v>
      </c>
      <c r="D11" s="11">
        <f>(D2-D5)</f>
        <v>299998675.7974</v>
      </c>
      <c r="E11" s="6">
        <f t="shared" si="3"/>
        <v>299998.67579740001</v>
      </c>
      <c r="F11" s="3">
        <v>0</v>
      </c>
      <c r="G11" s="5">
        <f>(B11*(D11/D2))*F11</f>
        <v>0</v>
      </c>
      <c r="H11" s="6">
        <f t="shared" si="4"/>
        <v>0</v>
      </c>
      <c r="I11" s="6">
        <f t="shared" si="4"/>
        <v>0</v>
      </c>
      <c r="J11" s="10">
        <f t="shared" si="1"/>
        <v>0</v>
      </c>
    </row>
    <row r="12" spans="1:10" x14ac:dyDescent="0.25">
      <c r="A12" t="s">
        <v>6</v>
      </c>
      <c r="B12" s="5">
        <f>900*0.000001</f>
        <v>8.9999999999999998E-4</v>
      </c>
      <c r="C12" s="11">
        <f t="shared" si="2"/>
        <v>0.9</v>
      </c>
      <c r="D12" s="11">
        <f>D2-D5</f>
        <v>299998675.7974</v>
      </c>
      <c r="E12" s="6">
        <f t="shared" si="3"/>
        <v>299998.67579740001</v>
      </c>
      <c r="F12" s="3">
        <v>0</v>
      </c>
      <c r="G12" s="5">
        <f>(B12*(D12/D2))*F12</f>
        <v>0</v>
      </c>
      <c r="H12" s="6">
        <f t="shared" si="4"/>
        <v>0</v>
      </c>
      <c r="I12" s="6">
        <f t="shared" si="4"/>
        <v>0</v>
      </c>
      <c r="J12" s="10">
        <f t="shared" si="1"/>
        <v>0</v>
      </c>
    </row>
    <row r="13" spans="1:10" x14ac:dyDescent="0.25">
      <c r="A13" t="s">
        <v>8</v>
      </c>
      <c r="B13" s="5">
        <v>3.75</v>
      </c>
      <c r="C13" s="11">
        <f t="shared" si="2"/>
        <v>3750</v>
      </c>
      <c r="D13" s="11">
        <v>100</v>
      </c>
      <c r="E13" s="6">
        <f t="shared" si="3"/>
        <v>0.1</v>
      </c>
      <c r="F13" s="3">
        <v>1</v>
      </c>
      <c r="G13" s="5">
        <f>(B13*(D13/D2))*F13</f>
        <v>1.2500000000000001E-6</v>
      </c>
      <c r="H13" s="6">
        <f t="shared" si="4"/>
        <v>1.25E-3</v>
      </c>
      <c r="I13" s="6">
        <f t="shared" si="4"/>
        <v>1.25</v>
      </c>
      <c r="J13" s="10">
        <f t="shared" si="1"/>
        <v>4.381612733898723E-2</v>
      </c>
    </row>
    <row r="14" spans="1:10" x14ac:dyDescent="0.25">
      <c r="A14" t="s">
        <v>7</v>
      </c>
      <c r="B14" s="5">
        <f>2.7*0.001</f>
        <v>2.7000000000000001E-3</v>
      </c>
      <c r="C14" s="11">
        <f t="shared" si="2"/>
        <v>2.7</v>
      </c>
      <c r="D14" s="11">
        <f>D2-D13</f>
        <v>299999900</v>
      </c>
      <c r="E14" s="6">
        <f t="shared" si="3"/>
        <v>299999.90000000002</v>
      </c>
      <c r="F14" s="3">
        <v>1</v>
      </c>
      <c r="G14" s="5">
        <f>(B14*(D14/D2))*F14</f>
        <v>2.6999990999999998E-3</v>
      </c>
      <c r="H14" s="6">
        <f t="shared" si="4"/>
        <v>2.6999990999999999</v>
      </c>
      <c r="I14" s="6">
        <f t="shared" si="4"/>
        <v>2699.9991</v>
      </c>
      <c r="J14" s="10">
        <f t="shared" si="1"/>
        <v>94.642803504600721</v>
      </c>
    </row>
    <row r="15" spans="1:10" x14ac:dyDescent="0.25">
      <c r="A15" t="s">
        <v>33</v>
      </c>
      <c r="B15" s="5">
        <f>C15*0.001</f>
        <v>0.01</v>
      </c>
      <c r="C15" s="11">
        <v>10</v>
      </c>
      <c r="D15" s="11">
        <f>D2-D13</f>
        <v>299999900</v>
      </c>
      <c r="E15" s="6">
        <f t="shared" si="3"/>
        <v>299999.90000000002</v>
      </c>
      <c r="F15" s="3">
        <v>0</v>
      </c>
      <c r="G15" s="5">
        <f>(B15*(D15/D2))*F15</f>
        <v>0</v>
      </c>
      <c r="H15" s="6">
        <f t="shared" ref="H15:I21" si="5">G15*1000</f>
        <v>0</v>
      </c>
      <c r="I15" s="6">
        <f t="shared" si="5"/>
        <v>0</v>
      </c>
      <c r="J15" s="10">
        <f t="shared" si="1"/>
        <v>0</v>
      </c>
    </row>
    <row r="16" spans="1:10" x14ac:dyDescent="0.25">
      <c r="A16" t="s">
        <v>10</v>
      </c>
      <c r="B16" s="5">
        <f>400*0.001</f>
        <v>0.4</v>
      </c>
      <c r="C16" s="11">
        <f t="shared" ref="C16:C21" si="6">B16*1000</f>
        <v>400</v>
      </c>
      <c r="D16" s="11">
        <v>12.5</v>
      </c>
      <c r="E16" s="6">
        <f t="shared" si="3"/>
        <v>1.2500000000000001E-2</v>
      </c>
      <c r="F16" s="3">
        <v>1</v>
      </c>
      <c r="G16" s="5">
        <f>(B16*(D16/D2))*F16</f>
        <v>1.6666666666666667E-8</v>
      </c>
      <c r="H16" s="6">
        <f t="shared" si="5"/>
        <v>1.6666666666666667E-5</v>
      </c>
      <c r="I16" s="6">
        <f t="shared" si="5"/>
        <v>1.6666666666666666E-2</v>
      </c>
      <c r="J16" s="10">
        <f t="shared" si="1"/>
        <v>5.8421503118649644E-4</v>
      </c>
    </row>
    <row r="17" spans="1:10" x14ac:dyDescent="0.25">
      <c r="A17" t="s">
        <v>19</v>
      </c>
      <c r="B17" s="5">
        <f>C17*0.001</f>
        <v>6.3E-7</v>
      </c>
      <c r="C17" s="11">
        <v>6.3000000000000003E-4</v>
      </c>
      <c r="D17" s="11">
        <f>D2</f>
        <v>300000000</v>
      </c>
      <c r="E17" s="6">
        <f t="shared" si="3"/>
        <v>300000</v>
      </c>
      <c r="F17" s="3">
        <v>1</v>
      </c>
      <c r="G17" s="5">
        <f>(B17*(D17/D2))*F17</f>
        <v>6.3E-7</v>
      </c>
      <c r="H17" s="6">
        <f t="shared" si="5"/>
        <v>6.3000000000000003E-4</v>
      </c>
      <c r="I17" s="6">
        <f t="shared" si="5"/>
        <v>0.63</v>
      </c>
      <c r="J17" s="10">
        <f t="shared" si="1"/>
        <v>2.2083328178849563E-2</v>
      </c>
    </row>
    <row r="18" spans="1:10" x14ac:dyDescent="0.25">
      <c r="A18" s="15" t="s">
        <v>21</v>
      </c>
      <c r="B18" s="19">
        <f>7.9*0.001</f>
        <v>7.9000000000000008E-3</v>
      </c>
      <c r="C18" s="11">
        <f t="shared" si="6"/>
        <v>7.9</v>
      </c>
      <c r="D18" s="17">
        <f>D2</f>
        <v>300000000</v>
      </c>
      <c r="E18" s="6">
        <f t="shared" si="3"/>
        <v>300000</v>
      </c>
      <c r="F18" s="18">
        <v>0</v>
      </c>
      <c r="G18" s="19">
        <f t="shared" ref="G18:G23" si="7">(B18*(D18/$D$2))*F18</f>
        <v>0</v>
      </c>
      <c r="H18" s="16">
        <f t="shared" si="5"/>
        <v>0</v>
      </c>
      <c r="I18" s="16">
        <f t="shared" si="5"/>
        <v>0</v>
      </c>
      <c r="J18" s="20">
        <f t="shared" si="1"/>
        <v>0</v>
      </c>
    </row>
    <row r="19" spans="1:10" x14ac:dyDescent="0.25">
      <c r="A19" s="21" t="s">
        <v>25</v>
      </c>
      <c r="B19" s="5">
        <v>15</v>
      </c>
      <c r="C19" s="11">
        <f t="shared" si="6"/>
        <v>15000</v>
      </c>
      <c r="D19" s="11">
        <f>10*1000</f>
        <v>10000</v>
      </c>
      <c r="E19" s="6">
        <f t="shared" si="3"/>
        <v>10</v>
      </c>
      <c r="F19" s="22">
        <v>0</v>
      </c>
      <c r="G19" s="19">
        <f t="shared" si="7"/>
        <v>0</v>
      </c>
      <c r="H19" s="16">
        <f t="shared" si="5"/>
        <v>0</v>
      </c>
      <c r="I19" s="16">
        <f t="shared" si="5"/>
        <v>0</v>
      </c>
      <c r="J19" s="20">
        <f t="shared" si="1"/>
        <v>0</v>
      </c>
    </row>
    <row r="20" spans="1:10" x14ac:dyDescent="0.25">
      <c r="A20" s="21" t="s">
        <v>30</v>
      </c>
      <c r="B20" s="5">
        <f>0.1*0.001</f>
        <v>1E-4</v>
      </c>
      <c r="C20" s="11">
        <f t="shared" si="6"/>
        <v>0.1</v>
      </c>
      <c r="D20" s="11">
        <f>D2-D21</f>
        <v>299970000</v>
      </c>
      <c r="E20" s="6">
        <f t="shared" si="3"/>
        <v>299970</v>
      </c>
      <c r="F20" s="11">
        <v>1</v>
      </c>
      <c r="G20" s="19">
        <f t="shared" si="7"/>
        <v>9.999000000000001E-5</v>
      </c>
      <c r="H20" s="16">
        <f t="shared" si="5"/>
        <v>9.9990000000000009E-2</v>
      </c>
      <c r="I20" s="16">
        <f t="shared" si="5"/>
        <v>99.990000000000009</v>
      </c>
      <c r="J20" s="20">
        <f t="shared" si="1"/>
        <v>3.5049396581002665</v>
      </c>
    </row>
    <row r="21" spans="1:10" x14ac:dyDescent="0.25">
      <c r="A21" s="15" t="s">
        <v>31</v>
      </c>
      <c r="B21" s="19">
        <f>94.4*0.001</f>
        <v>9.4400000000000012E-2</v>
      </c>
      <c r="C21" s="11">
        <f t="shared" si="6"/>
        <v>94.4</v>
      </c>
      <c r="D21" s="11">
        <f>30*1000</f>
        <v>30000</v>
      </c>
      <c r="E21" s="6">
        <f t="shared" si="3"/>
        <v>30</v>
      </c>
      <c r="F21" s="11">
        <v>1</v>
      </c>
      <c r="G21" s="19">
        <f t="shared" si="7"/>
        <v>9.4400000000000011E-6</v>
      </c>
      <c r="H21" s="16">
        <f t="shared" si="5"/>
        <v>9.4400000000000005E-3</v>
      </c>
      <c r="I21" s="16">
        <f t="shared" si="5"/>
        <v>9.4400000000000013</v>
      </c>
      <c r="J21" s="20">
        <f t="shared" si="1"/>
        <v>0.33089939366403159</v>
      </c>
    </row>
    <row r="22" spans="1:10" x14ac:dyDescent="0.25">
      <c r="A22" s="15" t="s">
        <v>42</v>
      </c>
      <c r="B22" s="19">
        <f>C22*0.001</f>
        <v>1.4E-3</v>
      </c>
      <c r="C22" s="17">
        <v>1.4</v>
      </c>
      <c r="D22" s="17">
        <f>$D$2</f>
        <v>300000000</v>
      </c>
      <c r="E22" s="16">
        <f t="shared" si="3"/>
        <v>300000</v>
      </c>
      <c r="F22" s="17">
        <v>0</v>
      </c>
      <c r="G22" s="19">
        <f t="shared" si="7"/>
        <v>0</v>
      </c>
      <c r="H22" s="16">
        <f t="shared" si="4"/>
        <v>0</v>
      </c>
      <c r="I22" s="16">
        <f t="shared" si="4"/>
        <v>0</v>
      </c>
      <c r="J22" s="20">
        <f t="shared" si="1"/>
        <v>0</v>
      </c>
    </row>
    <row r="23" spans="1:10" x14ac:dyDescent="0.25">
      <c r="A23" s="21" t="s">
        <v>44</v>
      </c>
      <c r="B23" s="5">
        <f>C23*0.001</f>
        <v>6.6E-4</v>
      </c>
      <c r="C23" s="11">
        <v>0.66</v>
      </c>
      <c r="D23" s="11">
        <f>$D$2</f>
        <v>300000000</v>
      </c>
      <c r="E23" s="16">
        <f t="shared" si="3"/>
        <v>300000</v>
      </c>
      <c r="F23" s="27">
        <v>0</v>
      </c>
      <c r="G23" s="28">
        <f t="shared" si="7"/>
        <v>0</v>
      </c>
      <c r="H23" s="29">
        <f t="shared" si="4"/>
        <v>0</v>
      </c>
      <c r="I23" s="29">
        <f t="shared" si="4"/>
        <v>0</v>
      </c>
      <c r="J23" s="30">
        <f t="shared" si="1"/>
        <v>0</v>
      </c>
    </row>
    <row r="24" spans="1:10" x14ac:dyDescent="0.25">
      <c r="B24" s="11"/>
      <c r="C24" s="11"/>
      <c r="D24" s="11"/>
      <c r="E24" s="11"/>
      <c r="F24" s="11"/>
      <c r="G24" s="11"/>
      <c r="H24" s="11"/>
      <c r="I24" s="11"/>
    </row>
    <row r="25" spans="1:10" ht="15.75" thickBot="1" x14ac:dyDescent="0.3">
      <c r="A25" s="2"/>
      <c r="B25" s="12"/>
      <c r="C25" s="12"/>
      <c r="D25" s="12"/>
      <c r="E25" s="12"/>
      <c r="F25" s="12"/>
      <c r="G25" s="12"/>
      <c r="H25" s="12"/>
      <c r="I25" s="12"/>
      <c r="J25" s="2"/>
    </row>
    <row r="26" spans="1:10" x14ac:dyDescent="0.25">
      <c r="G26" s="7">
        <f>SUM(G5:G23)</f>
        <v>2.8528308545601663E-3</v>
      </c>
      <c r="H26" s="8">
        <f>G26*1000</f>
        <v>2.8528308545601662</v>
      </c>
      <c r="I26" s="8">
        <f t="shared" ref="I26" si="8">H26*1000</f>
        <v>2852.8308545601662</v>
      </c>
      <c r="J26" s="10">
        <f>SUM(J5:J23)</f>
        <v>100</v>
      </c>
    </row>
    <row r="29" spans="1:10" x14ac:dyDescent="0.25">
      <c r="A29" s="1" t="s">
        <v>15</v>
      </c>
      <c r="B29" s="4" t="s">
        <v>16</v>
      </c>
      <c r="C29" s="4" t="s">
        <v>24</v>
      </c>
      <c r="D29" s="9" t="s">
        <v>17</v>
      </c>
      <c r="E29" s="9" t="s">
        <v>18</v>
      </c>
    </row>
    <row r="30" spans="1:10" x14ac:dyDescent="0.25">
      <c r="A30" t="s">
        <v>4</v>
      </c>
      <c r="B30" s="11">
        <v>210</v>
      </c>
      <c r="C30" s="11">
        <v>80</v>
      </c>
      <c r="D30" s="14">
        <f>((B30*0.8)/G26)/24</f>
        <v>2453.7031309832851</v>
      </c>
      <c r="E30" s="14">
        <f>D30/365</f>
        <v>6.7224743314610551</v>
      </c>
    </row>
    <row r="31" spans="1:10" x14ac:dyDescent="0.25">
      <c r="A31" t="s">
        <v>20</v>
      </c>
      <c r="B31" s="11">
        <v>500</v>
      </c>
      <c r="C31" s="11">
        <v>80</v>
      </c>
      <c r="D31" s="14">
        <f>(B31*0.8)/G26/24</f>
        <v>5842.1503118649634</v>
      </c>
      <c r="E31" s="14">
        <f>D31/365</f>
        <v>16.005891265383461</v>
      </c>
    </row>
    <row r="32" spans="1:10" x14ac:dyDescent="0.25">
      <c r="A32" t="s">
        <v>26</v>
      </c>
      <c r="B32" s="11">
        <v>560</v>
      </c>
      <c r="C32" s="11">
        <v>80</v>
      </c>
      <c r="D32" s="14">
        <f>(B32*0.8)/$G$26/24</f>
        <v>6543.2083492887587</v>
      </c>
      <c r="E32" s="14">
        <f>D32/365</f>
        <v>17.926598217229476</v>
      </c>
    </row>
    <row r="33" spans="1:5" x14ac:dyDescent="0.25">
      <c r="A33" t="s">
        <v>23</v>
      </c>
      <c r="B33" s="11">
        <v>2000</v>
      </c>
      <c r="C33" s="11">
        <v>70</v>
      </c>
      <c r="D33" s="14">
        <f>(B33*C33/100)/$G$26/24</f>
        <v>20447.526091527372</v>
      </c>
      <c r="E33" s="14">
        <f>D33/365</f>
        <v>56.020619428842117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26" sqref="C26"/>
    </sheetView>
  </sheetViews>
  <sheetFormatPr defaultRowHeight="15" x14ac:dyDescent="0.25"/>
  <cols>
    <col min="1" max="1" width="24.42578125" bestFit="1" customWidth="1"/>
    <col min="2" max="2" width="12" bestFit="1" customWidth="1"/>
  </cols>
  <sheetData>
    <row r="1" spans="1:7" x14ac:dyDescent="0.25">
      <c r="A1" s="23" t="s">
        <v>34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25">
      <c r="A2" t="s">
        <v>38</v>
      </c>
      <c r="B2">
        <f>8*(1+5+B1+2)+9</f>
        <v>81</v>
      </c>
      <c r="C2">
        <f>8*(1+5+C1+2)+9</f>
        <v>89</v>
      </c>
      <c r="D2">
        <f t="shared" ref="D2:G2" si="0">8*(1+5+D1+2)+9</f>
        <v>105</v>
      </c>
      <c r="E2">
        <f t="shared" si="0"/>
        <v>137</v>
      </c>
      <c r="F2">
        <f t="shared" si="0"/>
        <v>201</v>
      </c>
      <c r="G2">
        <f t="shared" si="0"/>
        <v>329</v>
      </c>
    </row>
    <row r="4" spans="1:7" x14ac:dyDescent="0.25">
      <c r="A4" s="23">
        <v>0.25</v>
      </c>
      <c r="B4">
        <f t="shared" ref="B4:G4" si="1">((B1*8)/250000)+(2*$B$13*0.000001)+(B2/($A$4*1000000))+(B2/($A$4*1000000)+$B$11*0.000001)*1000000</f>
        <v>332.20061599999997</v>
      </c>
      <c r="C4">
        <f t="shared" si="1"/>
        <v>364.20067999999998</v>
      </c>
      <c r="D4">
        <f t="shared" si="1"/>
        <v>428.20080799999999</v>
      </c>
      <c r="E4">
        <f t="shared" si="1"/>
        <v>556.20106399999997</v>
      </c>
      <c r="F4">
        <f t="shared" si="1"/>
        <v>812.20157600000005</v>
      </c>
      <c r="G4">
        <f t="shared" si="1"/>
        <v>1324.2026000000001</v>
      </c>
    </row>
    <row r="5" spans="1:7" x14ac:dyDescent="0.25">
      <c r="A5" s="23">
        <v>1</v>
      </c>
      <c r="B5">
        <f t="shared" ref="B5:G5" si="2">((B1*8)/250000)+(2*$B$13*0.000001)+(B2/($A$5*1000000))+(B2/($A$5*1000000)+$B$11*0.000001)*1000000</f>
        <v>89.200372999999999</v>
      </c>
      <c r="C5">
        <f t="shared" si="2"/>
        <v>97.200412999999983</v>
      </c>
      <c r="D5">
        <f t="shared" si="2"/>
        <v>113.20049300000001</v>
      </c>
      <c r="E5">
        <f t="shared" si="2"/>
        <v>145.20065300000002</v>
      </c>
      <c r="F5">
        <f t="shared" si="2"/>
        <v>209.200973</v>
      </c>
      <c r="G5">
        <f t="shared" si="2"/>
        <v>337.20161299999995</v>
      </c>
    </row>
    <row r="6" spans="1:7" x14ac:dyDescent="0.25">
      <c r="A6" s="23">
        <v>2</v>
      </c>
      <c r="B6">
        <f t="shared" ref="B6:G6" si="3">((B1*8)/250000)+(2*$B$13*0.000001)+(B2/($A$6*1000000))+(B2/($A$6*1000000)+$B$11*0.000001)*1000000</f>
        <v>48.700332500000002</v>
      </c>
      <c r="C6">
        <f t="shared" si="3"/>
        <v>52.700368499999996</v>
      </c>
      <c r="D6">
        <f t="shared" si="3"/>
        <v>60.700440499999999</v>
      </c>
      <c r="E6">
        <f t="shared" si="3"/>
        <v>76.700584499999991</v>
      </c>
      <c r="F6">
        <f t="shared" si="3"/>
        <v>108.7008725</v>
      </c>
      <c r="G6">
        <f t="shared" si="3"/>
        <v>172.7014485</v>
      </c>
    </row>
    <row r="11" spans="1:7" x14ac:dyDescent="0.25">
      <c r="A11" t="s">
        <v>35</v>
      </c>
      <c r="B11">
        <v>8.1999999999999993</v>
      </c>
    </row>
    <row r="12" spans="1:7" x14ac:dyDescent="0.25">
      <c r="A12" t="s">
        <v>36</v>
      </c>
      <c r="B12">
        <v>6</v>
      </c>
    </row>
    <row r="13" spans="1:7" x14ac:dyDescent="0.25">
      <c r="A13" t="s">
        <v>37</v>
      </c>
      <c r="B13">
        <v>130</v>
      </c>
    </row>
    <row r="20" spans="1:3" x14ac:dyDescent="0.25">
      <c r="A20" t="s">
        <v>45</v>
      </c>
      <c r="B20">
        <v>15</v>
      </c>
      <c r="C20" t="s">
        <v>2</v>
      </c>
    </row>
    <row r="21" spans="1:3" x14ac:dyDescent="0.25">
      <c r="A21" t="s">
        <v>46</v>
      </c>
      <c r="B21" s="31">
        <f>'Ark1'!E6</f>
        <v>0.17270144849999999</v>
      </c>
      <c r="C21" t="s">
        <v>29</v>
      </c>
    </row>
    <row r="22" spans="1:3" x14ac:dyDescent="0.25">
      <c r="A22" t="s">
        <v>47</v>
      </c>
      <c r="B22">
        <v>3000</v>
      </c>
      <c r="C22" t="s">
        <v>48</v>
      </c>
    </row>
    <row r="23" spans="1:3" x14ac:dyDescent="0.25">
      <c r="A23" t="s">
        <v>49</v>
      </c>
      <c r="B23">
        <f>(B20*0.001)*(B22*0.001)^2*(B21*0.001)</f>
        <v>2.3314695547500002E-5</v>
      </c>
      <c r="C23" t="s">
        <v>50</v>
      </c>
    </row>
    <row r="24" spans="1:3" x14ac:dyDescent="0.25">
      <c r="B24">
        <f>B23*1000</f>
        <v>2.33146955475E-2</v>
      </c>
      <c r="C24" t="s">
        <v>51</v>
      </c>
    </row>
    <row r="25" spans="1:3" x14ac:dyDescent="0.25">
      <c r="B25">
        <f>B23*1000000</f>
        <v>23.314695547500001</v>
      </c>
      <c r="C2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K10" sqref="K10"/>
    </sheetView>
  </sheetViews>
  <sheetFormatPr defaultRowHeight="15" x14ac:dyDescent="0.25"/>
  <sheetData>
    <row r="2" spans="1:1" x14ac:dyDescent="0.25">
      <c r="A2">
        <f>0.5*0.01*3^2</f>
        <v>4.4999999999999998E-2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NRF24L01</vt:lpstr>
      <vt:lpstr>Capacitor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Thirsbro</dc:creator>
  <cp:lastModifiedBy>Andreas</cp:lastModifiedBy>
  <dcterms:created xsi:type="dcterms:W3CDTF">2018-11-29T07:09:29Z</dcterms:created>
  <dcterms:modified xsi:type="dcterms:W3CDTF">2018-12-07T09:28:05Z</dcterms:modified>
</cp:coreProperties>
</file>