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V2J-Auto\Bankruptcypro\TestData\Excelfiles\"/>
    </mc:Choice>
  </mc:AlternateContent>
  <xr:revisionPtr revIDLastSave="0" documentId="13_ncr:1_{629D66B8-9C78-4B0F-AFE3-71EC8703D97C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INR TO USD" sheetId="1" r:id="rId1"/>
    <sheet name="INR TO AUD" sheetId="2" r:id="rId2"/>
    <sheet name="INR TO CHF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C999" i="3" l="1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<sst xmlns="http://schemas.openxmlformats.org/spreadsheetml/2006/main" count="1012" uniqueCount="12">
  <si>
    <t>Serial No</t>
  </si>
  <si>
    <t>Amount(INR)</t>
  </si>
  <si>
    <t>Amount(USD)</t>
  </si>
  <si>
    <t>serialno</t>
  </si>
  <si>
    <t>amount</t>
  </si>
  <si>
    <t>currency</t>
  </si>
  <si>
    <t>usd</t>
  </si>
  <si>
    <t>contamt</t>
  </si>
  <si>
    <t>1</t>
  </si>
  <si>
    <t>1000</t>
  </si>
  <si>
    <t>3306500000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</si>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</sst>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22222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9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1" max="3" width="21.42578125" customWidth="1"/>
    <col min="4" max="4" width="29.28515625" customWidth="1"/>
  </cols>
  <sheetData>
    <row r="1" spans="1:5" ht="15.75" customHeight="1" x14ac:dyDescent="0.25">
      <c r="A1" s="1" t="s">
        <v>3</v>
      </c>
      <c r="B1" s="1" t="s">
        <v>4</v>
      </c>
      <c r="C1" s="1" t="s">
        <v>5</v>
      </c>
      <c r="D1" s="1" t="s">
        <v>7</v>
      </c>
    </row>
    <row r="2" spans="1:5" ht="15.75" customHeight="1" x14ac:dyDescent="0.25">
      <c r="A2" s="5" t="s">
        <v>8</v>
      </c>
      <c r="B2" s="5" t="s">
        <v>9</v>
      </c>
      <c r="C2" s="2" t="s">
        <v>6</v>
      </c>
      <c r="D2" s="4">
        <f ca="1">IFERROR(__xludf.DUMMYFUNCTION("B2*GOOGLEFINANCE(""CURRENCY:USDINR"")"),75600)</f>
        <v>75600</v>
      </c>
      <c r="E2" s="3"/>
    </row>
    <row r="3" spans="1:5" ht="15.75" customHeight="1" x14ac:dyDescent="0.25">
      <c r="A3" s="5" t="s">
        <v>11</v>
      </c>
      <c r="B3" s="5" t="s">
        <v>10</v>
      </c>
      <c r="C3" s="2" t="s">
        <v>6</v>
      </c>
      <c r="D3" s="4">
        <f ca="1">IFERROR(G5("B3*GOOGLEFINANCE(""CURRENCY:USDINR"")"),249971399999.999)</f>
        <v>249971399999.99899</v>
      </c>
      <c r="E3" s="3"/>
    </row>
    <row r="4" spans="1:5" ht="15.75" customHeight="1" x14ac:dyDescent="0.25">
      <c r="A4" s="6">
        <v>3</v>
      </c>
      <c r="B4" s="6">
        <v>1697000000</v>
      </c>
      <c r="C4" s="2" t="s">
        <v>6</v>
      </c>
      <c r="D4" s="4">
        <f ca="1">IFERROR(__xludf.DUMMYFUNCTION("B4*GOOGLEFINANCE(""CURRENCY:USDINR"")"),128293199999.999)</f>
        <v>128293199999.99899</v>
      </c>
      <c r="E4" s="3"/>
    </row>
    <row r="5" spans="1:5" ht="15.75" customHeight="1" x14ac:dyDescent="0.25">
      <c r="A5" s="6">
        <v>4</v>
      </c>
      <c r="B5" s="6">
        <v>2596000000</v>
      </c>
      <c r="C5" s="2" t="s">
        <v>6</v>
      </c>
      <c r="D5" s="4">
        <f ca="1">IFERROR(__xludf.DUMMYFUNCTION("B5*GOOGLEFINANCE(""CURRENCY:USDINR"")"),196257600000)</f>
        <v>196257600000</v>
      </c>
      <c r="E5" s="3"/>
    </row>
    <row r="6" spans="1:5" ht="15.75" customHeight="1" x14ac:dyDescent="0.25">
      <c r="A6" s="6">
        <v>5</v>
      </c>
      <c r="B6" s="6">
        <v>3437000000</v>
      </c>
      <c r="C6" s="2" t="s">
        <v>6</v>
      </c>
      <c r="D6" s="4">
        <f ca="1">IFERROR(__xludf.DUMMYFUNCTION("B6*GOOGLEFINANCE(""CURRENCY:USDINR"")"),259837199999.999)</f>
        <v>259837199999.99899</v>
      </c>
      <c r="E6" s="3"/>
    </row>
    <row r="7" spans="1:5" ht="15.75" customHeight="1" x14ac:dyDescent="0.25">
      <c r="A7" s="6">
        <v>6</v>
      </c>
      <c r="B7" s="6">
        <v>421000000</v>
      </c>
      <c r="C7" s="2" t="s">
        <v>6</v>
      </c>
      <c r="D7" s="4">
        <f ca="1">IFERROR(__xludf.DUMMYFUNCTION("B7*GOOGLEFINANCE(""CURRENCY:USDINR"")"),31827599999.9999)</f>
        <v>31827599999.999901</v>
      </c>
      <c r="E7" s="3"/>
    </row>
    <row r="8" spans="1:5" ht="15.75" customHeight="1" x14ac:dyDescent="0.25">
      <c r="A8" s="6">
        <v>7</v>
      </c>
      <c r="B8" s="6">
        <v>2523500000</v>
      </c>
      <c r="C8" s="2" t="s">
        <v>6</v>
      </c>
      <c r="D8" s="4">
        <f ca="1">IFERROR(__xludf.DUMMYFUNCTION("B8*GOOGLEFINANCE(""CURRENCY:USDINR"")"),190776600000)</f>
        <v>190776600000</v>
      </c>
      <c r="E8" s="3"/>
    </row>
    <row r="9" spans="1:5" ht="15.75" customHeight="1" x14ac:dyDescent="0.25">
      <c r="A9" s="6">
        <v>8</v>
      </c>
      <c r="B9" s="6">
        <v>3741500000</v>
      </c>
      <c r="C9" s="2" t="s">
        <v>6</v>
      </c>
      <c r="D9" s="4">
        <f ca="1">IFERROR(__xludf.DUMMYFUNCTION("B9*GOOGLEFINANCE(""CURRENCY:USDINR"")"),282857400000)</f>
        <v>282857400000</v>
      </c>
      <c r="E9" s="3"/>
    </row>
    <row r="10" spans="1:5" ht="15.75" customHeight="1" x14ac:dyDescent="0.25">
      <c r="A10" s="6">
        <v>9</v>
      </c>
      <c r="B10" s="6">
        <v>4104000000</v>
      </c>
      <c r="C10" s="2" t="s">
        <v>6</v>
      </c>
      <c r="D10" s="4">
        <f ca="1">IFERROR(__xludf.DUMMYFUNCTION("B10*GOOGLEFINANCE(""CURRENCY:USDINR"")"),310262400000)</f>
        <v>310262400000</v>
      </c>
      <c r="E10" s="3"/>
    </row>
    <row r="11" spans="1:5" ht="15.75" customHeight="1" x14ac:dyDescent="0.25">
      <c r="A11" s="6">
        <v>10</v>
      </c>
      <c r="B11" s="6">
        <v>1030000000</v>
      </c>
      <c r="C11" s="2" t="s">
        <v>6</v>
      </c>
      <c r="D11" s="4">
        <f ca="1">IFERROR(__xludf.DUMMYFUNCTION("B11*GOOGLEFINANCE(""CURRENCY:USDINR"")"),77868000000)</f>
        <v>77868000000</v>
      </c>
      <c r="E11" s="3"/>
    </row>
    <row r="12" spans="1:5" ht="15.75" customHeight="1" x14ac:dyDescent="0.25">
      <c r="A12" s="6">
        <v>11</v>
      </c>
      <c r="B12" s="6">
        <v>116500000</v>
      </c>
      <c r="C12" s="2" t="s">
        <v>6</v>
      </c>
      <c r="D12" s="4">
        <f ca="1">IFERROR(__xludf.DUMMYFUNCTION("B12*GOOGLEFINANCE(""CURRENCY:USDINR"")"),8807400000)</f>
        <v>8807400000</v>
      </c>
      <c r="E12" s="3"/>
    </row>
    <row r="13" spans="1:5" ht="15.75" customHeight="1" x14ac:dyDescent="0.25">
      <c r="A13" s="6">
        <v>12</v>
      </c>
      <c r="B13" s="6">
        <v>2538000000</v>
      </c>
      <c r="C13" s="2" t="s">
        <v>6</v>
      </c>
      <c r="D13" s="4">
        <f ca="1">IFERROR(__xludf.DUMMYFUNCTION("B13*GOOGLEFINANCE(""CURRENCY:USDINR"")"),191872800000)</f>
        <v>191872800000</v>
      </c>
      <c r="E13" s="3"/>
    </row>
    <row r="14" spans="1:5" ht="15.75" customHeight="1" x14ac:dyDescent="0.25">
      <c r="A14" s="6">
        <v>13</v>
      </c>
      <c r="B14" s="6">
        <v>2378500000</v>
      </c>
      <c r="C14" s="2" t="s">
        <v>6</v>
      </c>
      <c r="D14" s="4">
        <f ca="1">IFERROR(__xludf.DUMMYFUNCTION("B14*GOOGLEFINANCE(""CURRENCY:USDINR"")"),179814600000)</f>
        <v>179814600000</v>
      </c>
      <c r="E14" s="3"/>
    </row>
    <row r="15" spans="1:5" ht="15.75" customHeight="1" x14ac:dyDescent="0.25">
      <c r="A15" s="6">
        <v>14</v>
      </c>
      <c r="B15" s="6">
        <v>3495000000</v>
      </c>
      <c r="C15" s="2" t="s">
        <v>6</v>
      </c>
      <c r="D15" s="4">
        <f ca="1">IFERROR(__xludf.DUMMYFUNCTION("B15*GOOGLEFINANCE(""CURRENCY:USDINR"")"),264221999999.999)</f>
        <v>264221999999.99899</v>
      </c>
      <c r="E15" s="3"/>
    </row>
    <row r="16" spans="1:5" ht="15.75" customHeight="1" x14ac:dyDescent="0.25">
      <c r="A16" s="6">
        <v>15</v>
      </c>
      <c r="B16" s="6">
        <v>1653500000</v>
      </c>
      <c r="C16" s="2" t="s">
        <v>6</v>
      </c>
      <c r="D16" s="4">
        <f ca="1">IFERROR(__xludf.DUMMYFUNCTION("B16*GOOGLEFINANCE(""CURRENCY:USDINR"")"),125004599999.999)</f>
        <v>125004599999.99899</v>
      </c>
      <c r="E16" s="3"/>
    </row>
    <row r="17" spans="1:5" ht="15.75" customHeight="1" x14ac:dyDescent="0.25">
      <c r="A17" s="6">
        <v>16</v>
      </c>
      <c r="B17" s="6">
        <v>1465000000</v>
      </c>
      <c r="C17" s="2" t="s">
        <v>6</v>
      </c>
      <c r="D17" s="4">
        <f ca="1">IFERROR(__xludf.DUMMYFUNCTION("B17*GOOGLEFINANCE(""CURRENCY:USDINR"")"),110753999999.999)</f>
        <v>110753999999.99899</v>
      </c>
      <c r="E17" s="3"/>
    </row>
    <row r="18" spans="1:5" ht="15.75" customHeight="1" x14ac:dyDescent="0.25">
      <c r="A18" s="6">
        <v>17</v>
      </c>
      <c r="B18" s="6">
        <v>2799000000</v>
      </c>
      <c r="C18" s="2" t="s">
        <v>6</v>
      </c>
      <c r="D18" s="4">
        <f ca="1">IFERROR(__xludf.DUMMYFUNCTION("B18*GOOGLEFINANCE(""CURRENCY:USDINR"")"),211604399999.999)</f>
        <v>211604399999.99899</v>
      </c>
      <c r="E18" s="3"/>
    </row>
    <row r="19" spans="1:5" ht="15.75" customHeight="1" x14ac:dyDescent="0.25">
      <c r="A19" s="6">
        <v>18</v>
      </c>
      <c r="B19" s="6">
        <v>2001500000</v>
      </c>
      <c r="C19" s="2" t="s">
        <v>6</v>
      </c>
      <c r="D19" s="4">
        <f ca="1">IFERROR(__xludf.DUMMYFUNCTION("B19*GOOGLEFINANCE(""CURRENCY:USDINR"")"),151313400000)</f>
        <v>151313400000</v>
      </c>
      <c r="E19" s="3"/>
    </row>
    <row r="20" spans="1:5" ht="15.75" customHeight="1" x14ac:dyDescent="0.25">
      <c r="A20" s="6">
        <v>19</v>
      </c>
      <c r="B20" s="6">
        <v>1943500000</v>
      </c>
      <c r="C20" s="2" t="s">
        <v>6</v>
      </c>
      <c r="D20" s="4">
        <f ca="1">IFERROR(__xludf.DUMMYFUNCTION("B20*GOOGLEFINANCE(""CURRENCY:USDINR"")"),146928600000)</f>
        <v>146928600000</v>
      </c>
      <c r="E20" s="3"/>
    </row>
    <row r="21" spans="1:5" ht="15.75" customHeight="1" x14ac:dyDescent="0.25">
      <c r="A21" s="6">
        <v>20</v>
      </c>
      <c r="B21" s="6">
        <v>3219500000</v>
      </c>
      <c r="C21" s="2" t="s">
        <v>6</v>
      </c>
      <c r="D21" s="4">
        <f ca="1">IFERROR(__xludf.DUMMYFUNCTION("B21*GOOGLEFINANCE(""CURRENCY:USDINR"")"),243394199999.999)</f>
        <v>243394199999.99899</v>
      </c>
      <c r="E21" s="3"/>
    </row>
    <row r="22" spans="1:5" ht="15.75" customHeight="1" x14ac:dyDescent="0.25">
      <c r="A22" s="6">
        <v>21</v>
      </c>
      <c r="B22" s="6">
        <v>2465500000</v>
      </c>
      <c r="C22" s="2" t="s">
        <v>6</v>
      </c>
      <c r="D22" s="4">
        <f ca="1">IFERROR(__xludf.DUMMYFUNCTION("B22*GOOGLEFINANCE(""CURRENCY:USDINR"")"),186391800000)</f>
        <v>186391800000</v>
      </c>
      <c r="E22" s="3"/>
    </row>
    <row r="23" spans="1:5" x14ac:dyDescent="0.25">
      <c r="A23" s="6">
        <v>22</v>
      </c>
      <c r="B23" s="6">
        <v>2567000000</v>
      </c>
      <c r="C23" s="2" t="s">
        <v>6</v>
      </c>
      <c r="D23" s="4">
        <f ca="1">IFERROR(__xludf.DUMMYFUNCTION("B23*GOOGLEFINANCE(""CURRENCY:USDINR"")"),194065200000)</f>
        <v>194065200000</v>
      </c>
      <c r="E23" s="3"/>
    </row>
    <row r="24" spans="1:5" x14ac:dyDescent="0.25">
      <c r="A24" s="6">
        <v>23</v>
      </c>
      <c r="B24" s="6">
        <v>1407000000</v>
      </c>
      <c r="C24" s="2" t="s">
        <v>6</v>
      </c>
      <c r="D24" s="4">
        <f ca="1">IFERROR(__xludf.DUMMYFUNCTION("B24*GOOGLEFINANCE(""CURRENCY:USDINR"")"),106369199999.999)</f>
        <v>106369199999.99899</v>
      </c>
      <c r="E24" s="3"/>
    </row>
    <row r="25" spans="1:5" x14ac:dyDescent="0.25">
      <c r="A25" s="6">
        <v>24</v>
      </c>
      <c r="B25" s="6">
        <v>2929500000</v>
      </c>
      <c r="C25" s="2" t="s">
        <v>6</v>
      </c>
      <c r="D25" s="4">
        <f ca="1">IFERROR(__xludf.DUMMYFUNCTION("B25*GOOGLEFINANCE(""CURRENCY:USDINR"")"),221470199999.999)</f>
        <v>221470199999.99899</v>
      </c>
      <c r="E25" s="3"/>
    </row>
    <row r="26" spans="1:5" x14ac:dyDescent="0.25">
      <c r="A26" s="6">
        <v>25</v>
      </c>
      <c r="B26" s="6">
        <v>3959000000</v>
      </c>
      <c r="C26" s="2" t="s">
        <v>6</v>
      </c>
      <c r="D26" s="4">
        <f ca="1">IFERROR(__xludf.DUMMYFUNCTION("B26*GOOGLEFINANCE(""CURRENCY:USDINR"")"),299300400000)</f>
        <v>299300400000</v>
      </c>
      <c r="E26" s="3"/>
    </row>
    <row r="27" spans="1:5" x14ac:dyDescent="0.25">
      <c r="A27" s="6">
        <v>26</v>
      </c>
      <c r="B27" s="6">
        <v>1784000000</v>
      </c>
      <c r="C27" s="2" t="s">
        <v>6</v>
      </c>
      <c r="D27" s="4">
        <f ca="1">IFERROR(__xludf.DUMMYFUNCTION("B27*GOOGLEFINANCE(""CURRENCY:USDINR"")"),134870399999.999)</f>
        <v>134870399999.99899</v>
      </c>
      <c r="E27" s="3"/>
    </row>
    <row r="28" spans="1:5" x14ac:dyDescent="0.25">
      <c r="A28" s="6">
        <v>27</v>
      </c>
      <c r="B28" s="6">
        <v>1958000000</v>
      </c>
      <c r="C28" s="2" t="s">
        <v>6</v>
      </c>
      <c r="D28" s="4">
        <f ca="1">IFERROR(__xludf.DUMMYFUNCTION("B28*GOOGLEFINANCE(""CURRENCY:USDINR"")"),148024800000)</f>
        <v>148024800000</v>
      </c>
      <c r="E28" s="3"/>
    </row>
    <row r="29" spans="1:5" x14ac:dyDescent="0.25">
      <c r="A29" s="6">
        <v>28</v>
      </c>
      <c r="B29" s="6">
        <v>3567500000</v>
      </c>
      <c r="C29" s="2" t="s">
        <v>6</v>
      </c>
      <c r="D29" s="4">
        <f ca="1">IFERROR(__xludf.DUMMYFUNCTION("B29*GOOGLEFINANCE(""CURRENCY:USDINR"")"),269702999999.999)</f>
        <v>269702999999.99899</v>
      </c>
      <c r="E29" s="3"/>
    </row>
    <row r="30" spans="1:5" x14ac:dyDescent="0.25">
      <c r="A30" s="6">
        <v>29</v>
      </c>
      <c r="B30" s="6">
        <v>1566500000</v>
      </c>
      <c r="C30" s="2" t="s">
        <v>6</v>
      </c>
      <c r="D30" s="4">
        <f ca="1">IFERROR(__xludf.DUMMYFUNCTION("B30*GOOGLEFINANCE(""CURRENCY:USDINR"")"),118427399999.999)</f>
        <v>118427399999.99899</v>
      </c>
      <c r="E30" s="3"/>
    </row>
    <row r="31" spans="1:5" x14ac:dyDescent="0.25">
      <c r="A31" s="6">
        <v>30</v>
      </c>
      <c r="B31" s="6">
        <v>4075000000</v>
      </c>
      <c r="C31" s="2" t="s">
        <v>6</v>
      </c>
      <c r="D31" s="4">
        <f ca="1">IFERROR(__xludf.DUMMYFUNCTION("B31*GOOGLEFINANCE(""CURRENCY:USDINR"")"),308070000000)</f>
        <v>308070000000</v>
      </c>
      <c r="E31" s="3"/>
    </row>
    <row r="32" spans="1:5" x14ac:dyDescent="0.25">
      <c r="A32" s="6">
        <v>31</v>
      </c>
      <c r="B32" s="6">
        <v>798000000</v>
      </c>
      <c r="C32" s="2" t="s">
        <v>6</v>
      </c>
      <c r="D32" s="4">
        <f ca="1">IFERROR(__xludf.DUMMYFUNCTION("B32*GOOGLEFINANCE(""CURRENCY:USDINR"")"),60328799999.9999)</f>
        <v>60328799999.999901</v>
      </c>
      <c r="E32" s="3"/>
    </row>
    <row r="33" spans="1:5" x14ac:dyDescent="0.25">
      <c r="A33" s="6">
        <v>32</v>
      </c>
      <c r="B33" s="6">
        <v>638500000</v>
      </c>
      <c r="C33" s="2" t="s">
        <v>6</v>
      </c>
      <c r="D33" s="4">
        <f ca="1">IFERROR(__xludf.DUMMYFUNCTION("B33*GOOGLEFINANCE(""CURRENCY:USDINR"")"),48270600000)</f>
        <v>48270600000</v>
      </c>
      <c r="E33" s="3"/>
    </row>
    <row r="34" spans="1:5" x14ac:dyDescent="0.25">
      <c r="A34" s="6">
        <v>33</v>
      </c>
      <c r="B34" s="6">
        <v>4089500000</v>
      </c>
      <c r="C34" s="2" t="s">
        <v>6</v>
      </c>
      <c r="D34" s="4">
        <f ca="1">IFERROR(__xludf.DUMMYFUNCTION("B34*GOOGLEFINANCE(""CURRENCY:USDINR"")"),309166200000)</f>
        <v>309166200000</v>
      </c>
      <c r="E34" s="3"/>
    </row>
    <row r="35" spans="1:5" x14ac:dyDescent="0.25">
      <c r="A35" s="6">
        <v>34</v>
      </c>
      <c r="B35" s="6">
        <v>1160500000</v>
      </c>
      <c r="C35" s="2" t="s">
        <v>6</v>
      </c>
      <c r="D35" s="4">
        <f ca="1">IFERROR(__xludf.DUMMYFUNCTION("B35*GOOGLEFINANCE(""CURRENCY:USDINR"")"),87733800000)</f>
        <v>87733800000</v>
      </c>
      <c r="E35" s="3"/>
    </row>
    <row r="36" spans="1:5" x14ac:dyDescent="0.25">
      <c r="A36" s="6">
        <v>35</v>
      </c>
      <c r="B36" s="6">
        <v>1320000000</v>
      </c>
      <c r="C36" s="2" t="s">
        <v>6</v>
      </c>
      <c r="D36" s="4">
        <f ca="1">IFERROR(__xludf.DUMMYFUNCTION("B36*GOOGLEFINANCE(""CURRENCY:USDINR"")"),99792000000)</f>
        <v>99792000000</v>
      </c>
      <c r="E36" s="3"/>
    </row>
    <row r="37" spans="1:5" x14ac:dyDescent="0.25">
      <c r="A37" s="6">
        <v>36</v>
      </c>
      <c r="B37" s="6">
        <v>2248000000</v>
      </c>
      <c r="C37" s="2" t="s">
        <v>6</v>
      </c>
      <c r="D37" s="4">
        <f ca="1">IFERROR(__xludf.DUMMYFUNCTION("B37*GOOGLEFINANCE(""CURRENCY:USDINR"")"),169948800000)</f>
        <v>169948800000</v>
      </c>
      <c r="E37" s="3"/>
    </row>
    <row r="38" spans="1:5" x14ac:dyDescent="0.25">
      <c r="A38" s="6">
        <v>37</v>
      </c>
      <c r="B38" s="6">
        <v>682000000</v>
      </c>
      <c r="C38" s="2" t="s">
        <v>6</v>
      </c>
      <c r="D38" s="4">
        <f ca="1">IFERROR(__xludf.DUMMYFUNCTION("B38*GOOGLEFINANCE(""CURRENCY:USDINR"")"),51559199999.9999)</f>
        <v>51559199999.999901</v>
      </c>
      <c r="E38" s="3"/>
    </row>
    <row r="39" spans="1:5" x14ac:dyDescent="0.25">
      <c r="A39" s="6">
        <v>38</v>
      </c>
      <c r="B39" s="6">
        <v>2886000000</v>
      </c>
      <c r="C39" s="2" t="s">
        <v>6</v>
      </c>
      <c r="D39" s="4">
        <f ca="1">IFERROR(__xludf.DUMMYFUNCTION("B39*GOOGLEFINANCE(""CURRENCY:USDINR"")"),218181599999.999)</f>
        <v>218181599999.99899</v>
      </c>
      <c r="E39" s="3"/>
    </row>
    <row r="40" spans="1:5" x14ac:dyDescent="0.25">
      <c r="A40" s="6">
        <v>39</v>
      </c>
      <c r="B40" s="6">
        <v>1363500000</v>
      </c>
      <c r="C40" s="2" t="s">
        <v>6</v>
      </c>
      <c r="D40" s="4">
        <f ca="1">IFERROR(__xludf.DUMMYFUNCTION("B40*GOOGLEFINANCE(""CURRENCY:USDINR"")"),103080599999.999)</f>
        <v>103080599999.99899</v>
      </c>
      <c r="E40" s="3"/>
    </row>
    <row r="41" spans="1:5" x14ac:dyDescent="0.25">
      <c r="A41" s="6">
        <v>40</v>
      </c>
      <c r="B41" s="6">
        <v>769000000</v>
      </c>
      <c r="C41" s="2" t="s">
        <v>6</v>
      </c>
      <c r="D41" s="4">
        <f ca="1">IFERROR(__xludf.DUMMYFUNCTION("B41*GOOGLEFINANCE(""CURRENCY:USDINR"")"),58136399999.9999)</f>
        <v>58136399999.999901</v>
      </c>
      <c r="E41" s="3"/>
    </row>
    <row r="42" spans="1:5" x14ac:dyDescent="0.25">
      <c r="A42" s="6">
        <v>41</v>
      </c>
      <c r="B42" s="6">
        <v>1392500000</v>
      </c>
      <c r="C42" s="2" t="s">
        <v>6</v>
      </c>
      <c r="D42" s="4">
        <f ca="1">IFERROR(__xludf.DUMMYFUNCTION("B42*GOOGLEFINANCE(""CURRENCY:USDINR"")"),105272999999.999)</f>
        <v>105272999999.99899</v>
      </c>
      <c r="E42" s="3"/>
    </row>
    <row r="43" spans="1:5" x14ac:dyDescent="0.25">
      <c r="A43" s="6">
        <v>42</v>
      </c>
      <c r="B43" s="6">
        <v>3944500000</v>
      </c>
      <c r="C43" s="2" t="s">
        <v>6</v>
      </c>
      <c r="D43" s="4">
        <f ca="1">IFERROR(__xludf.DUMMYFUNCTION("B43*GOOGLEFINANCE(""CURRENCY:USDINR"")"),298204200000)</f>
        <v>298204200000</v>
      </c>
      <c r="E43" s="3"/>
    </row>
    <row r="44" spans="1:5" x14ac:dyDescent="0.25">
      <c r="A44" s="6">
        <v>43</v>
      </c>
      <c r="B44" s="6">
        <v>0.9</v>
      </c>
      <c r="C44" s="2" t="s">
        <v>6</v>
      </c>
      <c r="D44" s="4">
        <f ca="1">IFERROR(__xludf.DUMMYFUNCTION("B44*GOOGLEFINANCE(""CURRENCY:USDINR"")"),68.0399999999999)</f>
        <v>68.039999999999907</v>
      </c>
      <c r="E44" s="3"/>
    </row>
    <row r="45" spans="1:5" x14ac:dyDescent="0.25">
      <c r="A45" s="6">
        <v>44</v>
      </c>
      <c r="B45" s="6">
        <v>58500000</v>
      </c>
      <c r="C45" s="2" t="s">
        <v>6</v>
      </c>
      <c r="D45" s="4">
        <f ca="1">IFERROR(__xludf.DUMMYFUNCTION("B45*GOOGLEFINANCE(""CURRENCY:USDINR"")"),4422600000)</f>
        <v>4422600000</v>
      </c>
      <c r="E45" s="3"/>
    </row>
    <row r="46" spans="1:5" x14ac:dyDescent="0.25">
      <c r="A46" s="6">
        <v>45</v>
      </c>
      <c r="B46" s="6">
        <v>3669000000</v>
      </c>
      <c r="C46" s="2" t="s">
        <v>6</v>
      </c>
      <c r="D46" s="4">
        <f ca="1">IFERROR(__xludf.DUMMYFUNCTION("B46*GOOGLEFINANCE(""CURRENCY:USDINR"")"),277376400000)</f>
        <v>277376400000</v>
      </c>
      <c r="E46" s="3"/>
    </row>
    <row r="47" spans="1:5" x14ac:dyDescent="0.25">
      <c r="A47" s="6">
        <v>46</v>
      </c>
      <c r="B47" s="6">
        <v>2364000000</v>
      </c>
      <c r="C47" s="2" t="s">
        <v>6</v>
      </c>
      <c r="D47" s="4">
        <f ca="1">IFERROR(__xludf.DUMMYFUNCTION("B47*GOOGLEFINANCE(""CURRENCY:USDINR"")"),178718400000)</f>
        <v>178718400000</v>
      </c>
      <c r="E47" s="3"/>
    </row>
    <row r="48" spans="1:5" x14ac:dyDescent="0.25">
      <c r="A48" s="6">
        <v>47</v>
      </c>
      <c r="B48" s="6">
        <v>4031500000</v>
      </c>
      <c r="C48" s="2" t="s">
        <v>6</v>
      </c>
      <c r="D48" s="4">
        <f ca="1">IFERROR(__xludf.DUMMYFUNCTION("B48*GOOGLEFINANCE(""CURRENCY:USDINR"")"),304781400000)</f>
        <v>304781400000</v>
      </c>
      <c r="E48" s="3"/>
    </row>
    <row r="49" spans="1:5" x14ac:dyDescent="0.25">
      <c r="A49" s="6">
        <v>48</v>
      </c>
      <c r="B49" s="6">
        <v>624000000</v>
      </c>
      <c r="C49" s="2" t="s">
        <v>6</v>
      </c>
      <c r="D49" s="4">
        <f ca="1">IFERROR(__xludf.DUMMYFUNCTION("B49*GOOGLEFINANCE(""CURRENCY:USDINR"")"),47174400000)</f>
        <v>47174400000</v>
      </c>
      <c r="E49" s="3"/>
    </row>
    <row r="50" spans="1:5" x14ac:dyDescent="0.25">
      <c r="A50" s="6">
        <v>49</v>
      </c>
      <c r="B50" s="6">
        <v>4017000000</v>
      </c>
      <c r="C50" s="2" t="s">
        <v>6</v>
      </c>
      <c r="D50" s="4">
        <f ca="1">IFERROR(__xludf.DUMMYFUNCTION("B50*GOOGLEFINANCE(""CURRENCY:USDINR"")"),303685200000)</f>
        <v>303685200000</v>
      </c>
      <c r="E50" s="3"/>
    </row>
    <row r="51" spans="1:5" x14ac:dyDescent="0.25">
      <c r="A51" s="6">
        <v>50</v>
      </c>
      <c r="B51" s="6">
        <v>102000000</v>
      </c>
      <c r="C51" s="2" t="s">
        <v>6</v>
      </c>
      <c r="D51" s="4">
        <f ca="1">IFERROR(__xludf.DUMMYFUNCTION("B51*GOOGLEFINANCE(""CURRENCY:USDINR"")"),7711199999.99999)</f>
        <v>7711199999.9999905</v>
      </c>
      <c r="E51" s="3"/>
    </row>
    <row r="52" spans="1:5" x14ac:dyDescent="0.25">
      <c r="A52" s="6">
        <v>51</v>
      </c>
      <c r="B52" s="6">
        <v>3524000000</v>
      </c>
      <c r="C52" s="2" t="s">
        <v>6</v>
      </c>
      <c r="D52" s="4">
        <f ca="1">IFERROR(__xludf.DUMMYFUNCTION("B52*GOOGLEFINANCE(""CURRENCY:USDINR"")"),266414399999.999)</f>
        <v>266414399999.99899</v>
      </c>
      <c r="E52" s="3"/>
    </row>
    <row r="53" spans="1:5" x14ac:dyDescent="0.25">
      <c r="A53" s="6">
        <v>52</v>
      </c>
      <c r="B53" s="6">
        <v>-1000</v>
      </c>
      <c r="C53" s="2" t="s">
        <v>6</v>
      </c>
      <c r="D53" s="4">
        <f ca="1">IFERROR(__xludf.DUMMYFUNCTION("B53*GOOGLEFINANCE(""CURRENCY:USDINR"")"),-75600)</f>
        <v>-75600</v>
      </c>
      <c r="E53" s="3"/>
    </row>
    <row r="54" spans="1:5" x14ac:dyDescent="0.25">
      <c r="A54" s="6">
        <v>53</v>
      </c>
      <c r="B54" s="6">
        <v>-0.999</v>
      </c>
      <c r="C54" s="2" t="s">
        <v>6</v>
      </c>
      <c r="D54" s="4">
        <f ca="1">IFERROR(__xludf.DUMMYFUNCTION("B54*GOOGLEFINANCE(""CURRENCY:USDINR"")"),-75.5244)</f>
        <v>-75.5244</v>
      </c>
      <c r="E54" s="3"/>
    </row>
    <row r="55" spans="1:5" x14ac:dyDescent="0.25">
      <c r="A55" s="6">
        <v>54</v>
      </c>
      <c r="B55" s="6">
        <v>1110799999.2007999</v>
      </c>
      <c r="C55" s="2" t="s">
        <v>6</v>
      </c>
      <c r="D55" s="4">
        <f ca="1">IFERROR(__xludf.DUMMYFUNCTION("B55*GOOGLEFINANCE(""CURRENCY:USDINR"")"),83976479939.5804)</f>
        <v>83976479939.580399</v>
      </c>
      <c r="E55" s="3"/>
    </row>
    <row r="56" spans="1:5" x14ac:dyDescent="0.25">
      <c r="A56" s="6">
        <v>55</v>
      </c>
      <c r="B56" s="6">
        <v>701799999.00100005</v>
      </c>
      <c r="C56" s="2" t="s">
        <v>6</v>
      </c>
      <c r="D56" s="4">
        <f ca="1">IFERROR(__xludf.DUMMYFUNCTION("B56*GOOGLEFINANCE(""CURRENCY:USDINR"")"),53056079924.4756)</f>
        <v>53056079924.475601</v>
      </c>
      <c r="E56" s="3"/>
    </row>
    <row r="57" spans="1:5" x14ac:dyDescent="0.25">
      <c r="A57" s="6">
        <v>56</v>
      </c>
      <c r="B57" s="6">
        <v>292799998.80119997</v>
      </c>
      <c r="C57" s="2" t="s">
        <v>6</v>
      </c>
      <c r="D57" s="4">
        <f ca="1">IFERROR(__xludf.DUMMYFUNCTION("B57*GOOGLEFINANCE(""CURRENCY:USDINR"")"),22135679909.3707)</f>
        <v>22135679909.370701</v>
      </c>
      <c r="E57" s="3"/>
    </row>
    <row r="58" spans="1:5" x14ac:dyDescent="0.25">
      <c r="A58" s="6">
        <v>57</v>
      </c>
      <c r="B58" s="6">
        <v>-116200001.3986</v>
      </c>
      <c r="C58" s="2" t="s">
        <v>6</v>
      </c>
      <c r="D58" s="4">
        <f ca="1">IFERROR(__xludf.DUMMYFUNCTION("B58*GOOGLEFINANCE(""CURRENCY:USDINR"")"),-8784720105.73416)</f>
        <v>-8784720105.7341595</v>
      </c>
      <c r="E58" s="3"/>
    </row>
    <row r="59" spans="1:5" x14ac:dyDescent="0.25">
      <c r="A59" s="6">
        <v>58</v>
      </c>
      <c r="B59" s="6">
        <v>-525200001.5984</v>
      </c>
      <c r="C59" s="2" t="s">
        <v>6</v>
      </c>
      <c r="D59" s="4">
        <f ca="1">IFERROR(__xludf.DUMMYFUNCTION("B59*GOOGLEFINANCE(""CURRENCY:USDINR"")"),-39705120120.839)</f>
        <v>-39705120120.838997</v>
      </c>
      <c r="E59" s="3"/>
    </row>
    <row r="60" spans="1:5" x14ac:dyDescent="0.25">
      <c r="A60" s="6">
        <v>59</v>
      </c>
      <c r="B60" s="6">
        <v>-934200001.79820001</v>
      </c>
      <c r="C60" s="2" t="s">
        <v>6</v>
      </c>
      <c r="D60" s="4">
        <f ca="1">IFERROR(__xludf.DUMMYFUNCTION("B60*GOOGLEFINANCE(""CURRENCY:USDINR"")"),-70625520135.9439)</f>
        <v>-70625520135.943893</v>
      </c>
      <c r="E60" s="3"/>
    </row>
    <row r="61" spans="1:5" x14ac:dyDescent="0.25">
      <c r="A61" s="6">
        <v>60</v>
      </c>
      <c r="B61" s="6">
        <v>-1343200001.9979999</v>
      </c>
      <c r="C61" s="2" t="s">
        <v>6</v>
      </c>
      <c r="D61" s="4">
        <f ca="1">IFERROR(__xludf.DUMMYFUNCTION("B61*GOOGLEFINANCE(""CURRENCY:USDINR"")"),-101545920151.048)</f>
        <v>-101545920151.048</v>
      </c>
      <c r="E61" s="3"/>
    </row>
    <row r="62" spans="1:5" x14ac:dyDescent="0.25">
      <c r="A62" s="6">
        <v>61</v>
      </c>
      <c r="B62" s="6">
        <v>-1752200002.1977999</v>
      </c>
      <c r="C62" s="2" t="s">
        <v>6</v>
      </c>
      <c r="D62" s="4">
        <f ca="1">IFERROR(__xludf.DUMMYFUNCTION("B62*GOOGLEFINANCE(""CURRENCY:USDINR"")"),-132466320166.153)</f>
        <v>-132466320166.153</v>
      </c>
      <c r="E62" s="3"/>
    </row>
    <row r="63" spans="1:5" x14ac:dyDescent="0.25">
      <c r="A63" s="6">
        <v>62</v>
      </c>
      <c r="B63" s="6">
        <v>-2161200002.3976002</v>
      </c>
      <c r="C63" s="2" t="s">
        <v>6</v>
      </c>
      <c r="D63" s="4">
        <f ca="1">IFERROR(__xludf.DUMMYFUNCTION("B63*GOOGLEFINANCE(""CURRENCY:USDINR"")"),-163386720181.258)</f>
        <v>-163386720181.258</v>
      </c>
      <c r="E63" s="3"/>
    </row>
    <row r="64" spans="1:5" x14ac:dyDescent="0.25">
      <c r="A64" s="6">
        <v>63</v>
      </c>
      <c r="B64" s="6">
        <v>-2570200002.5974002</v>
      </c>
      <c r="C64" s="2" t="s">
        <v>6</v>
      </c>
      <c r="D64" s="4">
        <f ca="1">IFERROR(__xludf.DUMMYFUNCTION("B64*GOOGLEFINANCE(""CURRENCY:USDINR"")"),-194307120196.363)</f>
        <v>-194307120196.36301</v>
      </c>
      <c r="E64" s="3"/>
    </row>
    <row r="65" spans="1:5" x14ac:dyDescent="0.25">
      <c r="A65" s="6">
        <v>64</v>
      </c>
      <c r="B65" s="6">
        <v>-2979200002.7972002</v>
      </c>
      <c r="C65" s="2" t="s">
        <v>6</v>
      </c>
      <c r="D65" s="4">
        <f ca="1">IFERROR(__xludf.DUMMYFUNCTION("B65*GOOGLEFINANCE(""CURRENCY:USDINR"")"),-225227520211.468)</f>
        <v>-225227520211.46799</v>
      </c>
      <c r="E65" s="3"/>
    </row>
    <row r="66" spans="1:5" x14ac:dyDescent="0.25">
      <c r="A66" s="6">
        <v>65</v>
      </c>
      <c r="B66" s="6">
        <v>-3388200002.9970002</v>
      </c>
      <c r="C66" s="2" t="s">
        <v>6</v>
      </c>
      <c r="D66" s="4">
        <f ca="1">IFERROR(__xludf.DUMMYFUNCTION("B66*GOOGLEFINANCE(""CURRENCY:USDINR"")"),-256147920226.573)</f>
        <v>-256147920226.573</v>
      </c>
      <c r="E66" s="3"/>
    </row>
    <row r="67" spans="1:5" x14ac:dyDescent="0.25">
      <c r="A67" s="6">
        <v>66</v>
      </c>
      <c r="B67" s="6">
        <v>-3797200003.1968002</v>
      </c>
      <c r="C67" s="2" t="s">
        <v>6</v>
      </c>
      <c r="D67" s="4">
        <f ca="1">IFERROR(__xludf.DUMMYFUNCTION("B67*GOOGLEFINANCE(""CURRENCY:USDINR"")"),-287068320241.678)</f>
        <v>-287068320241.67798</v>
      </c>
      <c r="E67" s="3"/>
    </row>
    <row r="68" spans="1:5" x14ac:dyDescent="0.25">
      <c r="A68" s="6">
        <v>67</v>
      </c>
      <c r="B68" s="6">
        <v>-4206200003.3965998</v>
      </c>
      <c r="C68" s="2" t="s">
        <v>6</v>
      </c>
      <c r="D68" s="4">
        <f ca="1">IFERROR(__xludf.DUMMYFUNCTION("B68*GOOGLEFINANCE(""CURRENCY:USDINR"")"),-317988720256.782)</f>
        <v>-317988720256.78198</v>
      </c>
      <c r="E68" s="3"/>
    </row>
    <row r="69" spans="1:5" x14ac:dyDescent="0.25">
      <c r="A69" s="6">
        <v>68</v>
      </c>
      <c r="B69" s="6">
        <v>-4615200003.5964003</v>
      </c>
      <c r="C69" s="2" t="s">
        <v>6</v>
      </c>
      <c r="D69" s="4">
        <f ca="1">IFERROR(__xludf.DUMMYFUNCTION("B69*GOOGLEFINANCE(""CURRENCY:USDINR"")"),-348909120271.887)</f>
        <v>-348909120271.88702</v>
      </c>
      <c r="E69" s="3"/>
    </row>
    <row r="70" spans="1:5" x14ac:dyDescent="0.25">
      <c r="A70" s="6">
        <v>69</v>
      </c>
      <c r="B70" s="6">
        <v>1508500000</v>
      </c>
      <c r="C70" s="2" t="s">
        <v>6</v>
      </c>
      <c r="D70" s="4">
        <f ca="1">IFERROR(__xludf.DUMMYFUNCTION("B70*GOOGLEFINANCE(""CURRENCY:USDINR"")"),114042599999.999)</f>
        <v>114042599999.99899</v>
      </c>
      <c r="E70" s="3"/>
    </row>
    <row r="71" spans="1:5" x14ac:dyDescent="0.25">
      <c r="A71" s="6">
        <v>70</v>
      </c>
      <c r="B71" s="6">
        <v>2509000000</v>
      </c>
      <c r="C71" s="2" t="s">
        <v>6</v>
      </c>
      <c r="D71" s="4">
        <f ca="1">IFERROR(__xludf.DUMMYFUNCTION("B71*GOOGLEFINANCE(""CURRENCY:USDINR"")"),189680400000)</f>
        <v>189680400000</v>
      </c>
      <c r="E71" s="3"/>
    </row>
    <row r="72" spans="1:5" x14ac:dyDescent="0.25">
      <c r="A72" s="6">
        <v>71</v>
      </c>
      <c r="B72" s="6">
        <v>2944000000</v>
      </c>
      <c r="C72" s="2" t="s">
        <v>6</v>
      </c>
      <c r="D72" s="4">
        <f ca="1">IFERROR(__xludf.DUMMYFUNCTION("B72*GOOGLEFINANCE(""CURRENCY:USDINR"")"),222566399999.999)</f>
        <v>222566399999.99899</v>
      </c>
      <c r="E72" s="3"/>
    </row>
    <row r="73" spans="1:5" x14ac:dyDescent="0.25">
      <c r="A73" s="6">
        <v>72</v>
      </c>
      <c r="B73" s="6">
        <v>3161500000</v>
      </c>
      <c r="C73" s="2" t="s">
        <v>6</v>
      </c>
      <c r="D73" s="4">
        <f ca="1">IFERROR(__xludf.DUMMYFUNCTION("B73*GOOGLEFINANCE(""CURRENCY:USDINR"")"),239009399999.999)</f>
        <v>239009399999.99899</v>
      </c>
      <c r="E73" s="3"/>
    </row>
    <row r="74" spans="1:5" x14ac:dyDescent="0.25">
      <c r="A74" s="6">
        <v>73</v>
      </c>
      <c r="B74" s="6">
        <v>3596500000</v>
      </c>
      <c r="C74" s="2" t="s">
        <v>6</v>
      </c>
      <c r="D74" s="4">
        <f ca="1">IFERROR(__xludf.DUMMYFUNCTION("B74*GOOGLEFINANCE(""CURRENCY:USDINR"")"),271895399999.999)</f>
        <v>271895399999.99899</v>
      </c>
      <c r="E74" s="3"/>
    </row>
    <row r="75" spans="1:5" x14ac:dyDescent="0.25">
      <c r="A75" s="6">
        <v>74</v>
      </c>
      <c r="B75" s="6">
        <v>943000000</v>
      </c>
      <c r="C75" s="2" t="s">
        <v>6</v>
      </c>
      <c r="D75" s="4">
        <f ca="1">IFERROR(__xludf.DUMMYFUNCTION("B75*GOOGLEFINANCE(""CURRENCY:USDINR"")"),71290800000)</f>
        <v>71290800000</v>
      </c>
      <c r="E75" s="3"/>
    </row>
    <row r="76" spans="1:5" x14ac:dyDescent="0.25">
      <c r="A76" s="6">
        <v>75</v>
      </c>
      <c r="B76" s="6">
        <v>3002000000</v>
      </c>
      <c r="C76" s="2" t="s">
        <v>6</v>
      </c>
      <c r="D76" s="4">
        <f ca="1">IFERROR(__xludf.DUMMYFUNCTION("B76*GOOGLEFINANCE(""CURRENCY:USDINR"")"),226951199999.999)</f>
        <v>226951199999.99899</v>
      </c>
      <c r="E76" s="3"/>
    </row>
    <row r="77" spans="1:5" x14ac:dyDescent="0.25">
      <c r="A77" s="6">
        <v>76</v>
      </c>
      <c r="B77" s="6">
        <v>3379000000</v>
      </c>
      <c r="C77" s="2" t="s">
        <v>6</v>
      </c>
      <c r="D77" s="4">
        <f ca="1">IFERROR(__xludf.DUMMYFUNCTION("B77*GOOGLEFINANCE(""CURRENCY:USDINR"")"),255452399999.999)</f>
        <v>255452399999.99899</v>
      </c>
      <c r="E77" s="3"/>
    </row>
    <row r="78" spans="1:5" x14ac:dyDescent="0.25">
      <c r="A78" s="6">
        <v>77</v>
      </c>
      <c r="B78" s="6">
        <v>928500000</v>
      </c>
      <c r="C78" s="2" t="s">
        <v>6</v>
      </c>
      <c r="D78" s="4">
        <f ca="1">IFERROR(__xludf.DUMMYFUNCTION("B78*GOOGLEFINANCE(""CURRENCY:USDINR"")"),70194600000)</f>
        <v>70194600000</v>
      </c>
      <c r="E78" s="3"/>
    </row>
    <row r="79" spans="1:5" x14ac:dyDescent="0.25">
      <c r="A79" s="6">
        <v>78</v>
      </c>
      <c r="B79" s="6">
        <v>914000000</v>
      </c>
      <c r="C79" s="2" t="s">
        <v>6</v>
      </c>
      <c r="D79" s="4">
        <f ca="1">IFERROR(__xludf.DUMMYFUNCTION("B79*GOOGLEFINANCE(""CURRENCY:USDINR"")"),69098400000)</f>
        <v>69098400000</v>
      </c>
      <c r="E79" s="3"/>
    </row>
    <row r="80" spans="1:5" x14ac:dyDescent="0.25">
      <c r="A80" s="6">
        <v>79</v>
      </c>
      <c r="B80" s="6">
        <v>2668500000</v>
      </c>
      <c r="C80" s="2" t="s">
        <v>6</v>
      </c>
      <c r="D80" s="4">
        <f ca="1">IFERROR(__xludf.DUMMYFUNCTION("B80*GOOGLEFINANCE(""CURRENCY:USDINR"")"),201738600000)</f>
        <v>201738600000</v>
      </c>
      <c r="E80" s="3"/>
    </row>
    <row r="81" spans="1:5" x14ac:dyDescent="0.25">
      <c r="A81" s="6">
        <v>80</v>
      </c>
      <c r="B81" s="6">
        <v>2712000000</v>
      </c>
      <c r="C81" s="2" t="s">
        <v>6</v>
      </c>
      <c r="D81" s="4">
        <f ca="1">IFERROR(__xludf.DUMMYFUNCTION("B81*GOOGLEFINANCE(""CURRENCY:USDINR"")"),205027199999.999)</f>
        <v>205027199999.99899</v>
      </c>
      <c r="E81" s="3"/>
    </row>
    <row r="82" spans="1:5" x14ac:dyDescent="0.25">
      <c r="A82" s="6">
        <v>81</v>
      </c>
      <c r="B82" s="6">
        <v>827000000</v>
      </c>
      <c r="C82" s="2" t="s">
        <v>6</v>
      </c>
      <c r="D82" s="4">
        <f ca="1">IFERROR(__xludf.DUMMYFUNCTION("B82*GOOGLEFINANCE(""CURRENCY:USDINR"")"),62521199999.9999)</f>
        <v>62521199999.999901</v>
      </c>
      <c r="E82" s="3"/>
    </row>
    <row r="83" spans="1:5" x14ac:dyDescent="0.25">
      <c r="A83" s="6">
        <v>82</v>
      </c>
      <c r="B83" s="6">
        <v>2871500000</v>
      </c>
      <c r="C83" s="2" t="s">
        <v>6</v>
      </c>
      <c r="D83" s="4">
        <f ca="1">IFERROR(__xludf.DUMMYFUNCTION("B83*GOOGLEFINANCE(""CURRENCY:USDINR"")"),217085399999.999)</f>
        <v>217085399999.99899</v>
      </c>
      <c r="E83" s="3"/>
    </row>
    <row r="84" spans="1:5" x14ac:dyDescent="0.25">
      <c r="A84" s="6">
        <v>83</v>
      </c>
      <c r="B84" s="6">
        <v>3248500000</v>
      </c>
      <c r="C84" s="2" t="s">
        <v>6</v>
      </c>
      <c r="D84" s="4">
        <f ca="1">IFERROR(__xludf.DUMMYFUNCTION("B84*GOOGLEFINANCE(""CURRENCY:USDINR"")"),245586599999.999)</f>
        <v>245586599999.99899</v>
      </c>
      <c r="E84" s="3"/>
    </row>
    <row r="85" spans="1:5" x14ac:dyDescent="0.25">
      <c r="A85" s="6">
        <v>84</v>
      </c>
      <c r="B85" s="6">
        <v>-100000</v>
      </c>
      <c r="C85" s="2" t="s">
        <v>6</v>
      </c>
      <c r="D85" s="4">
        <f ca="1">IFERROR(__xludf.DUMMYFUNCTION("B85*GOOGLEFINANCE(""CURRENCY:USDINR"")"),-7559999.99999999)</f>
        <v>-7559999.9999999898</v>
      </c>
      <c r="E85" s="3"/>
    </row>
    <row r="86" spans="1:5" x14ac:dyDescent="0.25">
      <c r="A86" s="6">
        <v>85</v>
      </c>
      <c r="B86" s="6">
        <v>1210650000</v>
      </c>
      <c r="C86" s="2" t="s">
        <v>6</v>
      </c>
      <c r="D86" s="4">
        <f ca="1">IFERROR(__xludf.DUMMYFUNCTION("B86*GOOGLEFINANCE(""CURRENCY:USDINR"")"),91525140000)</f>
        <v>91525140000</v>
      </c>
      <c r="E86" s="3"/>
    </row>
    <row r="87" spans="1:5" x14ac:dyDescent="0.25">
      <c r="A87" s="6">
        <v>86</v>
      </c>
      <c r="B87" s="6">
        <v>1000220000</v>
      </c>
      <c r="C87" s="2" t="s">
        <v>6</v>
      </c>
      <c r="D87" s="4">
        <f ca="1">IFERROR(__xludf.DUMMYFUNCTION("B87*GOOGLEFINANCE(""CURRENCY:USDINR"")"),75616632000)</f>
        <v>75616632000</v>
      </c>
      <c r="E87" s="3"/>
    </row>
    <row r="88" spans="1:5" x14ac:dyDescent="0.25">
      <c r="A88" s="6">
        <v>87</v>
      </c>
      <c r="B88" s="6">
        <v>789790000</v>
      </c>
      <c r="C88" s="2" t="s">
        <v>6</v>
      </c>
      <c r="D88" s="4">
        <f ca="1">IFERROR(__xludf.DUMMYFUNCTION("B88*GOOGLEFINANCE(""CURRENCY:USDINR"")"),59708123999.9999)</f>
        <v>59708123999.999901</v>
      </c>
      <c r="E88" s="3"/>
    </row>
    <row r="89" spans="1:5" x14ac:dyDescent="0.25">
      <c r="A89" s="6">
        <v>88</v>
      </c>
      <c r="B89" s="6">
        <v>579360000</v>
      </c>
      <c r="C89" s="2" t="s">
        <v>6</v>
      </c>
      <c r="D89" s="4">
        <f ca="1">IFERROR(__xludf.DUMMYFUNCTION("B89*GOOGLEFINANCE(""CURRENCY:USDINR"")"),43799616000)</f>
        <v>43799616000</v>
      </c>
      <c r="E89" s="3"/>
    </row>
    <row r="90" spans="1:5" x14ac:dyDescent="0.25">
      <c r="A90" s="6">
        <v>89</v>
      </c>
      <c r="B90" s="6">
        <v>368930000</v>
      </c>
      <c r="C90" s="2" t="s">
        <v>6</v>
      </c>
      <c r="D90" s="4">
        <f ca="1">IFERROR(__xludf.DUMMYFUNCTION("B90*GOOGLEFINANCE(""CURRENCY:USDINR"")"),27891107999.9999)</f>
        <v>27891107999.999901</v>
      </c>
      <c r="E90" s="3"/>
    </row>
    <row r="91" spans="1:5" x14ac:dyDescent="0.25">
      <c r="A91" s="6">
        <v>90</v>
      </c>
      <c r="B91" s="6">
        <v>158500000</v>
      </c>
      <c r="C91" s="2" t="s">
        <v>6</v>
      </c>
      <c r="D91" s="4">
        <f ca="1">IFERROR(__xludf.DUMMYFUNCTION("B91*GOOGLEFINANCE(""CURRENCY:USDINR"")"),11982600000)</f>
        <v>11982600000</v>
      </c>
      <c r="E91" s="3"/>
    </row>
    <row r="92" spans="1:5" x14ac:dyDescent="0.25">
      <c r="A92" s="6">
        <v>91</v>
      </c>
      <c r="B92" s="6">
        <v>-51930000</v>
      </c>
      <c r="C92" s="2" t="s">
        <v>6</v>
      </c>
      <c r="D92" s="4">
        <f ca="1">IFERROR(__xludf.DUMMYFUNCTION("B92*GOOGLEFINANCE(""CURRENCY:USDINR"")"),-3925907999.99999)</f>
        <v>-3925907999.99999</v>
      </c>
      <c r="E92" s="3"/>
    </row>
    <row r="93" spans="1:5" x14ac:dyDescent="0.25">
      <c r="A93" s="6">
        <v>92</v>
      </c>
      <c r="B93" s="6">
        <v>-262360000</v>
      </c>
      <c r="C93" s="2" t="s">
        <v>6</v>
      </c>
      <c r="D93" s="4">
        <f ca="1">IFERROR(__xludf.DUMMYFUNCTION("B93*GOOGLEFINANCE(""CURRENCY:USDINR"")"),-19834416000)</f>
        <v>-19834416000</v>
      </c>
      <c r="E93" s="3"/>
    </row>
    <row r="94" spans="1:5" x14ac:dyDescent="0.25">
      <c r="A94" s="6">
        <v>93</v>
      </c>
      <c r="B94" s="6">
        <v>-472790000</v>
      </c>
      <c r="C94" s="2" t="s">
        <v>6</v>
      </c>
      <c r="D94" s="4">
        <f ca="1">IFERROR(__xludf.DUMMYFUNCTION("B94*GOOGLEFINANCE(""CURRENCY:USDINR"")"),-35742924000)</f>
        <v>-35742924000</v>
      </c>
      <c r="E94" s="3"/>
    </row>
    <row r="95" spans="1:5" x14ac:dyDescent="0.25">
      <c r="A95" s="6">
        <v>94</v>
      </c>
      <c r="B95" s="6">
        <v>-683220000</v>
      </c>
      <c r="C95" s="2" t="s">
        <v>6</v>
      </c>
      <c r="D95" s="4">
        <f ca="1">IFERROR(__xludf.DUMMYFUNCTION("B95*GOOGLEFINANCE(""CURRENCY:USDINR"")"),-51651431999.9999)</f>
        <v>-51651431999.999901</v>
      </c>
      <c r="E95" s="3"/>
    </row>
    <row r="96" spans="1:5" x14ac:dyDescent="0.25">
      <c r="A96" s="6">
        <v>95</v>
      </c>
      <c r="B96" s="6">
        <v>-893650000</v>
      </c>
      <c r="C96" s="2" t="s">
        <v>6</v>
      </c>
      <c r="D96" s="4">
        <f ca="1">IFERROR(__xludf.DUMMYFUNCTION("B96*GOOGLEFINANCE(""CURRENCY:USDINR"")"),-67559939999.9999)</f>
        <v>-67559939999.999901</v>
      </c>
      <c r="E96" s="3"/>
    </row>
    <row r="97" spans="1:5" x14ac:dyDescent="0.25">
      <c r="A97" s="6">
        <v>96</v>
      </c>
      <c r="B97" s="6">
        <v>-1104080000</v>
      </c>
      <c r="C97" s="2" t="s">
        <v>6</v>
      </c>
      <c r="D97" s="4">
        <f ca="1">IFERROR(__xludf.DUMMYFUNCTION("B97*GOOGLEFINANCE(""CURRENCY:USDINR"")"),-83468448000)</f>
        <v>-83468448000</v>
      </c>
      <c r="E97" s="3"/>
    </row>
    <row r="98" spans="1:5" x14ac:dyDescent="0.25">
      <c r="A98" s="6">
        <v>97</v>
      </c>
      <c r="B98" s="6">
        <v>-1314510000</v>
      </c>
      <c r="C98" s="2" t="s">
        <v>6</v>
      </c>
      <c r="D98" s="4">
        <f ca="1">IFERROR(__xludf.DUMMYFUNCTION("B98*GOOGLEFINANCE(""CURRENCY:USDINR"")"),-99376956000)</f>
        <v>-99376956000</v>
      </c>
      <c r="E98" s="3"/>
    </row>
    <row r="99" spans="1:5" x14ac:dyDescent="0.25">
      <c r="A99" s="6">
        <v>98</v>
      </c>
      <c r="B99" s="6">
        <v>-1524940000</v>
      </c>
      <c r="C99" s="2" t="s">
        <v>6</v>
      </c>
      <c r="D99" s="4">
        <f ca="1">IFERROR(__xludf.DUMMYFUNCTION("B99*GOOGLEFINANCE(""CURRENCY:USDINR"")"),-115285463999.999)</f>
        <v>-115285463999.99899</v>
      </c>
      <c r="E99" s="3"/>
    </row>
    <row r="100" spans="1:5" x14ac:dyDescent="0.25">
      <c r="A100" s="6">
        <v>99</v>
      </c>
      <c r="B100" s="6">
        <v>-1735370000</v>
      </c>
      <c r="C100" s="2" t="s">
        <v>6</v>
      </c>
      <c r="D100" s="4">
        <f ca="1">IFERROR(__xludf.DUMMYFUNCTION("B100*GOOGLEFINANCE(""CURRENCY:USDINR"")"),-131193971999.999)</f>
        <v>-131193971999.99899</v>
      </c>
      <c r="E100" s="3"/>
    </row>
    <row r="101" spans="1:5" x14ac:dyDescent="0.25">
      <c r="A101" s="6">
        <v>100</v>
      </c>
      <c r="B101" s="6">
        <v>-1945800000</v>
      </c>
      <c r="C101" s="2" t="s">
        <v>6</v>
      </c>
      <c r="D101" s="4">
        <f ca="1">IFERROR(__xludf.DUMMYFUNCTION("B101*GOOGLEFINANCE(""CURRENCY:USDINR"")"),-147102480000)</f>
        <v>-147102480000</v>
      </c>
      <c r="E101" s="3"/>
    </row>
    <row r="102" spans="1:5" x14ac:dyDescent="0.25">
      <c r="A102" s="6">
        <v>101</v>
      </c>
      <c r="B102" s="6">
        <v>-2156230000</v>
      </c>
      <c r="C102" s="2" t="s">
        <v>6</v>
      </c>
      <c r="D102" s="4">
        <f ca="1">IFERROR(__xludf.DUMMYFUNCTION("B102*GOOGLEFINANCE(""CURRENCY:USDINR"")"),-163010988000)</f>
        <v>-163010988000</v>
      </c>
      <c r="E102" s="3"/>
    </row>
    <row r="103" spans="1:5" x14ac:dyDescent="0.25">
      <c r="A103" s="6">
        <v>102</v>
      </c>
      <c r="B103" s="6">
        <v>-2366660000</v>
      </c>
      <c r="C103" s="2" t="s">
        <v>6</v>
      </c>
      <c r="D103" s="4">
        <f ca="1">IFERROR(__xludf.DUMMYFUNCTION("B103*GOOGLEFINANCE(""CURRENCY:USDINR"")"),-178919496000)</f>
        <v>-178919496000</v>
      </c>
      <c r="E103" s="3"/>
    </row>
    <row r="104" spans="1:5" x14ac:dyDescent="0.25">
      <c r="A104" s="6">
        <v>103</v>
      </c>
      <c r="B104" s="6">
        <v>-2577090000</v>
      </c>
      <c r="C104" s="2" t="s">
        <v>6</v>
      </c>
      <c r="D104" s="4">
        <f ca="1">IFERROR(__xludf.DUMMYFUNCTION("B104*GOOGLEFINANCE(""CURRENCY:USDINR"")"),-194828004000)</f>
        <v>-194828004000</v>
      </c>
      <c r="E104" s="3"/>
    </row>
    <row r="105" spans="1:5" x14ac:dyDescent="0.25">
      <c r="A105" s="6">
        <v>104</v>
      </c>
      <c r="B105" s="6">
        <v>-2787520000</v>
      </c>
      <c r="C105" s="2" t="s">
        <v>6</v>
      </c>
      <c r="D105" s="4">
        <f ca="1">IFERROR(__xludf.DUMMYFUNCTION("B105*GOOGLEFINANCE(""CURRENCY:USDINR"")"),-210736511999.999)</f>
        <v>-210736511999.99899</v>
      </c>
      <c r="E105" s="3"/>
    </row>
    <row r="106" spans="1:5" x14ac:dyDescent="0.25">
      <c r="A106" s="6">
        <v>105</v>
      </c>
      <c r="B106" s="6">
        <v>-2997950000</v>
      </c>
      <c r="C106" s="2" t="s">
        <v>6</v>
      </c>
      <c r="D106" s="4">
        <f ca="1">IFERROR(__xludf.DUMMYFUNCTION("B106*GOOGLEFINANCE(""CURRENCY:USDINR"")"),-226645019999.999)</f>
        <v>-226645019999.99899</v>
      </c>
      <c r="E106" s="3"/>
    </row>
    <row r="107" spans="1:5" x14ac:dyDescent="0.25">
      <c r="A107" s="6">
        <v>106</v>
      </c>
      <c r="B107" s="6">
        <v>-3208380000</v>
      </c>
      <c r="C107" s="2" t="s">
        <v>6</v>
      </c>
      <c r="D107" s="4">
        <f ca="1">IFERROR(__xludf.DUMMYFUNCTION("B107*GOOGLEFINANCE(""CURRENCY:USDINR"")"),-242553527999.999)</f>
        <v>-242553527999.99899</v>
      </c>
      <c r="E107" s="3"/>
    </row>
    <row r="108" spans="1:5" x14ac:dyDescent="0.25">
      <c r="A108" s="6">
        <v>107</v>
      </c>
      <c r="B108" s="6">
        <v>-3418810000</v>
      </c>
      <c r="C108" s="2" t="s">
        <v>6</v>
      </c>
      <c r="D108" s="4">
        <f ca="1">IFERROR(__xludf.DUMMYFUNCTION("B108*GOOGLEFINANCE(""CURRENCY:USDINR"")"),-258462035999.999)</f>
        <v>-258462035999.99899</v>
      </c>
      <c r="E108" s="3"/>
    </row>
    <row r="109" spans="1:5" x14ac:dyDescent="0.25">
      <c r="A109" s="6">
        <v>108</v>
      </c>
      <c r="B109" s="6">
        <v>-3629240000</v>
      </c>
      <c r="C109" s="2" t="s">
        <v>6</v>
      </c>
      <c r="D109" s="4">
        <f ca="1">IFERROR(__xludf.DUMMYFUNCTION("B109*GOOGLEFINANCE(""CURRENCY:USDINR"")"),-274370543999.999)</f>
        <v>-274370543999.99899</v>
      </c>
      <c r="E109" s="3"/>
    </row>
    <row r="110" spans="1:5" x14ac:dyDescent="0.25">
      <c r="A110" s="6">
        <v>109</v>
      </c>
      <c r="B110" s="6">
        <v>-3839670000</v>
      </c>
      <c r="C110" s="2" t="s">
        <v>6</v>
      </c>
      <c r="D110" s="4">
        <f ca="1">IFERROR(__xludf.DUMMYFUNCTION("B110*GOOGLEFINANCE(""CURRENCY:USDINR"")"),-290279052000)</f>
        <v>-290279052000</v>
      </c>
      <c r="E110" s="3"/>
    </row>
    <row r="111" spans="1:5" x14ac:dyDescent="0.25">
      <c r="A111" s="6">
        <v>110</v>
      </c>
      <c r="B111" s="6">
        <v>-4050100000</v>
      </c>
      <c r="C111" s="2" t="s">
        <v>6</v>
      </c>
      <c r="D111" s="4">
        <f ca="1">IFERROR(__xludf.DUMMYFUNCTION("B111*GOOGLEFINANCE(""CURRENCY:USDINR"")"),-306187560000)</f>
        <v>-306187560000</v>
      </c>
      <c r="E111" s="3"/>
    </row>
    <row r="112" spans="1:5" x14ac:dyDescent="0.25">
      <c r="A112" s="6">
        <v>111</v>
      </c>
      <c r="B112" s="6">
        <v>-4260530000</v>
      </c>
      <c r="C112" s="2" t="s">
        <v>6</v>
      </c>
      <c r="D112" s="4">
        <f ca="1">IFERROR(__xludf.DUMMYFUNCTION("B112*GOOGLEFINANCE(""CURRENCY:USDINR"")"),-322096068000)</f>
        <v>-322096068000</v>
      </c>
      <c r="E112" s="3"/>
    </row>
    <row r="113" spans="1:5" x14ac:dyDescent="0.25">
      <c r="A113" s="6">
        <v>112</v>
      </c>
      <c r="B113" s="6">
        <v>-4470960000</v>
      </c>
      <c r="C113" s="2" t="s">
        <v>6</v>
      </c>
      <c r="D113" s="4">
        <f ca="1">IFERROR(__xludf.DUMMYFUNCTION("B113*GOOGLEFINANCE(""CURRENCY:USDINR"")"),-338004576000)</f>
        <v>-338004576000</v>
      </c>
      <c r="E113" s="3"/>
    </row>
    <row r="114" spans="1:5" x14ac:dyDescent="0.25">
      <c r="A114" s="6">
        <v>113</v>
      </c>
      <c r="B114" s="6">
        <v>-4681390000</v>
      </c>
      <c r="C114" s="2" t="s">
        <v>6</v>
      </c>
      <c r="D114" s="4">
        <f ca="1">IFERROR(__xludf.DUMMYFUNCTION("B114*GOOGLEFINANCE(""CURRENCY:USDINR"")"),-353913084000)</f>
        <v>-353913084000</v>
      </c>
      <c r="E114" s="3"/>
    </row>
    <row r="115" spans="1:5" x14ac:dyDescent="0.25">
      <c r="A115" s="6">
        <v>114</v>
      </c>
      <c r="B115" s="6">
        <v>-4891820000</v>
      </c>
      <c r="C115" s="2" t="s">
        <v>6</v>
      </c>
      <c r="D115" s="4">
        <f ca="1">IFERROR(__xludf.DUMMYFUNCTION("B115*GOOGLEFINANCE(""CURRENCY:USDINR"")"),-369821592000)</f>
        <v>-369821592000</v>
      </c>
      <c r="E115" s="3"/>
    </row>
    <row r="116" spans="1:5" x14ac:dyDescent="0.25">
      <c r="A116" s="6">
        <v>115</v>
      </c>
      <c r="B116" s="6">
        <v>-5102250000</v>
      </c>
      <c r="C116" s="2" t="s">
        <v>6</v>
      </c>
      <c r="D116" s="4">
        <f ca="1">IFERROR(__xludf.DUMMYFUNCTION("B116*GOOGLEFINANCE(""CURRENCY:USDINR"")"),-385730100000)</f>
        <v>-385730100000</v>
      </c>
      <c r="E116" s="3"/>
    </row>
    <row r="117" spans="1:5" x14ac:dyDescent="0.25">
      <c r="A117" s="6">
        <v>116</v>
      </c>
      <c r="B117" s="6">
        <v>-5312680000</v>
      </c>
      <c r="C117" s="2" t="s">
        <v>6</v>
      </c>
      <c r="D117" s="4">
        <f ca="1">IFERROR(__xludf.DUMMYFUNCTION("B117*GOOGLEFINANCE(""CURRENCY:USDINR"")"),-401638608000)</f>
        <v>-401638608000</v>
      </c>
      <c r="E117" s="3"/>
    </row>
    <row r="118" spans="1:5" x14ac:dyDescent="0.25">
      <c r="A118" s="6">
        <v>117</v>
      </c>
      <c r="B118" s="6">
        <v>-5523110000</v>
      </c>
      <c r="C118" s="2" t="s">
        <v>6</v>
      </c>
      <c r="D118" s="4">
        <f ca="1">IFERROR(__xludf.DUMMYFUNCTION("B118*GOOGLEFINANCE(""CURRENCY:USDINR"")"),-417547115999.999)</f>
        <v>-417547115999.99902</v>
      </c>
      <c r="E118" s="3"/>
    </row>
    <row r="119" spans="1:5" x14ac:dyDescent="0.25">
      <c r="A119" s="6">
        <v>118</v>
      </c>
      <c r="B119" s="6">
        <v>-5733540000</v>
      </c>
      <c r="C119" s="2" t="s">
        <v>6</v>
      </c>
      <c r="D119" s="4">
        <f ca="1">IFERROR(__xludf.DUMMYFUNCTION("B119*GOOGLEFINANCE(""CURRENCY:USDINR"")"),-433455623999.999)</f>
        <v>-433455623999.99902</v>
      </c>
      <c r="E119" s="3"/>
    </row>
    <row r="120" spans="1:5" x14ac:dyDescent="0.25">
      <c r="A120" s="6">
        <v>119</v>
      </c>
      <c r="B120" s="6">
        <v>-5943970000</v>
      </c>
      <c r="C120" s="2" t="s">
        <v>6</v>
      </c>
      <c r="D120" s="4">
        <f ca="1">IFERROR(__xludf.DUMMYFUNCTION("B120*GOOGLEFINANCE(""CURRENCY:USDINR"")"),-449364131999.999)</f>
        <v>-449364131999.99902</v>
      </c>
      <c r="E120" s="3"/>
    </row>
    <row r="121" spans="1:5" x14ac:dyDescent="0.25">
      <c r="A121" s="6">
        <v>120</v>
      </c>
      <c r="B121" s="6">
        <v>-6154400000</v>
      </c>
      <c r="C121" s="2" t="s">
        <v>6</v>
      </c>
      <c r="D121" s="4">
        <f ca="1">IFERROR(__xludf.DUMMYFUNCTION("B121*GOOGLEFINANCE(""CURRENCY:USDINR"")"),-465272639999.999)</f>
        <v>-465272639999.99902</v>
      </c>
      <c r="E121" s="3"/>
    </row>
    <row r="122" spans="1:5" x14ac:dyDescent="0.25">
      <c r="A122" s="6">
        <v>121</v>
      </c>
      <c r="B122" s="6">
        <v>-6364830000</v>
      </c>
      <c r="C122" s="2" t="s">
        <v>6</v>
      </c>
      <c r="D122" s="4">
        <f ca="1">IFERROR(__xludf.DUMMYFUNCTION("B122*GOOGLEFINANCE(""CURRENCY:USDINR"")"),-481181147999.999)</f>
        <v>-481181147999.99902</v>
      </c>
      <c r="E122" s="3"/>
    </row>
    <row r="123" spans="1:5" x14ac:dyDescent="0.25">
      <c r="A123" s="6">
        <v>122</v>
      </c>
      <c r="B123" s="6">
        <v>-6575260000</v>
      </c>
      <c r="C123" s="2" t="s">
        <v>6</v>
      </c>
      <c r="D123" s="4">
        <f ca="1">IFERROR(__xludf.DUMMYFUNCTION("B123*GOOGLEFINANCE(""CURRENCY:USDINR"")"),-497089655999.999)</f>
        <v>-497089655999.99902</v>
      </c>
      <c r="E123" s="3"/>
    </row>
    <row r="124" spans="1:5" x14ac:dyDescent="0.25">
      <c r="A124" s="6">
        <v>123</v>
      </c>
      <c r="B124" s="6">
        <v>-6785690000</v>
      </c>
      <c r="C124" s="2" t="s">
        <v>6</v>
      </c>
      <c r="D124" s="4">
        <f ca="1">IFERROR(__xludf.DUMMYFUNCTION("B124*GOOGLEFINANCE(""CURRENCY:USDINR"")"),-512998163999.999)</f>
        <v>-512998163999.99902</v>
      </c>
      <c r="E124" s="3"/>
    </row>
    <row r="125" spans="1:5" x14ac:dyDescent="0.25">
      <c r="A125" s="6">
        <v>124</v>
      </c>
      <c r="B125" s="6">
        <v>-6996120000</v>
      </c>
      <c r="C125" s="2" t="s">
        <v>6</v>
      </c>
      <c r="D125" s="4">
        <f ca="1">IFERROR(__xludf.DUMMYFUNCTION("B125*GOOGLEFINANCE(""CURRENCY:USDINR"")"),-528906671999.999)</f>
        <v>-528906671999.99902</v>
      </c>
      <c r="E125" s="3"/>
    </row>
    <row r="126" spans="1:5" x14ac:dyDescent="0.25">
      <c r="A126" s="6">
        <v>125</v>
      </c>
      <c r="B126" s="6">
        <v>-7206550000</v>
      </c>
      <c r="C126" s="2" t="s">
        <v>6</v>
      </c>
      <c r="D126" s="4">
        <f ca="1">IFERROR(__xludf.DUMMYFUNCTION("B126*GOOGLEFINANCE(""CURRENCY:USDINR"")"),-544815179999.999)</f>
        <v>-544815179999.99902</v>
      </c>
      <c r="E126" s="3"/>
    </row>
    <row r="127" spans="1:5" x14ac:dyDescent="0.25">
      <c r="A127" s="6">
        <v>126</v>
      </c>
      <c r="B127" s="6">
        <v>-7416980000</v>
      </c>
      <c r="C127" s="2" t="s">
        <v>6</v>
      </c>
      <c r="D127" s="4">
        <f ca="1">IFERROR(__xludf.DUMMYFUNCTION("B127*GOOGLEFINANCE(""CURRENCY:USDINR"")"),-560723688000)</f>
        <v>-560723688000</v>
      </c>
      <c r="E127" s="3"/>
    </row>
    <row r="128" spans="1:5" x14ac:dyDescent="0.25">
      <c r="A128" s="6">
        <v>127</v>
      </c>
      <c r="B128" s="6">
        <v>-7627410000</v>
      </c>
      <c r="C128" s="2" t="s">
        <v>6</v>
      </c>
      <c r="D128" s="4">
        <f ca="1">IFERROR(__xludf.DUMMYFUNCTION("B128*GOOGLEFINANCE(""CURRENCY:USDINR"")"),-576632196000)</f>
        <v>-576632196000</v>
      </c>
      <c r="E128" s="3"/>
    </row>
    <row r="129" spans="1:5" x14ac:dyDescent="0.25">
      <c r="A129" s="6">
        <v>128</v>
      </c>
      <c r="B129" s="6">
        <v>-7837840000</v>
      </c>
      <c r="C129" s="2" t="s">
        <v>6</v>
      </c>
      <c r="D129" s="4">
        <f ca="1">IFERROR(__xludf.DUMMYFUNCTION("B129*GOOGLEFINANCE(""CURRENCY:USDINR"")"),-592540704000)</f>
        <v>-592540704000</v>
      </c>
      <c r="E129" s="3"/>
    </row>
    <row r="130" spans="1:5" x14ac:dyDescent="0.25">
      <c r="A130" s="6">
        <v>129</v>
      </c>
      <c r="B130" s="6">
        <v>-8048270000</v>
      </c>
      <c r="C130" s="2" t="s">
        <v>6</v>
      </c>
      <c r="D130" s="4">
        <f ca="1">IFERROR(__xludf.DUMMYFUNCTION("B130*GOOGLEFINANCE(""CURRENCY:USDINR"")"),-608449212000)</f>
        <v>-608449212000</v>
      </c>
      <c r="E130" s="3"/>
    </row>
    <row r="131" spans="1:5" x14ac:dyDescent="0.25">
      <c r="A131" s="6">
        <v>130</v>
      </c>
      <c r="B131" s="6">
        <v>-8258700000</v>
      </c>
      <c r="C131" s="2" t="s">
        <v>6</v>
      </c>
      <c r="D131" s="4">
        <f ca="1">IFERROR(__xludf.DUMMYFUNCTION("B131*GOOGLEFINANCE(""CURRENCY:USDINR"")"),-624357720000)</f>
        <v>-624357720000</v>
      </c>
      <c r="E131" s="3"/>
    </row>
    <row r="132" spans="1:5" x14ac:dyDescent="0.25">
      <c r="A132" s="6">
        <v>131</v>
      </c>
      <c r="B132" s="6">
        <v>-8469130000</v>
      </c>
      <c r="C132" s="2" t="s">
        <v>6</v>
      </c>
      <c r="D132" s="4">
        <f ca="1">IFERROR(__xludf.DUMMYFUNCTION("B132*GOOGLEFINANCE(""CURRENCY:USDINR"")"),-640266228000)</f>
        <v>-640266228000</v>
      </c>
      <c r="E132" s="3"/>
    </row>
    <row r="133" spans="1:5" x14ac:dyDescent="0.25">
      <c r="A133" s="6">
        <v>132</v>
      </c>
      <c r="B133" s="6">
        <v>-8679560000</v>
      </c>
      <c r="C133" s="2" t="s">
        <v>6</v>
      </c>
      <c r="D133" s="4">
        <f ca="1">IFERROR(__xludf.DUMMYFUNCTION("B133*GOOGLEFINANCE(""CURRENCY:USDINR"")"),-656174736000)</f>
        <v>-656174736000</v>
      </c>
      <c r="E133" s="3"/>
    </row>
    <row r="134" spans="1:5" x14ac:dyDescent="0.25">
      <c r="A134" s="6">
        <v>133</v>
      </c>
      <c r="B134" s="6">
        <v>-8889990000</v>
      </c>
      <c r="C134" s="2" t="s">
        <v>6</v>
      </c>
      <c r="D134" s="4">
        <f ca="1">IFERROR(__xludf.DUMMYFUNCTION("B134*GOOGLEFINANCE(""CURRENCY:USDINR"")"),-672083244000)</f>
        <v>-672083244000</v>
      </c>
      <c r="E134" s="3"/>
    </row>
    <row r="135" spans="1:5" x14ac:dyDescent="0.25">
      <c r="A135" s="6">
        <v>134</v>
      </c>
      <c r="B135" s="6">
        <v>-9100420000</v>
      </c>
      <c r="C135" s="2" t="s">
        <v>6</v>
      </c>
      <c r="D135" s="4">
        <f ca="1">IFERROR(__xludf.DUMMYFUNCTION("B135*GOOGLEFINANCE(""CURRENCY:USDINR"")"),-687991752000)</f>
        <v>-687991752000</v>
      </c>
      <c r="E135" s="3"/>
    </row>
    <row r="136" spans="1:5" x14ac:dyDescent="0.25">
      <c r="A136" s="6">
        <v>135</v>
      </c>
      <c r="B136" s="6">
        <v>-9310850000</v>
      </c>
      <c r="C136" s="2" t="s">
        <v>6</v>
      </c>
      <c r="D136" s="4">
        <f ca="1">IFERROR(__xludf.DUMMYFUNCTION("B136*GOOGLEFINANCE(""CURRENCY:USDINR"")"),-703900260000)</f>
        <v>-703900260000</v>
      </c>
      <c r="E136" s="3"/>
    </row>
    <row r="137" spans="1:5" x14ac:dyDescent="0.25">
      <c r="A137" s="6">
        <v>136</v>
      </c>
      <c r="B137" s="6">
        <v>-9521280000</v>
      </c>
      <c r="C137" s="2" t="s">
        <v>6</v>
      </c>
      <c r="D137" s="4">
        <f ca="1">IFERROR(__xludf.DUMMYFUNCTION("B137*GOOGLEFINANCE(""CURRENCY:USDINR"")"),-719808768000)</f>
        <v>-719808768000</v>
      </c>
      <c r="E137" s="3"/>
    </row>
    <row r="138" spans="1:5" x14ac:dyDescent="0.25">
      <c r="A138" s="6">
        <v>137</v>
      </c>
      <c r="B138" s="6">
        <v>-9731710000</v>
      </c>
      <c r="C138" s="2" t="s">
        <v>6</v>
      </c>
      <c r="D138" s="4">
        <f ca="1">IFERROR(__xludf.DUMMYFUNCTION("B138*GOOGLEFINANCE(""CURRENCY:USDINR"")"),-735717276000)</f>
        <v>-735717276000</v>
      </c>
      <c r="E138" s="3"/>
    </row>
    <row r="139" spans="1:5" x14ac:dyDescent="0.25">
      <c r="A139" s="6">
        <v>138</v>
      </c>
      <c r="B139" s="6">
        <v>-9942140000</v>
      </c>
      <c r="C139" s="2" t="s">
        <v>6</v>
      </c>
      <c r="D139" s="4">
        <f ca="1">IFERROR(__xludf.DUMMYFUNCTION("B139*GOOGLEFINANCE(""CURRENCY:USDINR"")"),-751625784000)</f>
        <v>-751625784000</v>
      </c>
      <c r="E139" s="3"/>
    </row>
    <row r="140" spans="1:5" x14ac:dyDescent="0.25">
      <c r="A140" s="6">
        <v>139</v>
      </c>
      <c r="B140" s="6">
        <v>-10152570000</v>
      </c>
      <c r="C140" s="2" t="s">
        <v>6</v>
      </c>
      <c r="D140" s="4">
        <f ca="1">IFERROR(__xludf.DUMMYFUNCTION("B140*GOOGLEFINANCE(""CURRENCY:USDINR"")"),-767534292000)</f>
        <v>-767534292000</v>
      </c>
      <c r="E140" s="3"/>
    </row>
    <row r="141" spans="1:5" x14ac:dyDescent="0.25">
      <c r="A141" s="6">
        <v>140</v>
      </c>
      <c r="B141" s="6">
        <v>-10363000000</v>
      </c>
      <c r="C141" s="2" t="s">
        <v>6</v>
      </c>
      <c r="D141" s="4">
        <f ca="1">IFERROR(__xludf.DUMMYFUNCTION("B141*GOOGLEFINANCE(""CURRENCY:USDINR"")"),-783442800000)</f>
        <v>-783442800000</v>
      </c>
      <c r="E141" s="3"/>
    </row>
    <row r="142" spans="1:5" x14ac:dyDescent="0.25">
      <c r="A142" s="6">
        <v>141</v>
      </c>
      <c r="B142" s="6">
        <v>-10573430000</v>
      </c>
      <c r="C142" s="2" t="s">
        <v>6</v>
      </c>
      <c r="D142" s="4">
        <f ca="1">IFERROR(__xludf.DUMMYFUNCTION("B142*GOOGLEFINANCE(""CURRENCY:USDINR"")"),-799351308000)</f>
        <v>-799351308000</v>
      </c>
      <c r="E142" s="3"/>
    </row>
    <row r="143" spans="1:5" x14ac:dyDescent="0.25">
      <c r="A143" s="6">
        <v>142</v>
      </c>
      <c r="B143" s="6">
        <v>-10783860000</v>
      </c>
      <c r="C143" s="2" t="s">
        <v>6</v>
      </c>
      <c r="D143" s="4">
        <f ca="1">IFERROR(__xludf.DUMMYFUNCTION("B143*GOOGLEFINANCE(""CURRENCY:USDINR"")"),-815259815999.999)</f>
        <v>-815259815999.99902</v>
      </c>
      <c r="E143" s="3"/>
    </row>
    <row r="144" spans="1:5" x14ac:dyDescent="0.25">
      <c r="A144" s="6">
        <v>143</v>
      </c>
      <c r="B144" s="6">
        <v>-10994290000</v>
      </c>
      <c r="C144" s="2" t="s">
        <v>6</v>
      </c>
      <c r="D144" s="4">
        <f ca="1">IFERROR(__xludf.DUMMYFUNCTION("B144*GOOGLEFINANCE(""CURRENCY:USDINR"")"),-831168323999.999)</f>
        <v>-831168323999.99902</v>
      </c>
      <c r="E144" s="3"/>
    </row>
    <row r="145" spans="1:5" x14ac:dyDescent="0.25">
      <c r="A145" s="6">
        <v>144</v>
      </c>
      <c r="B145" s="6">
        <v>-11204720000</v>
      </c>
      <c r="C145" s="2" t="s">
        <v>6</v>
      </c>
      <c r="D145" s="4">
        <f ca="1">IFERROR(__xludf.DUMMYFUNCTION("B145*GOOGLEFINANCE(""CURRENCY:USDINR"")"),-847076831999.999)</f>
        <v>-847076831999.99902</v>
      </c>
      <c r="E145" s="3"/>
    </row>
    <row r="146" spans="1:5" x14ac:dyDescent="0.25">
      <c r="A146" s="6">
        <v>145</v>
      </c>
      <c r="B146" s="6">
        <v>-11415150000</v>
      </c>
      <c r="C146" s="2" t="s">
        <v>6</v>
      </c>
      <c r="D146" s="4">
        <f ca="1">IFERROR(__xludf.DUMMYFUNCTION("B146*GOOGLEFINANCE(""CURRENCY:USDINR"")"),-862985339999.999)</f>
        <v>-862985339999.99902</v>
      </c>
      <c r="E146" s="3"/>
    </row>
    <row r="147" spans="1:5" x14ac:dyDescent="0.25">
      <c r="A147" s="6">
        <v>146</v>
      </c>
      <c r="B147" s="6">
        <v>-11625580000</v>
      </c>
      <c r="C147" s="2" t="s">
        <v>6</v>
      </c>
      <c r="D147" s="4">
        <f ca="1">IFERROR(__xludf.DUMMYFUNCTION("B147*GOOGLEFINANCE(""CURRENCY:USDINR"")"),-878893847999.999)</f>
        <v>-878893847999.99902</v>
      </c>
      <c r="E147" s="3"/>
    </row>
    <row r="148" spans="1:5" x14ac:dyDescent="0.25">
      <c r="A148" s="6">
        <v>147</v>
      </c>
      <c r="B148" s="6">
        <v>-11836010000</v>
      </c>
      <c r="C148" s="2" t="s">
        <v>6</v>
      </c>
      <c r="D148" s="4">
        <f ca="1">IFERROR(__xludf.DUMMYFUNCTION("B148*GOOGLEFINANCE(""CURRENCY:USDINR"")"),-894802355999.999)</f>
        <v>-894802355999.99902</v>
      </c>
      <c r="E148" s="3"/>
    </row>
    <row r="149" spans="1:5" x14ac:dyDescent="0.25">
      <c r="A149" s="6">
        <v>148</v>
      </c>
      <c r="B149" s="6">
        <v>-12046440000</v>
      </c>
      <c r="C149" s="2" t="s">
        <v>6</v>
      </c>
      <c r="D149" s="4">
        <f ca="1">IFERROR(__xludf.DUMMYFUNCTION("B149*GOOGLEFINANCE(""CURRENCY:USDINR"")"),-910710863999.999)</f>
        <v>-910710863999.99902</v>
      </c>
      <c r="E149" s="3"/>
    </row>
    <row r="150" spans="1:5" x14ac:dyDescent="0.25">
      <c r="A150" s="6">
        <v>149</v>
      </c>
      <c r="B150" s="6">
        <v>-12256870000</v>
      </c>
      <c r="C150" s="2" t="s">
        <v>6</v>
      </c>
      <c r="D150" s="4">
        <f ca="1">IFERROR(__xludf.DUMMYFUNCTION("B150*GOOGLEFINANCE(""CURRENCY:USDINR"")"),-926619371999.999)</f>
        <v>-926619371999.99902</v>
      </c>
      <c r="E150" s="3"/>
    </row>
    <row r="151" spans="1:5" x14ac:dyDescent="0.25">
      <c r="A151" s="6">
        <v>150</v>
      </c>
      <c r="B151" s="6">
        <v>-12467300000</v>
      </c>
      <c r="C151" s="2" t="s">
        <v>6</v>
      </c>
      <c r="D151" s="4">
        <f ca="1">IFERROR(__xludf.DUMMYFUNCTION("B151*GOOGLEFINANCE(""CURRENCY:USDINR"")"),-942527879999.999)</f>
        <v>-942527879999.99902</v>
      </c>
      <c r="E151" s="3"/>
    </row>
    <row r="152" spans="1:5" x14ac:dyDescent="0.25">
      <c r="A152" s="6">
        <v>151</v>
      </c>
      <c r="B152" s="6">
        <v>-12677730000</v>
      </c>
      <c r="C152" s="2" t="s">
        <v>6</v>
      </c>
      <c r="D152" s="4">
        <f ca="1">IFERROR(__xludf.DUMMYFUNCTION("B152*GOOGLEFINANCE(""CURRENCY:USDINR"")"),-958436387999.999)</f>
        <v>-958436387999.99902</v>
      </c>
      <c r="E152" s="3"/>
    </row>
    <row r="153" spans="1:5" x14ac:dyDescent="0.25">
      <c r="A153" s="6">
        <v>152</v>
      </c>
      <c r="B153" s="6">
        <v>-12888160000</v>
      </c>
      <c r="C153" s="2" t="s">
        <v>6</v>
      </c>
      <c r="D153" s="4">
        <f ca="1">IFERROR(__xludf.DUMMYFUNCTION("B153*GOOGLEFINANCE(""CURRENCY:USDINR"")"),-974344895999.999)</f>
        <v>-974344895999.99902</v>
      </c>
      <c r="E153" s="3"/>
    </row>
    <row r="154" spans="1:5" x14ac:dyDescent="0.25">
      <c r="A154" s="6">
        <v>153</v>
      </c>
      <c r="B154" s="6">
        <v>-13098590000</v>
      </c>
      <c r="C154" s="2" t="s">
        <v>6</v>
      </c>
      <c r="D154" s="4">
        <f ca="1">IFERROR(__xludf.DUMMYFUNCTION("B154*GOOGLEFINANCE(""CURRENCY:USDINR"")"),-990253403999.999)</f>
        <v>-990253403999.99902</v>
      </c>
      <c r="E154" s="3"/>
    </row>
    <row r="155" spans="1:5" x14ac:dyDescent="0.25">
      <c r="A155" s="6">
        <v>154</v>
      </c>
      <c r="B155" s="6">
        <v>-13309020000</v>
      </c>
      <c r="C155" s="2" t="s">
        <v>6</v>
      </c>
      <c r="D155" s="4">
        <f ca="1">IFERROR(__xludf.DUMMYFUNCTION("B155*GOOGLEFINANCE(""CURRENCY:USDINR"")"),-1006161911999.99)</f>
        <v>-1006161911999.99</v>
      </c>
      <c r="E155" s="3"/>
    </row>
    <row r="156" spans="1:5" x14ac:dyDescent="0.25">
      <c r="A156" s="6">
        <v>155</v>
      </c>
      <c r="B156" s="6">
        <v>-13519450000</v>
      </c>
      <c r="C156" s="2" t="s">
        <v>6</v>
      </c>
      <c r="D156" s="4">
        <f ca="1">IFERROR(__xludf.DUMMYFUNCTION("B156*GOOGLEFINANCE(""CURRENCY:USDINR"")"),-1022070419999.99)</f>
        <v>-1022070419999.99</v>
      </c>
      <c r="E156" s="3"/>
    </row>
    <row r="157" spans="1:5" x14ac:dyDescent="0.25">
      <c r="A157" s="6">
        <v>156</v>
      </c>
      <c r="B157" s="6">
        <v>-13729880000</v>
      </c>
      <c r="C157" s="2" t="s">
        <v>6</v>
      </c>
      <c r="D157" s="4">
        <f ca="1">IFERROR(__xludf.DUMMYFUNCTION("B157*GOOGLEFINANCE(""CURRENCY:USDINR"")"),-1037978927999.99)</f>
        <v>-1037978927999.99</v>
      </c>
      <c r="E157" s="3"/>
    </row>
    <row r="158" spans="1:5" x14ac:dyDescent="0.25">
      <c r="A158" s="6">
        <v>157</v>
      </c>
      <c r="B158" s="6">
        <v>-13940310000</v>
      </c>
      <c r="C158" s="2" t="s">
        <v>6</v>
      </c>
      <c r="D158" s="4">
        <f ca="1">IFERROR(__xludf.DUMMYFUNCTION("B158*GOOGLEFINANCE(""CURRENCY:USDINR"")"),-1053887435999.99)</f>
        <v>-1053887435999.99</v>
      </c>
      <c r="E158" s="3"/>
    </row>
    <row r="159" spans="1:5" x14ac:dyDescent="0.25">
      <c r="A159" s="6">
        <v>158</v>
      </c>
      <c r="B159" s="6">
        <v>-14150740000</v>
      </c>
      <c r="C159" s="2" t="s">
        <v>6</v>
      </c>
      <c r="D159" s="4">
        <f ca="1">IFERROR(__xludf.DUMMYFUNCTION("B159*GOOGLEFINANCE(""CURRENCY:USDINR"")"),-1069795943999.99)</f>
        <v>-1069795943999.99</v>
      </c>
      <c r="E159" s="3"/>
    </row>
    <row r="160" spans="1:5" x14ac:dyDescent="0.25">
      <c r="A160" s="6">
        <v>159</v>
      </c>
      <c r="B160" s="6">
        <v>-14361170000</v>
      </c>
      <c r="C160" s="2" t="s">
        <v>6</v>
      </c>
      <c r="D160" s="4">
        <f ca="1">IFERROR(__xludf.DUMMYFUNCTION("B160*GOOGLEFINANCE(""CURRENCY:USDINR"")"),-1085704451999.99)</f>
        <v>-1085704451999.99</v>
      </c>
      <c r="E160" s="3"/>
    </row>
    <row r="161" spans="1:5" x14ac:dyDescent="0.25">
      <c r="A161" s="6">
        <v>160</v>
      </c>
      <c r="B161" s="6">
        <v>-14571600000</v>
      </c>
      <c r="C161" s="2" t="s">
        <v>6</v>
      </c>
      <c r="D161" s="4">
        <f ca="1">IFERROR(__xludf.DUMMYFUNCTION("B161*GOOGLEFINANCE(""CURRENCY:USDINR"")"),-1101612960000)</f>
        <v>-1101612960000</v>
      </c>
      <c r="E161" s="3"/>
    </row>
    <row r="162" spans="1:5" x14ac:dyDescent="0.25">
      <c r="A162" s="6">
        <v>161</v>
      </c>
      <c r="B162" s="6">
        <v>-14782030000</v>
      </c>
      <c r="C162" s="2" t="s">
        <v>6</v>
      </c>
      <c r="D162" s="4">
        <f ca="1">IFERROR(__xludf.DUMMYFUNCTION("B162*GOOGLEFINANCE(""CURRENCY:USDINR"")"),-1117521468000)</f>
        <v>-1117521468000</v>
      </c>
      <c r="E162" s="3"/>
    </row>
    <row r="163" spans="1:5" x14ac:dyDescent="0.25">
      <c r="A163" s="6">
        <v>162</v>
      </c>
      <c r="B163" s="6">
        <v>-14992460000</v>
      </c>
      <c r="C163" s="2" t="s">
        <v>6</v>
      </c>
      <c r="D163" s="4">
        <f ca="1">IFERROR(__xludf.DUMMYFUNCTION("B163*GOOGLEFINANCE(""CURRENCY:USDINR"")"),-1133429976000)</f>
        <v>-1133429976000</v>
      </c>
      <c r="E163" s="3"/>
    </row>
    <row r="164" spans="1:5" x14ac:dyDescent="0.25">
      <c r="A164" s="6">
        <v>163</v>
      </c>
      <c r="B164" s="6">
        <v>-15202890000</v>
      </c>
      <c r="C164" s="2" t="s">
        <v>6</v>
      </c>
      <c r="D164" s="4">
        <f ca="1">IFERROR(__xludf.DUMMYFUNCTION("B164*GOOGLEFINANCE(""CURRENCY:USDINR"")"),-1149338484000)</f>
        <v>-1149338484000</v>
      </c>
      <c r="E164" s="3"/>
    </row>
    <row r="165" spans="1:5" x14ac:dyDescent="0.25">
      <c r="A165" s="6">
        <v>164</v>
      </c>
      <c r="B165" s="6">
        <v>-15413320000</v>
      </c>
      <c r="C165" s="2" t="s">
        <v>6</v>
      </c>
      <c r="D165" s="4">
        <f ca="1">IFERROR(__xludf.DUMMYFUNCTION("B165*GOOGLEFINANCE(""CURRENCY:USDINR"")"),-1165246992000)</f>
        <v>-1165246992000</v>
      </c>
      <c r="E165" s="3"/>
    </row>
    <row r="166" spans="1:5" x14ac:dyDescent="0.25">
      <c r="A166" s="6">
        <v>165</v>
      </c>
      <c r="B166" s="6">
        <v>1044500000</v>
      </c>
      <c r="C166" s="2" t="s">
        <v>6</v>
      </c>
      <c r="D166" s="4">
        <f ca="1">IFERROR(__xludf.DUMMYFUNCTION("B166*GOOGLEFINANCE(""CURRENCY:USDINR"")"),78964200000)</f>
        <v>78964200000</v>
      </c>
      <c r="E166" s="3"/>
    </row>
    <row r="167" spans="1:5" x14ac:dyDescent="0.25">
      <c r="A167" s="6">
        <v>166</v>
      </c>
      <c r="B167" s="6">
        <v>3930000000</v>
      </c>
      <c r="C167" s="2" t="s">
        <v>6</v>
      </c>
      <c r="D167" s="4">
        <f ca="1">IFERROR(__xludf.DUMMYFUNCTION("B167*GOOGLEFINANCE(""CURRENCY:USDINR"")"),297108000000)</f>
        <v>297108000000</v>
      </c>
      <c r="E167" s="3"/>
    </row>
    <row r="168" spans="1:5" x14ac:dyDescent="0.25">
      <c r="A168" s="6">
        <v>167</v>
      </c>
      <c r="B168" s="6">
        <v>3582000000</v>
      </c>
      <c r="C168" s="2" t="s">
        <v>6</v>
      </c>
      <c r="D168" s="4">
        <f ca="1">IFERROR(__xludf.DUMMYFUNCTION("B168*GOOGLEFINANCE(""CURRENCY:USDINR"")"),270799199999.999)</f>
        <v>270799199999.99899</v>
      </c>
      <c r="E168" s="3"/>
    </row>
    <row r="169" spans="1:5" x14ac:dyDescent="0.25">
      <c r="A169" s="6">
        <v>168</v>
      </c>
      <c r="B169" s="6">
        <v>1755000000</v>
      </c>
      <c r="C169" s="2" t="s">
        <v>6</v>
      </c>
      <c r="D169" s="4">
        <f ca="1">IFERROR(__xludf.DUMMYFUNCTION("B169*GOOGLEFINANCE(""CURRENCY:USDINR"")"),132677999999.999)</f>
        <v>132677999999.99899</v>
      </c>
      <c r="E169" s="3"/>
    </row>
    <row r="170" spans="1:5" x14ac:dyDescent="0.25">
      <c r="A170" s="6">
        <v>169</v>
      </c>
      <c r="B170" s="6">
        <v>3756000000</v>
      </c>
      <c r="C170" s="2" t="s">
        <v>6</v>
      </c>
      <c r="D170" s="4">
        <f ca="1">IFERROR(__xludf.DUMMYFUNCTION("B170*GOOGLEFINANCE(""CURRENCY:USDINR"")"),283953600000)</f>
        <v>283953600000</v>
      </c>
      <c r="E170" s="3"/>
    </row>
    <row r="171" spans="1:5" x14ac:dyDescent="0.25">
      <c r="A171" s="6">
        <v>170</v>
      </c>
      <c r="B171" s="6">
        <v>2175500000</v>
      </c>
      <c r="C171" s="2" t="s">
        <v>6</v>
      </c>
      <c r="D171" s="4">
        <f ca="1">IFERROR(__xludf.DUMMYFUNCTION("B171*GOOGLEFINANCE(""CURRENCY:USDINR"")"),164467800000)</f>
        <v>164467800000</v>
      </c>
      <c r="E171" s="3"/>
    </row>
    <row r="172" spans="1:5" x14ac:dyDescent="0.25">
      <c r="A172" s="6">
        <v>171</v>
      </c>
      <c r="B172" s="6">
        <v>3234000000</v>
      </c>
      <c r="C172" s="2" t="s">
        <v>6</v>
      </c>
      <c r="D172" s="4">
        <f ca="1">IFERROR(__xludf.DUMMYFUNCTION("B172*GOOGLEFINANCE(""CURRENCY:USDINR"")"),244490399999.999)</f>
        <v>244490399999.99899</v>
      </c>
      <c r="E172" s="3"/>
    </row>
    <row r="173" spans="1:5" x14ac:dyDescent="0.25">
      <c r="A173" s="6">
        <v>172</v>
      </c>
      <c r="B173" s="6">
        <v>1711500000</v>
      </c>
      <c r="C173" s="2" t="s">
        <v>6</v>
      </c>
      <c r="D173" s="4">
        <f ca="1">IFERROR(__xludf.DUMMYFUNCTION("B173*GOOGLEFINANCE(""CURRENCY:USDINR"")"),129389399999.999)</f>
        <v>129389399999.99899</v>
      </c>
      <c r="E173" s="3"/>
    </row>
    <row r="174" spans="1:5" x14ac:dyDescent="0.25">
      <c r="A174" s="6">
        <v>173</v>
      </c>
      <c r="B174" s="6">
        <v>392000000</v>
      </c>
      <c r="C174" s="2" t="s">
        <v>6</v>
      </c>
      <c r="D174" s="4">
        <f ca="1">IFERROR(__xludf.DUMMYFUNCTION("B174*GOOGLEFINANCE(""CURRENCY:USDINR"")"),29635199999.9999)</f>
        <v>29635199999.999901</v>
      </c>
      <c r="E174" s="3"/>
    </row>
    <row r="175" spans="1:5" x14ac:dyDescent="0.25">
      <c r="A175" s="6">
        <v>174</v>
      </c>
      <c r="B175" s="6">
        <v>3843000000</v>
      </c>
      <c r="C175" s="2" t="s">
        <v>6</v>
      </c>
      <c r="D175" s="4">
        <f ca="1">IFERROR(__xludf.DUMMYFUNCTION("B175*GOOGLEFINANCE(""CURRENCY:USDINR"")"),290530800000)</f>
        <v>290530800000</v>
      </c>
      <c r="E175" s="3"/>
    </row>
    <row r="176" spans="1:5" x14ac:dyDescent="0.25">
      <c r="A176" s="6">
        <v>175</v>
      </c>
      <c r="B176" s="6">
        <v>232500000</v>
      </c>
      <c r="C176" s="2" t="s">
        <v>6</v>
      </c>
      <c r="D176" s="4">
        <f ca="1">IFERROR(__xludf.DUMMYFUNCTION("B176*GOOGLEFINANCE(""CURRENCY:USDINR"")"),17577000000)</f>
        <v>17577000000</v>
      </c>
      <c r="E176" s="3"/>
    </row>
    <row r="177" spans="1:5" x14ac:dyDescent="0.25">
      <c r="A177" s="6">
        <v>176</v>
      </c>
      <c r="B177" s="6">
        <v>885000000</v>
      </c>
      <c r="C177" s="2" t="s">
        <v>6</v>
      </c>
      <c r="D177" s="4">
        <f ca="1">IFERROR(__xludf.DUMMYFUNCTION("B177*GOOGLEFINANCE(""CURRENCY:USDINR"")"),66905999999.9999)</f>
        <v>66905999999.999901</v>
      </c>
      <c r="E177" s="3"/>
    </row>
    <row r="178" spans="1:5" x14ac:dyDescent="0.25">
      <c r="A178" s="6">
        <v>177</v>
      </c>
      <c r="B178" s="6">
        <v>1247500000</v>
      </c>
      <c r="C178" s="2" t="s">
        <v>6</v>
      </c>
      <c r="D178" s="4">
        <f ca="1">IFERROR(__xludf.DUMMYFUNCTION("B178*GOOGLEFINANCE(""CURRENCY:USDINR"")"),94311000000)</f>
        <v>94311000000</v>
      </c>
      <c r="E178" s="3"/>
    </row>
    <row r="179" spans="1:5" x14ac:dyDescent="0.25">
      <c r="A179" s="6">
        <v>178</v>
      </c>
      <c r="B179" s="6">
        <v>2233500000</v>
      </c>
      <c r="C179" s="2" t="s">
        <v>6</v>
      </c>
      <c r="D179" s="4">
        <f ca="1">IFERROR(__xludf.DUMMYFUNCTION("B179*GOOGLEFINANCE(""CURRENCY:USDINR"")"),168852600000)</f>
        <v>168852600000</v>
      </c>
      <c r="E179" s="3"/>
    </row>
    <row r="180" spans="1:5" x14ac:dyDescent="0.25">
      <c r="A180" s="6">
        <v>179</v>
      </c>
      <c r="B180" s="6">
        <v>2407500000</v>
      </c>
      <c r="C180" s="2" t="s">
        <v>6</v>
      </c>
      <c r="D180" s="4">
        <f ca="1">IFERROR(__xludf.DUMMYFUNCTION("B180*GOOGLEFINANCE(""CURRENCY:USDINR"")"),182007000000)</f>
        <v>182007000000</v>
      </c>
      <c r="E180" s="3"/>
    </row>
    <row r="181" spans="1:5" x14ac:dyDescent="0.25">
      <c r="A181" s="6">
        <v>180</v>
      </c>
      <c r="B181" s="6">
        <v>2161000000</v>
      </c>
      <c r="C181" s="2" t="s">
        <v>6</v>
      </c>
      <c r="D181" s="4">
        <f ca="1">IFERROR(__xludf.DUMMYFUNCTION("B181*GOOGLEFINANCE(""CURRENCY:USDINR"")"),163371600000)</f>
        <v>163371600000</v>
      </c>
      <c r="E181" s="3"/>
    </row>
    <row r="182" spans="1:5" x14ac:dyDescent="0.25">
      <c r="A182" s="6">
        <v>181</v>
      </c>
      <c r="B182" s="6">
        <v>73000000</v>
      </c>
      <c r="C182" s="2" t="s">
        <v>6</v>
      </c>
      <c r="D182" s="4">
        <f ca="1">IFERROR(__xludf.DUMMYFUNCTION("B182*GOOGLEFINANCE(""CURRENCY:USDINR"")"),5518800000)</f>
        <v>5518800000</v>
      </c>
      <c r="E182" s="3"/>
    </row>
    <row r="183" spans="1:5" x14ac:dyDescent="0.25">
      <c r="A183" s="6">
        <v>182</v>
      </c>
      <c r="B183" s="6">
        <v>3727000000</v>
      </c>
      <c r="C183" s="2" t="s">
        <v>6</v>
      </c>
      <c r="D183" s="4">
        <f ca="1">IFERROR(__xludf.DUMMYFUNCTION("B183*GOOGLEFINANCE(""CURRENCY:USDINR"")"),281761200000)</f>
        <v>281761200000</v>
      </c>
      <c r="E183" s="3"/>
    </row>
    <row r="184" spans="1:5" x14ac:dyDescent="0.25">
      <c r="A184" s="6">
        <v>183</v>
      </c>
      <c r="B184" s="6">
        <v>1015500000</v>
      </c>
      <c r="C184" s="2" t="s">
        <v>6</v>
      </c>
      <c r="D184" s="4">
        <f ca="1">IFERROR(__xludf.DUMMYFUNCTION("B184*GOOGLEFINANCE(""CURRENCY:USDINR"")"),76771800000)</f>
        <v>76771800000</v>
      </c>
      <c r="E184" s="3"/>
    </row>
    <row r="185" spans="1:5" x14ac:dyDescent="0.25">
      <c r="A185" s="6">
        <v>184</v>
      </c>
      <c r="B185" s="6">
        <v>2393000000</v>
      </c>
      <c r="C185" s="2" t="s">
        <v>6</v>
      </c>
      <c r="D185" s="4">
        <f ca="1">IFERROR(__xludf.DUMMYFUNCTION("B185*GOOGLEFINANCE(""CURRENCY:USDINR"")"),180910800000)</f>
        <v>180910800000</v>
      </c>
      <c r="E185" s="3"/>
    </row>
    <row r="186" spans="1:5" x14ac:dyDescent="0.25">
      <c r="A186" s="6">
        <v>185</v>
      </c>
      <c r="B186" s="6">
        <v>3625500000</v>
      </c>
      <c r="C186" s="2" t="s">
        <v>6</v>
      </c>
      <c r="D186" s="4">
        <f ca="1">IFERROR(__xludf.DUMMYFUNCTION("B186*GOOGLEFINANCE(""CURRENCY:USDINR"")"),274087799999.999)</f>
        <v>274087799999.99899</v>
      </c>
      <c r="E186" s="3"/>
    </row>
    <row r="187" spans="1:5" x14ac:dyDescent="0.25">
      <c r="A187" s="6">
        <v>186</v>
      </c>
      <c r="B187" s="6">
        <v>479000000</v>
      </c>
      <c r="C187" s="2" t="s">
        <v>6</v>
      </c>
      <c r="D187" s="4">
        <f ca="1">IFERROR(__xludf.DUMMYFUNCTION("B187*GOOGLEFINANCE(""CURRENCY:USDINR"")"),36212400000)</f>
        <v>36212400000</v>
      </c>
      <c r="E187" s="3"/>
    </row>
    <row r="188" spans="1:5" x14ac:dyDescent="0.25">
      <c r="A188" s="6">
        <v>187</v>
      </c>
      <c r="B188" s="6">
        <v>2683000000</v>
      </c>
      <c r="C188" s="2" t="s">
        <v>6</v>
      </c>
      <c r="D188" s="4">
        <f ca="1">IFERROR(__xludf.DUMMYFUNCTION("B188*GOOGLEFINANCE(""CURRENCY:USDINR"")"),202834800000)</f>
        <v>202834800000</v>
      </c>
      <c r="E188" s="3"/>
    </row>
    <row r="189" spans="1:5" x14ac:dyDescent="0.25">
      <c r="A189" s="6">
        <v>188</v>
      </c>
      <c r="B189" s="6">
        <v>1276500000</v>
      </c>
      <c r="C189" s="2" t="s">
        <v>6</v>
      </c>
      <c r="D189" s="4">
        <f ca="1">IFERROR(__xludf.DUMMYFUNCTION("B189*GOOGLEFINANCE(""CURRENCY:USDINR"")"),96503400000)</f>
        <v>96503400000</v>
      </c>
      <c r="E189" s="3"/>
    </row>
    <row r="190" spans="1:5" x14ac:dyDescent="0.25">
      <c r="A190" s="6">
        <v>189</v>
      </c>
      <c r="B190" s="6">
        <v>305000000</v>
      </c>
      <c r="C190" s="2" t="s">
        <v>6</v>
      </c>
      <c r="D190" s="4">
        <f ca="1">IFERROR(__xludf.DUMMYFUNCTION("B190*GOOGLEFINANCE(""CURRENCY:USDINR"")"),23058000000)</f>
        <v>23058000000</v>
      </c>
      <c r="E190" s="3"/>
    </row>
    <row r="191" spans="1:5" x14ac:dyDescent="0.25">
      <c r="A191" s="6">
        <v>190</v>
      </c>
      <c r="B191" s="6">
        <v>3654500000</v>
      </c>
      <c r="C191" s="2" t="s">
        <v>6</v>
      </c>
      <c r="D191" s="4">
        <f ca="1">IFERROR(__xludf.DUMMYFUNCTION("B191*GOOGLEFINANCE(""CURRENCY:USDINR"")"),276280200000)</f>
        <v>276280200000</v>
      </c>
      <c r="E191" s="3"/>
    </row>
    <row r="192" spans="1:5" x14ac:dyDescent="0.25">
      <c r="A192" s="6">
        <v>191</v>
      </c>
      <c r="B192" s="6">
        <v>203500000</v>
      </c>
      <c r="C192" s="2" t="s">
        <v>6</v>
      </c>
      <c r="D192" s="4">
        <f ca="1">IFERROR(__xludf.DUMMYFUNCTION("B192*GOOGLEFINANCE(""CURRENCY:USDINR"")"),15384599999.9999)</f>
        <v>15384599999.999901</v>
      </c>
      <c r="E192" s="3"/>
    </row>
    <row r="193" spans="1:5" x14ac:dyDescent="0.25">
      <c r="A193" s="6">
        <v>192</v>
      </c>
      <c r="B193" s="6">
        <v>2842500000</v>
      </c>
      <c r="C193" s="2" t="s">
        <v>6</v>
      </c>
      <c r="D193" s="4">
        <f ca="1">IFERROR(__xludf.DUMMYFUNCTION("B193*GOOGLEFINANCE(""CURRENCY:USDINR"")"),214892999999.999)</f>
        <v>214892999999.99899</v>
      </c>
      <c r="E193" s="3"/>
    </row>
    <row r="194" spans="1:5" x14ac:dyDescent="0.25">
      <c r="A194" s="6">
        <v>193</v>
      </c>
      <c r="B194" s="6">
        <v>500000</v>
      </c>
      <c r="C194" s="2" t="s">
        <v>6</v>
      </c>
      <c r="D194" s="4">
        <f ca="1">IFERROR(__xludf.DUMMYFUNCTION("B194*GOOGLEFINANCE(""CURRENCY:USDINR"")"),37800000)</f>
        <v>37800000</v>
      </c>
      <c r="E194" s="3"/>
    </row>
    <row r="195" spans="1:5" x14ac:dyDescent="0.25">
      <c r="A195" s="6">
        <v>194</v>
      </c>
      <c r="B195" s="6">
        <v>1798500000</v>
      </c>
      <c r="C195" s="2" t="s">
        <v>6</v>
      </c>
      <c r="D195" s="4">
        <f ca="1">IFERROR(__xludf.DUMMYFUNCTION("B195*GOOGLEFINANCE(""CURRENCY:USDINR"")"),135966599999.999)</f>
        <v>135966599999.99899</v>
      </c>
      <c r="E195" s="3"/>
    </row>
    <row r="196" spans="1:5" x14ac:dyDescent="0.25">
      <c r="A196" s="6">
        <v>195</v>
      </c>
      <c r="B196" s="6">
        <v>29500000</v>
      </c>
      <c r="C196" s="2" t="s">
        <v>6</v>
      </c>
      <c r="D196" s="4">
        <f ca="1">IFERROR(__xludf.DUMMYFUNCTION("B196*GOOGLEFINANCE(""CURRENCY:USDINR"")"),2230200000)</f>
        <v>2230200000</v>
      </c>
      <c r="E196" s="3"/>
    </row>
    <row r="197" spans="1:5" x14ac:dyDescent="0.25">
      <c r="A197" s="6">
        <v>196</v>
      </c>
      <c r="B197" s="6">
        <v>2422000000</v>
      </c>
      <c r="C197" s="2" t="s">
        <v>6</v>
      </c>
      <c r="D197" s="4">
        <f ca="1">IFERROR(__xludf.DUMMYFUNCTION("B197*GOOGLEFINANCE(""CURRENCY:USDINR"")"),183103200000)</f>
        <v>183103200000</v>
      </c>
      <c r="E197" s="3"/>
    </row>
    <row r="198" spans="1:5" x14ac:dyDescent="0.25">
      <c r="A198" s="6">
        <v>197</v>
      </c>
      <c r="B198" s="6">
        <v>1661233333.3333299</v>
      </c>
      <c r="C198" s="2" t="s">
        <v>6</v>
      </c>
      <c r="D198" s="4">
        <f ca="1">IFERROR(__xludf.DUMMYFUNCTION("B198*GOOGLEFINANCE(""CURRENCY:USDINR"")"),125589239999.999)</f>
        <v>125589239999.99899</v>
      </c>
      <c r="E198" s="3"/>
    </row>
    <row r="199" spans="1:5" x14ac:dyDescent="0.25">
      <c r="A199" s="6">
        <v>198</v>
      </c>
      <c r="B199" s="6">
        <v>1788419047.61905</v>
      </c>
      <c r="C199" s="2" t="s">
        <v>6</v>
      </c>
      <c r="D199" s="4">
        <f ca="1">IFERROR(__xludf.DUMMYFUNCTION("B199*GOOGLEFINANCE(""CURRENCY:USDINR"")"),135204480000)</f>
        <v>135204480000</v>
      </c>
      <c r="E199" s="3"/>
    </row>
    <row r="200" spans="1:5" x14ac:dyDescent="0.25">
      <c r="A200" s="6">
        <v>199</v>
      </c>
      <c r="B200" s="6">
        <v>1915604761.9047599</v>
      </c>
      <c r="C200" s="2" t="s">
        <v>6</v>
      </c>
      <c r="D200" s="4">
        <f ca="1">IFERROR(__xludf.DUMMYFUNCTION("B200*GOOGLEFINANCE(""CURRENCY:USDINR"")"),144819719999.999)</f>
        <v>144819719999.99899</v>
      </c>
      <c r="E200" s="3"/>
    </row>
    <row r="201" spans="1:5" x14ac:dyDescent="0.25">
      <c r="A201" s="6">
        <v>200</v>
      </c>
      <c r="B201" s="6">
        <v>2042790476.19047</v>
      </c>
      <c r="C201" s="2" t="s">
        <v>6</v>
      </c>
      <c r="D201" s="4">
        <f ca="1">IFERROR(__xludf.DUMMYFUNCTION("B201*GOOGLEFINANCE(""CURRENCY:USDINR"")"),154434959999.999)</f>
        <v>154434959999.99899</v>
      </c>
      <c r="E201" s="3"/>
    </row>
    <row r="202" spans="1:5" x14ac:dyDescent="0.25">
      <c r="A202" s="6">
        <v>201</v>
      </c>
      <c r="B202" s="6">
        <v>2169976190.4761901</v>
      </c>
      <c r="C202" s="2" t="s">
        <v>6</v>
      </c>
      <c r="D202" s="4">
        <f ca="1">IFERROR(__xludf.DUMMYFUNCTION("B202*GOOGLEFINANCE(""CURRENCY:USDINR"")"),164050199999.999)</f>
        <v>164050199999.99899</v>
      </c>
      <c r="E202" s="3"/>
    </row>
    <row r="203" spans="1:5" x14ac:dyDescent="0.25">
      <c r="A203" s="6">
        <v>202</v>
      </c>
      <c r="B203" s="6">
        <v>2297161904.7618999</v>
      </c>
      <c r="C203" s="2" t="s">
        <v>6</v>
      </c>
      <c r="D203" s="4">
        <f ca="1">IFERROR(__xludf.DUMMYFUNCTION("B203*GOOGLEFINANCE(""CURRENCY:USDINR"")"),173665439999.999)</f>
        <v>173665439999.99899</v>
      </c>
      <c r="E203" s="3"/>
    </row>
    <row r="204" spans="1:5" x14ac:dyDescent="0.25">
      <c r="A204" s="6">
        <v>203</v>
      </c>
      <c r="B204" s="6">
        <v>2424347619.0476198</v>
      </c>
      <c r="C204" s="2" t="s">
        <v>6</v>
      </c>
      <c r="D204" s="4">
        <f ca="1">IFERROR(__xludf.DUMMYFUNCTION("B204*GOOGLEFINANCE(""CURRENCY:USDINR"")"),183280680000)</f>
        <v>183280680000</v>
      </c>
      <c r="E204" s="3"/>
    </row>
    <row r="205" spans="1:5" x14ac:dyDescent="0.25">
      <c r="A205" s="6">
        <v>204</v>
      </c>
      <c r="B205" s="6">
        <v>2551533333.3333302</v>
      </c>
      <c r="C205" s="2" t="s">
        <v>6</v>
      </c>
      <c r="D205" s="4">
        <f ca="1">IFERROR(__xludf.DUMMYFUNCTION("B205*GOOGLEFINANCE(""CURRENCY:USDINR"")"),192895919999.999)</f>
        <v>192895919999.99899</v>
      </c>
      <c r="E205" s="3"/>
    </row>
    <row r="206" spans="1:5" x14ac:dyDescent="0.25">
      <c r="A206" s="6">
        <v>205</v>
      </c>
      <c r="B206" s="6">
        <v>2678719047.61904</v>
      </c>
      <c r="C206" s="2" t="s">
        <v>6</v>
      </c>
      <c r="D206" s="4">
        <f ca="1">IFERROR(__xludf.DUMMYFUNCTION("B206*GOOGLEFINANCE(""CURRENCY:USDINR"")"),202511159999.999)</f>
        <v>202511159999.99899</v>
      </c>
      <c r="E206" s="3"/>
    </row>
    <row r="207" spans="1:5" x14ac:dyDescent="0.25">
      <c r="A207" s="6">
        <v>206</v>
      </c>
      <c r="B207" s="6">
        <v>2805904761.9047599</v>
      </c>
      <c r="C207" s="2" t="s">
        <v>6</v>
      </c>
      <c r="D207" s="4">
        <f ca="1">IFERROR(__xludf.DUMMYFUNCTION("B207*GOOGLEFINANCE(""CURRENCY:USDINR"")"),212126399999.999)</f>
        <v>212126399999.99899</v>
      </c>
      <c r="E207" s="3"/>
    </row>
    <row r="208" spans="1:5" x14ac:dyDescent="0.25">
      <c r="A208" s="6">
        <v>207</v>
      </c>
      <c r="B208" s="6">
        <v>2933090476.1904702</v>
      </c>
      <c r="C208" s="2" t="s">
        <v>6</v>
      </c>
      <c r="D208" s="4">
        <f ca="1">IFERROR(__xludf.DUMMYFUNCTION("B208*GOOGLEFINANCE(""CURRENCY:USDINR"")"),221741639999.999)</f>
        <v>221741639999.99899</v>
      </c>
      <c r="E208" s="3"/>
    </row>
    <row r="209" spans="1:5" x14ac:dyDescent="0.25">
      <c r="A209" s="6">
        <v>208</v>
      </c>
      <c r="B209" s="6">
        <v>3060276190.4761901</v>
      </c>
      <c r="C209" s="2" t="s">
        <v>6</v>
      </c>
      <c r="D209" s="4">
        <f ca="1">IFERROR(__xludf.DUMMYFUNCTION("B209*GOOGLEFINANCE(""CURRENCY:USDINR"")"),231356879999.999)</f>
        <v>231356879999.99899</v>
      </c>
      <c r="E209" s="3"/>
    </row>
    <row r="210" spans="1:5" x14ac:dyDescent="0.25">
      <c r="A210" s="6">
        <v>209</v>
      </c>
      <c r="B210" s="6">
        <v>3187461904.7618999</v>
      </c>
      <c r="C210" s="2" t="s">
        <v>6</v>
      </c>
      <c r="D210" s="4">
        <f ca="1">IFERROR(__xludf.DUMMYFUNCTION("B210*GOOGLEFINANCE(""CURRENCY:USDINR"")"),240972119999.999)</f>
        <v>240972119999.99899</v>
      </c>
      <c r="E210" s="3"/>
    </row>
    <row r="211" spans="1:5" x14ac:dyDescent="0.25">
      <c r="A211" s="6">
        <v>210</v>
      </c>
      <c r="B211" s="6">
        <v>3314647619.0476098</v>
      </c>
      <c r="C211" s="2" t="s">
        <v>6</v>
      </c>
      <c r="D211" s="4">
        <f ca="1">IFERROR(__xludf.DUMMYFUNCTION("B211*GOOGLEFINANCE(""CURRENCY:USDINR"")"),250587359999.999)</f>
        <v>250587359999.99899</v>
      </c>
      <c r="E211" s="3"/>
    </row>
    <row r="212" spans="1:5" x14ac:dyDescent="0.25">
      <c r="A212" s="6">
        <v>211</v>
      </c>
      <c r="B212" s="6">
        <v>3441833333.3333302</v>
      </c>
      <c r="C212" s="2" t="s">
        <v>6</v>
      </c>
      <c r="D212" s="4">
        <f ca="1">IFERROR(__xludf.DUMMYFUNCTION("B212*GOOGLEFINANCE(""CURRENCY:USDINR"")"),260202599999.999)</f>
        <v>260202599999.99899</v>
      </c>
      <c r="E212" s="3"/>
    </row>
    <row r="213" spans="1:5" x14ac:dyDescent="0.25">
      <c r="A213" s="6">
        <v>212</v>
      </c>
      <c r="B213" s="6">
        <v>3569019047.61904</v>
      </c>
      <c r="C213" s="2" t="s">
        <v>6</v>
      </c>
      <c r="D213" s="4">
        <f ca="1">IFERROR(__xludf.DUMMYFUNCTION("B213*GOOGLEFINANCE(""CURRENCY:USDINR"")"),269817839999.999)</f>
        <v>269817839999.99899</v>
      </c>
      <c r="E213" s="3"/>
    </row>
    <row r="214" spans="1:5" x14ac:dyDescent="0.25">
      <c r="A214" s="6">
        <v>213</v>
      </c>
      <c r="B214" s="6">
        <v>3696204761.9047599</v>
      </c>
      <c r="C214" s="2" t="s">
        <v>6</v>
      </c>
      <c r="D214" s="4">
        <f ca="1">IFERROR(__xludf.DUMMYFUNCTION("B214*GOOGLEFINANCE(""CURRENCY:USDINR"")"),279433079999.999)</f>
        <v>279433079999.99902</v>
      </c>
      <c r="E214" s="3"/>
    </row>
    <row r="215" spans="1:5" x14ac:dyDescent="0.25">
      <c r="A215" s="6">
        <v>214</v>
      </c>
      <c r="B215" s="6">
        <v>3823390476.1904702</v>
      </c>
      <c r="C215" s="2" t="s">
        <v>6</v>
      </c>
      <c r="D215" s="4">
        <f ca="1">IFERROR(__xludf.DUMMYFUNCTION("B215*GOOGLEFINANCE(""CURRENCY:USDINR"")"),289048319999.999)</f>
        <v>289048319999.99902</v>
      </c>
      <c r="E215" s="3"/>
    </row>
    <row r="216" spans="1:5" x14ac:dyDescent="0.25">
      <c r="A216" s="6">
        <v>215</v>
      </c>
      <c r="B216" s="6">
        <v>3950576190.4761801</v>
      </c>
      <c r="C216" s="2" t="s">
        <v>6</v>
      </c>
      <c r="D216" s="4">
        <f ca="1">IFERROR(__xludf.DUMMYFUNCTION("B216*GOOGLEFINANCE(""CURRENCY:USDINR"")"),298663559999.999)</f>
        <v>298663559999.99902</v>
      </c>
      <c r="E216" s="3"/>
    </row>
    <row r="217" spans="1:5" x14ac:dyDescent="0.25">
      <c r="A217" s="6">
        <v>216</v>
      </c>
      <c r="B217" s="6">
        <v>4077761904.7618999</v>
      </c>
      <c r="C217" s="2" t="s">
        <v>6</v>
      </c>
      <c r="D217" s="4">
        <f ca="1">IFERROR(__xludf.DUMMYFUNCTION("B217*GOOGLEFINANCE(""CURRENCY:USDINR"")"),308278799999.999)</f>
        <v>308278799999.99902</v>
      </c>
      <c r="E217" s="3"/>
    </row>
    <row r="218" spans="1:5" x14ac:dyDescent="0.25">
      <c r="A218" s="6">
        <v>217</v>
      </c>
      <c r="B218" s="6">
        <v>4204947619.0476098</v>
      </c>
      <c r="C218" s="2" t="s">
        <v>6</v>
      </c>
      <c r="D218" s="4">
        <f ca="1">IFERROR(__xludf.DUMMYFUNCTION("B218*GOOGLEFINANCE(""CURRENCY:USDINR"")"),317894039999.999)</f>
        <v>317894039999.99902</v>
      </c>
      <c r="E218" s="3"/>
    </row>
    <row r="219" spans="1:5" x14ac:dyDescent="0.25">
      <c r="A219" s="6">
        <v>218</v>
      </c>
      <c r="B219" s="6">
        <v>4332133333.3333302</v>
      </c>
      <c r="C219" s="2" t="s">
        <v>6</v>
      </c>
      <c r="D219" s="4">
        <f ca="1">IFERROR(__xludf.DUMMYFUNCTION("B219*GOOGLEFINANCE(""CURRENCY:USDINR"")"),327509279999.999)</f>
        <v>327509279999.99902</v>
      </c>
      <c r="E219" s="3"/>
    </row>
    <row r="220" spans="1:5" x14ac:dyDescent="0.25">
      <c r="A220" s="6">
        <v>219</v>
      </c>
      <c r="B220" s="6">
        <v>4459319047.6190395</v>
      </c>
      <c r="C220" s="2" t="s">
        <v>6</v>
      </c>
      <c r="D220" s="4">
        <f ca="1">IFERROR(__xludf.DUMMYFUNCTION("B220*GOOGLEFINANCE(""CURRENCY:USDINR"")"),337124519999.999)</f>
        <v>337124519999.99902</v>
      </c>
      <c r="E220" s="3"/>
    </row>
    <row r="221" spans="1:5" x14ac:dyDescent="0.25">
      <c r="A221" s="6">
        <v>220</v>
      </c>
      <c r="B221" s="6">
        <v>4586504761.9047499</v>
      </c>
      <c r="C221" s="2" t="s">
        <v>6</v>
      </c>
      <c r="D221" s="4">
        <f ca="1">IFERROR(__xludf.DUMMYFUNCTION("B221*GOOGLEFINANCE(""CURRENCY:USDINR"")"),346739759999.999)</f>
        <v>346739759999.99902</v>
      </c>
      <c r="E221" s="3"/>
    </row>
    <row r="222" spans="1:5" x14ac:dyDescent="0.25">
      <c r="A222" s="6">
        <v>221</v>
      </c>
      <c r="B222" s="6">
        <v>4713690476.1904697</v>
      </c>
      <c r="C222" s="2" t="s">
        <v>6</v>
      </c>
      <c r="D222" s="4">
        <f ca="1">IFERROR(__xludf.DUMMYFUNCTION("B222*GOOGLEFINANCE(""CURRENCY:USDINR"")"),356354999999.999)</f>
        <v>356354999999.99902</v>
      </c>
      <c r="E222" s="3"/>
    </row>
    <row r="223" spans="1:5" x14ac:dyDescent="0.25">
      <c r="A223" s="6">
        <v>222</v>
      </c>
      <c r="B223" s="6">
        <v>4840876190.4761801</v>
      </c>
      <c r="C223" s="2" t="s">
        <v>6</v>
      </c>
      <c r="D223" s="4">
        <f ca="1">IFERROR(__xludf.DUMMYFUNCTION("B223*GOOGLEFINANCE(""CURRENCY:USDINR"")"),365970239999.999)</f>
        <v>365970239999.99902</v>
      </c>
      <c r="E223" s="3"/>
    </row>
    <row r="224" spans="1:5" x14ac:dyDescent="0.25">
      <c r="A224" s="6">
        <v>223</v>
      </c>
      <c r="B224" s="6">
        <v>4968061904.7618999</v>
      </c>
      <c r="C224" s="2" t="s">
        <v>6</v>
      </c>
      <c r="D224" s="4">
        <f ca="1">IFERROR(__xludf.DUMMYFUNCTION("B224*GOOGLEFINANCE(""CURRENCY:USDINR"")"),375585479999.999)</f>
        <v>375585479999.99902</v>
      </c>
      <c r="E224" s="3"/>
    </row>
    <row r="225" spans="1:5" x14ac:dyDescent="0.25">
      <c r="A225" s="6">
        <v>224</v>
      </c>
      <c r="B225" s="6">
        <v>5095247619.0476103</v>
      </c>
      <c r="C225" s="2" t="s">
        <v>6</v>
      </c>
      <c r="D225" s="4">
        <f ca="1">IFERROR(__xludf.DUMMYFUNCTION("B225*GOOGLEFINANCE(""CURRENCY:USDINR"")"),385200719999.999)</f>
        <v>385200719999.99902</v>
      </c>
      <c r="E225" s="3"/>
    </row>
    <row r="226" spans="1:5" x14ac:dyDescent="0.25">
      <c r="A226" s="6">
        <v>225</v>
      </c>
      <c r="B226" s="6">
        <v>5222433333.3333197</v>
      </c>
      <c r="C226" s="2" t="s">
        <v>6</v>
      </c>
      <c r="D226" s="4">
        <f ca="1">IFERROR(__xludf.DUMMYFUNCTION("B226*GOOGLEFINANCE(""CURRENCY:USDINR"")"),394815959999.998)</f>
        <v>394815959999.99799</v>
      </c>
      <c r="E226" s="3"/>
    </row>
    <row r="227" spans="1:5" x14ac:dyDescent="0.25">
      <c r="A227" s="6">
        <v>226</v>
      </c>
      <c r="B227" s="6">
        <v>5349619047.6190395</v>
      </c>
      <c r="C227" s="2" t="s">
        <v>6</v>
      </c>
      <c r="D227" s="4">
        <f ca="1">IFERROR(__xludf.DUMMYFUNCTION("B227*GOOGLEFINANCE(""CURRENCY:USDINR"")"),404431199999.999)</f>
        <v>404431199999.99902</v>
      </c>
      <c r="E227" s="3"/>
    </row>
    <row r="228" spans="1:5" x14ac:dyDescent="0.25">
      <c r="A228" s="6">
        <v>227</v>
      </c>
      <c r="B228" s="6">
        <v>5476804761.9047499</v>
      </c>
      <c r="C228" s="2" t="s">
        <v>6</v>
      </c>
      <c r="D228" s="4">
        <f ca="1">IFERROR(__xludf.DUMMYFUNCTION("B228*GOOGLEFINANCE(""CURRENCY:USDINR"")"),414046439999.999)</f>
        <v>414046439999.99902</v>
      </c>
      <c r="E228" s="3"/>
    </row>
    <row r="229" spans="1:5" x14ac:dyDescent="0.25">
      <c r="A229" s="6">
        <v>228</v>
      </c>
      <c r="B229" s="6">
        <v>5603990476.1904697</v>
      </c>
      <c r="C229" s="2" t="s">
        <v>6</v>
      </c>
      <c r="D229" s="4">
        <f ca="1">IFERROR(__xludf.DUMMYFUNCTION("B229*GOOGLEFINANCE(""CURRENCY:USDINR"")"),423661679999.999)</f>
        <v>423661679999.99902</v>
      </c>
      <c r="E229" s="3"/>
    </row>
    <row r="230" spans="1:5" x14ac:dyDescent="0.25">
      <c r="A230" s="6">
        <v>229</v>
      </c>
      <c r="B230" s="6">
        <v>5731176190.4761801</v>
      </c>
      <c r="C230" s="2" t="s">
        <v>6</v>
      </c>
      <c r="D230" s="4">
        <f ca="1">IFERROR(__xludf.DUMMYFUNCTION("B230*GOOGLEFINANCE(""CURRENCY:USDINR"")"),433276919999.999)</f>
        <v>433276919999.99902</v>
      </c>
      <c r="E230" s="3"/>
    </row>
    <row r="231" spans="1:5" x14ac:dyDescent="0.25">
      <c r="A231" s="6">
        <v>230</v>
      </c>
      <c r="B231" s="6">
        <v>5858361904.7618904</v>
      </c>
      <c r="C231" s="2" t="s">
        <v>6</v>
      </c>
      <c r="D231" s="4">
        <f ca="1">IFERROR(__xludf.DUMMYFUNCTION("B231*GOOGLEFINANCE(""CURRENCY:USDINR"")"),442892159999.998)</f>
        <v>442892159999.99799</v>
      </c>
      <c r="E231" s="3"/>
    </row>
    <row r="232" spans="1:5" x14ac:dyDescent="0.25">
      <c r="A232" s="6">
        <v>231</v>
      </c>
      <c r="B232" s="6">
        <v>5985547619.0476103</v>
      </c>
      <c r="C232" s="2" t="s">
        <v>6</v>
      </c>
      <c r="D232" s="4">
        <f ca="1">IFERROR(__xludf.DUMMYFUNCTION("B232*GOOGLEFINANCE(""CURRENCY:USDINR"")"),452507399999.999)</f>
        <v>452507399999.99902</v>
      </c>
      <c r="E232" s="3"/>
    </row>
    <row r="233" spans="1:5" x14ac:dyDescent="0.25">
      <c r="A233" s="6">
        <v>232</v>
      </c>
      <c r="B233" s="6">
        <v>6112733333.3333197</v>
      </c>
      <c r="C233" s="2" t="s">
        <v>6</v>
      </c>
      <c r="D233" s="4">
        <f ca="1">IFERROR(__xludf.DUMMYFUNCTION("B233*GOOGLEFINANCE(""CURRENCY:USDINR"")"),462122639999.998)</f>
        <v>462122639999.99799</v>
      </c>
      <c r="E233" s="3"/>
    </row>
    <row r="234" spans="1:5" x14ac:dyDescent="0.25">
      <c r="A234" s="6">
        <v>233</v>
      </c>
      <c r="B234" s="6">
        <v>6239919047.6190395</v>
      </c>
      <c r="C234" s="2" t="s">
        <v>6</v>
      </c>
      <c r="D234" s="4">
        <f ca="1">IFERROR(__xludf.DUMMYFUNCTION("B234*GOOGLEFINANCE(""CURRENCY:USDINR"")"),471737879999.999)</f>
        <v>471737879999.99902</v>
      </c>
      <c r="E234" s="3"/>
    </row>
    <row r="235" spans="1:5" x14ac:dyDescent="0.25">
      <c r="A235" s="6">
        <v>234</v>
      </c>
      <c r="B235" s="6">
        <v>6367104761.9047499</v>
      </c>
      <c r="C235" s="2" t="s">
        <v>6</v>
      </c>
      <c r="D235" s="4">
        <f ca="1">IFERROR(__xludf.DUMMYFUNCTION("B235*GOOGLEFINANCE(""CURRENCY:USDINR"")"),481353119999.999)</f>
        <v>481353119999.99902</v>
      </c>
      <c r="E235" s="3"/>
    </row>
    <row r="236" spans="1:5" x14ac:dyDescent="0.25">
      <c r="A236" s="6">
        <v>235</v>
      </c>
      <c r="B236" s="6">
        <v>6494290476.1904602</v>
      </c>
      <c r="C236" s="2" t="s">
        <v>6</v>
      </c>
      <c r="D236" s="4">
        <f ca="1">IFERROR(__xludf.DUMMYFUNCTION("B236*GOOGLEFINANCE(""CURRENCY:USDINR"")"),490968359999.998)</f>
        <v>490968359999.99799</v>
      </c>
      <c r="E236" s="3"/>
    </row>
    <row r="237" spans="1:5" x14ac:dyDescent="0.25">
      <c r="A237" s="6">
        <v>236</v>
      </c>
      <c r="B237" s="6">
        <v>6621476190.4761801</v>
      </c>
      <c r="C237" s="2" t="s">
        <v>6</v>
      </c>
      <c r="D237" s="4">
        <f ca="1">IFERROR(__xludf.DUMMYFUNCTION("B237*GOOGLEFINANCE(""CURRENCY:USDINR"")"),500583599999.999)</f>
        <v>500583599999.99902</v>
      </c>
      <c r="E237" s="3"/>
    </row>
    <row r="238" spans="1:5" x14ac:dyDescent="0.25">
      <c r="A238" s="6">
        <v>237</v>
      </c>
      <c r="B238" s="6">
        <v>6748661904.7618904</v>
      </c>
      <c r="C238" s="2" t="s">
        <v>6</v>
      </c>
      <c r="D238" s="4">
        <f ca="1">IFERROR(__xludf.DUMMYFUNCTION("B238*GOOGLEFINANCE(""CURRENCY:USDINR"")"),510198839999.998)</f>
        <v>510198839999.99799</v>
      </c>
      <c r="E238" s="3"/>
    </row>
    <row r="239" spans="1:5" x14ac:dyDescent="0.25">
      <c r="A239" s="6">
        <v>238</v>
      </c>
      <c r="B239" s="6">
        <v>6875847619.0476103</v>
      </c>
      <c r="C239" s="2" t="s">
        <v>6</v>
      </c>
      <c r="D239" s="4">
        <f ca="1">IFERROR(__xludf.DUMMYFUNCTION("B239*GOOGLEFINANCE(""CURRENCY:USDINR"")"),519814079999.999)</f>
        <v>519814079999.99902</v>
      </c>
      <c r="E239" s="3"/>
    </row>
    <row r="240" spans="1:5" x14ac:dyDescent="0.25">
      <c r="A240" s="6">
        <v>239</v>
      </c>
      <c r="B240" s="6">
        <v>7003033333.3333197</v>
      </c>
      <c r="C240" s="2" t="s">
        <v>6</v>
      </c>
      <c r="D240" s="4">
        <f ca="1">IFERROR(__xludf.DUMMYFUNCTION("B240*GOOGLEFINANCE(""CURRENCY:USDINR"")"),529429319999.998)</f>
        <v>529429319999.99799</v>
      </c>
      <c r="E240" s="3"/>
    </row>
    <row r="241" spans="1:5" x14ac:dyDescent="0.25">
      <c r="A241" s="6">
        <v>240</v>
      </c>
      <c r="B241" s="6">
        <v>7130219047.61903</v>
      </c>
      <c r="C241" s="2" t="s">
        <v>6</v>
      </c>
      <c r="D241" s="4">
        <f ca="1">IFERROR(__xludf.DUMMYFUNCTION("B241*GOOGLEFINANCE(""CURRENCY:USDINR"")"),539044559999.998)</f>
        <v>539044559999.99799</v>
      </c>
      <c r="E241" s="3"/>
    </row>
    <row r="242" spans="1:5" x14ac:dyDescent="0.25">
      <c r="A242" s="6">
        <v>241</v>
      </c>
      <c r="B242" s="6">
        <v>7257404761.9047499</v>
      </c>
      <c r="C242" s="2" t="s">
        <v>6</v>
      </c>
      <c r="D242" s="4">
        <f ca="1">IFERROR(__xludf.DUMMYFUNCTION("B242*GOOGLEFINANCE(""CURRENCY:USDINR"")"),548659799999.999)</f>
        <v>548659799999.99902</v>
      </c>
      <c r="E242" s="3"/>
    </row>
    <row r="243" spans="1:5" x14ac:dyDescent="0.25">
      <c r="A243" s="6">
        <v>242</v>
      </c>
      <c r="B243" s="6">
        <v>7384590476.1904602</v>
      </c>
      <c r="C243" s="2" t="s">
        <v>6</v>
      </c>
      <c r="D243" s="4">
        <f ca="1">IFERROR(__xludf.DUMMYFUNCTION("B243*GOOGLEFINANCE(""CURRENCY:USDINR"")"),558275039999.998)</f>
        <v>558275039999.99805</v>
      </c>
      <c r="E243" s="3"/>
    </row>
    <row r="244" spans="1:5" x14ac:dyDescent="0.25">
      <c r="A244" s="6">
        <v>243</v>
      </c>
      <c r="B244" s="6">
        <v>7511776190.4761801</v>
      </c>
      <c r="C244" s="2" t="s">
        <v>6</v>
      </c>
      <c r="D244" s="4">
        <f ca="1">IFERROR(__xludf.DUMMYFUNCTION("B244*GOOGLEFINANCE(""CURRENCY:USDINR"")"),567890279999.999)</f>
        <v>567890279999.99902</v>
      </c>
      <c r="E244" s="3"/>
    </row>
    <row r="245" spans="1:5" x14ac:dyDescent="0.25">
      <c r="A245" s="6">
        <v>244</v>
      </c>
      <c r="B245" s="6">
        <v>7638961904.7618904</v>
      </c>
      <c r="C245" s="2" t="s">
        <v>6</v>
      </c>
      <c r="D245" s="4">
        <f ca="1">IFERROR(__xludf.DUMMYFUNCTION("B245*GOOGLEFINANCE(""CURRENCY:USDINR"")"),577505519999.998)</f>
        <v>577505519999.99805</v>
      </c>
      <c r="E245" s="3"/>
    </row>
    <row r="246" spans="1:5" x14ac:dyDescent="0.25">
      <c r="A246" s="6">
        <v>245</v>
      </c>
      <c r="B246" s="6">
        <v>7766147619.0476103</v>
      </c>
      <c r="C246" s="2" t="s">
        <v>6</v>
      </c>
      <c r="D246" s="4">
        <f ca="1">IFERROR(__xludf.DUMMYFUNCTION("B246*GOOGLEFINANCE(""CURRENCY:USDINR"")"),587120759999.999)</f>
        <v>587120759999.99902</v>
      </c>
      <c r="E246" s="3"/>
    </row>
    <row r="247" spans="1:5" x14ac:dyDescent="0.25">
      <c r="A247" s="6">
        <v>246</v>
      </c>
      <c r="B247" s="6">
        <v>7893333333.3333197</v>
      </c>
      <c r="C247" s="2" t="s">
        <v>6</v>
      </c>
      <c r="D247" s="4">
        <f ca="1">IFERROR(__xludf.DUMMYFUNCTION("B247*GOOGLEFINANCE(""CURRENCY:USDINR"")"),596735999999.998)</f>
        <v>596735999999.99805</v>
      </c>
      <c r="E247" s="3"/>
    </row>
    <row r="248" spans="1:5" x14ac:dyDescent="0.25">
      <c r="A248" s="6">
        <v>247</v>
      </c>
      <c r="B248" s="6">
        <v>8020519047.61903</v>
      </c>
      <c r="C248" s="2" t="s">
        <v>6</v>
      </c>
      <c r="D248" s="4">
        <f ca="1">IFERROR(__xludf.DUMMYFUNCTION("B248*GOOGLEFINANCE(""CURRENCY:USDINR"")"),606351239999.998)</f>
        <v>606351239999.99805</v>
      </c>
      <c r="E248" s="3"/>
    </row>
    <row r="249" spans="1:5" x14ac:dyDescent="0.25">
      <c r="A249" s="6">
        <v>248</v>
      </c>
      <c r="B249" s="6">
        <v>8147704761.9047499</v>
      </c>
      <c r="C249" s="2" t="s">
        <v>6</v>
      </c>
      <c r="D249" s="4">
        <f ca="1">IFERROR(__xludf.DUMMYFUNCTION("B249*GOOGLEFINANCE(""CURRENCY:USDINR"")"),615966479999.999)</f>
        <v>615966479999.99902</v>
      </c>
      <c r="E249" s="3"/>
    </row>
    <row r="250" spans="1:5" x14ac:dyDescent="0.25">
      <c r="A250" s="6">
        <v>249</v>
      </c>
      <c r="B250" s="6">
        <v>8274890476.1904602</v>
      </c>
      <c r="C250" s="2" t="s">
        <v>6</v>
      </c>
      <c r="D250" s="4">
        <f ca="1">IFERROR(__xludf.DUMMYFUNCTION("B250*GOOGLEFINANCE(""CURRENCY:USDINR"")"),625581719999.998)</f>
        <v>625581719999.99805</v>
      </c>
      <c r="E250" s="3"/>
    </row>
    <row r="251" spans="1:5" x14ac:dyDescent="0.25">
      <c r="A251" s="6">
        <v>250</v>
      </c>
      <c r="B251" s="6">
        <v>8402076190.4761696</v>
      </c>
      <c r="C251" s="2" t="s">
        <v>6</v>
      </c>
      <c r="D251" s="4">
        <f ca="1">IFERROR(__xludf.DUMMYFUNCTION("B251*GOOGLEFINANCE(""CURRENCY:USDINR"")"),635196959999.998)</f>
        <v>635196959999.99805</v>
      </c>
      <c r="E251" s="3"/>
    </row>
    <row r="252" spans="1:5" x14ac:dyDescent="0.25">
      <c r="A252" s="6">
        <v>251</v>
      </c>
      <c r="B252" s="6">
        <v>8529261904.7618904</v>
      </c>
      <c r="C252" s="2" t="s">
        <v>6</v>
      </c>
      <c r="D252" s="4">
        <f ca="1">IFERROR(__xludf.DUMMYFUNCTION("B252*GOOGLEFINANCE(""CURRENCY:USDINR"")"),644812199999.998)</f>
        <v>644812199999.99805</v>
      </c>
      <c r="E252" s="3"/>
    </row>
    <row r="253" spans="1:5" x14ac:dyDescent="0.25">
      <c r="A253" s="6">
        <v>252</v>
      </c>
      <c r="B253" s="6">
        <v>8656447619.0475998</v>
      </c>
      <c r="C253" s="2" t="s">
        <v>6</v>
      </c>
      <c r="D253" s="4">
        <f ca="1">IFERROR(__xludf.DUMMYFUNCTION("B253*GOOGLEFINANCE(""CURRENCY:USDINR"")"),654427439999.998)</f>
        <v>654427439999.99805</v>
      </c>
      <c r="E253" s="3"/>
    </row>
    <row r="254" spans="1:5" x14ac:dyDescent="0.25">
      <c r="A254" s="6">
        <v>253</v>
      </c>
      <c r="B254" s="6">
        <v>8783633333.3333206</v>
      </c>
      <c r="C254" s="2" t="s">
        <v>6</v>
      </c>
      <c r="D254" s="4">
        <f ca="1">IFERROR(__xludf.DUMMYFUNCTION("B254*GOOGLEFINANCE(""CURRENCY:USDINR"")"),664042679999.999)</f>
        <v>664042679999.99902</v>
      </c>
      <c r="E254" s="3"/>
    </row>
    <row r="255" spans="1:5" x14ac:dyDescent="0.25">
      <c r="A255" s="6">
        <v>254</v>
      </c>
      <c r="B255" s="6">
        <v>8910819047.61903</v>
      </c>
      <c r="C255" s="2" t="s">
        <v>6</v>
      </c>
      <c r="D255" s="4">
        <f ca="1">IFERROR(__xludf.DUMMYFUNCTION("B255*GOOGLEFINANCE(""CURRENCY:USDINR"")"),673657919999.998)</f>
        <v>673657919999.99805</v>
      </c>
      <c r="E255" s="3"/>
    </row>
    <row r="256" spans="1:5" x14ac:dyDescent="0.25">
      <c r="A256" s="6">
        <v>255</v>
      </c>
      <c r="B256" s="6">
        <v>9038004761.9047394</v>
      </c>
      <c r="C256" s="2" t="s">
        <v>6</v>
      </c>
      <c r="D256" s="4">
        <f ca="1">IFERROR(__xludf.DUMMYFUNCTION("B256*GOOGLEFINANCE(""CURRENCY:USDINR"")"),683273159999.998)</f>
        <v>683273159999.99805</v>
      </c>
      <c r="E256" s="3"/>
    </row>
    <row r="257" spans="1:5" x14ac:dyDescent="0.25">
      <c r="A257" s="6">
        <v>256</v>
      </c>
      <c r="B257" s="6">
        <v>9165190476.1904602</v>
      </c>
      <c r="C257" s="2" t="s">
        <v>6</v>
      </c>
      <c r="D257" s="4">
        <f ca="1">IFERROR(__xludf.DUMMYFUNCTION("B257*GOOGLEFINANCE(""CURRENCY:USDINR"")"),692888399999.998)</f>
        <v>692888399999.99805</v>
      </c>
      <c r="E257" s="3"/>
    </row>
    <row r="258" spans="1:5" x14ac:dyDescent="0.25">
      <c r="A258" s="6">
        <v>257</v>
      </c>
      <c r="B258" s="6">
        <v>9292376190.4761696</v>
      </c>
      <c r="C258" s="2" t="s">
        <v>6</v>
      </c>
      <c r="D258" s="4">
        <f ca="1">IFERROR(__xludf.DUMMYFUNCTION("B258*GOOGLEFINANCE(""CURRENCY:USDINR"")"),702503639999.998)</f>
        <v>702503639999.99805</v>
      </c>
      <c r="E258" s="3"/>
    </row>
    <row r="259" spans="1:5" x14ac:dyDescent="0.25">
      <c r="A259" s="6">
        <v>258</v>
      </c>
      <c r="B259" s="6">
        <v>9419561904.7618904</v>
      </c>
      <c r="C259" s="2" t="s">
        <v>6</v>
      </c>
      <c r="D259" s="4">
        <f ca="1">IFERROR(__xludf.DUMMYFUNCTION("B259*GOOGLEFINANCE(""CURRENCY:USDINR"")"),712118879999.998)</f>
        <v>712118879999.99805</v>
      </c>
      <c r="E259" s="3"/>
    </row>
    <row r="260" spans="1:5" x14ac:dyDescent="0.25">
      <c r="A260" s="6">
        <v>259</v>
      </c>
      <c r="B260" s="6">
        <v>9546747619.0475998</v>
      </c>
      <c r="C260" s="2" t="s">
        <v>6</v>
      </c>
      <c r="D260" s="4">
        <f ca="1">IFERROR(__xludf.DUMMYFUNCTION("B260*GOOGLEFINANCE(""CURRENCY:USDINR"")"),721734119999.998)</f>
        <v>721734119999.99805</v>
      </c>
      <c r="E260" s="3"/>
    </row>
    <row r="261" spans="1:5" x14ac:dyDescent="0.25">
      <c r="A261" s="6">
        <v>260</v>
      </c>
      <c r="B261" s="6">
        <v>9673933333.3333092</v>
      </c>
      <c r="C261" s="2" t="s">
        <v>6</v>
      </c>
      <c r="D261" s="4">
        <f ca="1">IFERROR(__xludf.DUMMYFUNCTION("B261*GOOGLEFINANCE(""CURRENCY:USDINR"")"),731349359999.998)</f>
        <v>731349359999.99805</v>
      </c>
      <c r="E261" s="3"/>
    </row>
    <row r="262" spans="1:5" x14ac:dyDescent="0.25">
      <c r="A262" s="6">
        <v>261</v>
      </c>
      <c r="B262" s="6">
        <v>9801119047.61903</v>
      </c>
      <c r="C262" s="2" t="s">
        <v>6</v>
      </c>
      <c r="D262" s="4">
        <f ca="1">IFERROR(__xludf.DUMMYFUNCTION("B262*GOOGLEFINANCE(""CURRENCY:USDINR"")"),740964599999.998)</f>
        <v>740964599999.99805</v>
      </c>
      <c r="E262" s="3"/>
    </row>
    <row r="263" spans="1:5" x14ac:dyDescent="0.25">
      <c r="A263" s="6">
        <v>262</v>
      </c>
      <c r="B263" s="6">
        <v>9928304761.9047394</v>
      </c>
      <c r="C263" s="2" t="s">
        <v>6</v>
      </c>
      <c r="D263" s="4">
        <f ca="1">IFERROR(__xludf.DUMMYFUNCTION("B263*GOOGLEFINANCE(""CURRENCY:USDINR"")"),750579839999.998)</f>
        <v>750579839999.99805</v>
      </c>
      <c r="E263" s="3"/>
    </row>
    <row r="264" spans="1:5" x14ac:dyDescent="0.25">
      <c r="A264" s="6">
        <v>263</v>
      </c>
      <c r="B264" s="6">
        <v>10055490476.1905</v>
      </c>
      <c r="C264" s="2" t="s">
        <v>6</v>
      </c>
      <c r="D264" s="4">
        <f ca="1">IFERROR(__xludf.DUMMYFUNCTION("B264*GOOGLEFINANCE(""CURRENCY:USDINR"")"),760195080000.001)</f>
        <v>760195080000.00098</v>
      </c>
      <c r="E264" s="3"/>
    </row>
    <row r="265" spans="1:5" x14ac:dyDescent="0.25">
      <c r="A265" s="6">
        <v>264</v>
      </c>
      <c r="B265" s="6">
        <v>10182676190.4762</v>
      </c>
      <c r="C265" s="2" t="s">
        <v>6</v>
      </c>
      <c r="D265" s="4">
        <f ca="1">IFERROR(__xludf.DUMMYFUNCTION("B265*GOOGLEFINANCE(""CURRENCY:USDINR"")"),769810320000)</f>
        <v>769810320000</v>
      </c>
      <c r="E265" s="3"/>
    </row>
    <row r="266" spans="1:5" x14ac:dyDescent="0.25">
      <c r="A266" s="6">
        <v>265</v>
      </c>
      <c r="B266" s="6">
        <v>10309861904.7619</v>
      </c>
      <c r="C266" s="2" t="s">
        <v>6</v>
      </c>
      <c r="D266" s="4">
        <f ca="1">IFERROR(__xludf.DUMMYFUNCTION("B266*GOOGLEFINANCE(""CURRENCY:USDINR"")"),779425559999.999)</f>
        <v>779425559999.99902</v>
      </c>
      <c r="E266" s="3"/>
    </row>
    <row r="267" spans="1:5" x14ac:dyDescent="0.25">
      <c r="A267" s="6">
        <v>266</v>
      </c>
      <c r="B267" s="6">
        <v>10437047619.0476</v>
      </c>
      <c r="C267" s="2" t="s">
        <v>6</v>
      </c>
      <c r="D267" s="4">
        <f ca="1">IFERROR(__xludf.DUMMYFUNCTION("B267*GOOGLEFINANCE(""CURRENCY:USDINR"")"),789040799999.998)</f>
        <v>789040799999.99805</v>
      </c>
      <c r="E267" s="3"/>
    </row>
    <row r="268" spans="1:5" x14ac:dyDescent="0.25">
      <c r="A268" s="6">
        <v>267</v>
      </c>
      <c r="B268" s="6">
        <v>10564233333.3333</v>
      </c>
      <c r="C268" s="2" t="s">
        <v>6</v>
      </c>
      <c r="D268" s="4">
        <f ca="1">IFERROR(__xludf.DUMMYFUNCTION("B268*GOOGLEFINANCE(""CURRENCY:USDINR"")"),798656039999.997)</f>
        <v>798656039999.99695</v>
      </c>
      <c r="E268" s="3"/>
    </row>
    <row r="269" spans="1:5" x14ac:dyDescent="0.25">
      <c r="A269" s="6">
        <v>268</v>
      </c>
      <c r="B269" s="6">
        <v>10691419047.618999</v>
      </c>
      <c r="C269" s="2" t="s">
        <v>6</v>
      </c>
      <c r="D269" s="4">
        <f ca="1">IFERROR(__xludf.DUMMYFUNCTION("B269*GOOGLEFINANCE(""CURRENCY:USDINR"")"),808271279999.996)</f>
        <v>808271279999.99597</v>
      </c>
      <c r="E269" s="3"/>
    </row>
    <row r="270" spans="1:5" x14ac:dyDescent="0.25">
      <c r="A270" s="6">
        <v>269</v>
      </c>
      <c r="B270" s="6">
        <v>10818604761.904699</v>
      </c>
      <c r="C270" s="2" t="s">
        <v>6</v>
      </c>
      <c r="D270" s="4">
        <f ca="1">IFERROR(__xludf.DUMMYFUNCTION("B270*GOOGLEFINANCE(""CURRENCY:USDINR"")"),817886519999.995)</f>
        <v>817886519999.995</v>
      </c>
      <c r="E270" s="3"/>
    </row>
    <row r="271" spans="1:5" x14ac:dyDescent="0.25">
      <c r="A271" s="6">
        <v>270</v>
      </c>
      <c r="B271" s="6">
        <v>10945790476.1905</v>
      </c>
      <c r="C271" s="2" t="s">
        <v>6</v>
      </c>
      <c r="D271" s="4">
        <f ca="1">IFERROR(__xludf.DUMMYFUNCTION("B271*GOOGLEFINANCE(""CURRENCY:USDINR"")"),827501760000.001)</f>
        <v>827501760000.00098</v>
      </c>
      <c r="E271" s="3"/>
    </row>
    <row r="272" spans="1:5" x14ac:dyDescent="0.25">
      <c r="A272" s="6">
        <v>271</v>
      </c>
      <c r="B272" s="6">
        <v>11072976190.4762</v>
      </c>
      <c r="C272" s="2" t="s">
        <v>6</v>
      </c>
      <c r="D272" s="4">
        <f ca="1">IFERROR(__xludf.DUMMYFUNCTION("B272*GOOGLEFINANCE(""CURRENCY:USDINR"")"),837117000000)</f>
        <v>837117000000</v>
      </c>
      <c r="E272" s="3"/>
    </row>
    <row r="273" spans="1:5" x14ac:dyDescent="0.25">
      <c r="A273" s="6">
        <v>272</v>
      </c>
      <c r="B273" s="6">
        <v>11200161904.7619</v>
      </c>
      <c r="C273" s="2" t="s">
        <v>6</v>
      </c>
      <c r="D273" s="4">
        <f ca="1">IFERROR(__xludf.DUMMYFUNCTION("B273*GOOGLEFINANCE(""CURRENCY:USDINR"")"),846732239999.999)</f>
        <v>846732239999.99902</v>
      </c>
      <c r="E273" s="3"/>
    </row>
    <row r="274" spans="1:5" x14ac:dyDescent="0.25">
      <c r="A274" s="6">
        <v>273</v>
      </c>
      <c r="B274" s="6">
        <v>11327347619.0476</v>
      </c>
      <c r="C274" s="2" t="s">
        <v>6</v>
      </c>
      <c r="D274" s="4">
        <f ca="1">IFERROR(__xludf.DUMMYFUNCTION("B274*GOOGLEFINANCE(""CURRENCY:USDINR"")"),856347479999.998)</f>
        <v>856347479999.99805</v>
      </c>
      <c r="E274" s="3"/>
    </row>
    <row r="275" spans="1:5" x14ac:dyDescent="0.25">
      <c r="A275" s="6">
        <v>274</v>
      </c>
      <c r="B275" s="6">
        <v>11454533333.3333</v>
      </c>
      <c r="C275" s="2" t="s">
        <v>6</v>
      </c>
      <c r="D275" s="4">
        <f ca="1">IFERROR(__xludf.DUMMYFUNCTION("B275*GOOGLEFINANCE(""CURRENCY:USDINR"")"),865962719999.997)</f>
        <v>865962719999.99695</v>
      </c>
      <c r="E275" s="3"/>
    </row>
    <row r="276" spans="1:5" x14ac:dyDescent="0.25">
      <c r="A276" s="6">
        <v>275</v>
      </c>
      <c r="B276" s="6">
        <v>11581719047.618999</v>
      </c>
      <c r="C276" s="2" t="s">
        <v>6</v>
      </c>
      <c r="D276" s="4">
        <f ca="1">IFERROR(__xludf.DUMMYFUNCTION("B276*GOOGLEFINANCE(""CURRENCY:USDINR"")"),875577959999.996)</f>
        <v>875577959999.99597</v>
      </c>
      <c r="E276" s="3"/>
    </row>
    <row r="277" spans="1:5" x14ac:dyDescent="0.25">
      <c r="A277" s="6">
        <v>276</v>
      </c>
      <c r="B277" s="6">
        <v>11708904761.904699</v>
      </c>
      <c r="C277" s="2" t="s">
        <v>6</v>
      </c>
      <c r="D277" s="4">
        <f ca="1">IFERROR(__xludf.DUMMYFUNCTION("B277*GOOGLEFINANCE(""CURRENCY:USDINR"")"),885193199999.995)</f>
        <v>885193199999.995</v>
      </c>
      <c r="E277" s="3"/>
    </row>
    <row r="278" spans="1:5" x14ac:dyDescent="0.25">
      <c r="A278" s="6">
        <v>277</v>
      </c>
      <c r="B278" s="6">
        <v>11836090476.1905</v>
      </c>
      <c r="C278" s="2" t="s">
        <v>6</v>
      </c>
      <c r="D278" s="4">
        <f ca="1">IFERROR(__xludf.DUMMYFUNCTION("B278*GOOGLEFINANCE(""CURRENCY:USDINR"")"),894808440000.001)</f>
        <v>894808440000.00098</v>
      </c>
      <c r="E278" s="3"/>
    </row>
    <row r="279" spans="1:5" x14ac:dyDescent="0.25">
      <c r="A279" s="6">
        <v>278</v>
      </c>
      <c r="B279" s="6">
        <v>11963276190.4762</v>
      </c>
      <c r="C279" s="2" t="s">
        <v>6</v>
      </c>
      <c r="D279" s="4">
        <f ca="1">IFERROR(__xludf.DUMMYFUNCTION("B279*GOOGLEFINANCE(""CURRENCY:USDINR"")"),904423680000)</f>
        <v>904423680000</v>
      </c>
      <c r="E279" s="3"/>
    </row>
    <row r="280" spans="1:5" x14ac:dyDescent="0.25">
      <c r="A280" s="6">
        <v>279</v>
      </c>
      <c r="B280" s="6">
        <v>12090461904.7619</v>
      </c>
      <c r="C280" s="2" t="s">
        <v>6</v>
      </c>
      <c r="D280" s="4">
        <f ca="1">IFERROR(__xludf.DUMMYFUNCTION("B280*GOOGLEFINANCE(""CURRENCY:USDINR"")"),914038919999.999)</f>
        <v>914038919999.99902</v>
      </c>
      <c r="E280" s="3"/>
    </row>
    <row r="281" spans="1:5" x14ac:dyDescent="0.25">
      <c r="A281" s="6">
        <v>280</v>
      </c>
      <c r="B281" s="6">
        <v>12217647619.0476</v>
      </c>
      <c r="C281" s="2" t="s">
        <v>6</v>
      </c>
      <c r="D281" s="4">
        <f ca="1">IFERROR(__xludf.DUMMYFUNCTION("B281*GOOGLEFINANCE(""CURRENCY:USDINR"")"),923654159999.998)</f>
        <v>923654159999.99805</v>
      </c>
      <c r="E281" s="3"/>
    </row>
    <row r="282" spans="1:5" x14ac:dyDescent="0.25">
      <c r="A282" s="6">
        <v>281</v>
      </c>
      <c r="B282" s="6">
        <v>12344833333.3333</v>
      </c>
      <c r="C282" s="2" t="s">
        <v>6</v>
      </c>
      <c r="D282" s="4">
        <f ca="1">IFERROR(__xludf.DUMMYFUNCTION("B282*GOOGLEFINANCE(""CURRENCY:USDINR"")"),933269399999.997)</f>
        <v>933269399999.99695</v>
      </c>
      <c r="E282" s="3"/>
    </row>
    <row r="283" spans="1:5" x14ac:dyDescent="0.25">
      <c r="A283" s="6">
        <v>282</v>
      </c>
      <c r="B283" s="6">
        <v>12472019047.618999</v>
      </c>
      <c r="C283" s="2" t="s">
        <v>6</v>
      </c>
      <c r="D283" s="4">
        <f ca="1">IFERROR(__xludf.DUMMYFUNCTION("B283*GOOGLEFINANCE(""CURRENCY:USDINR"")"),942884639999.996)</f>
        <v>942884639999.99597</v>
      </c>
      <c r="E283" s="3"/>
    </row>
    <row r="284" spans="1:5" x14ac:dyDescent="0.25">
      <c r="A284" s="6">
        <v>283</v>
      </c>
      <c r="B284" s="6">
        <v>12599204761.904699</v>
      </c>
      <c r="C284" s="2" t="s">
        <v>6</v>
      </c>
      <c r="D284" s="4">
        <f ca="1">IFERROR(__xludf.DUMMYFUNCTION("B284*GOOGLEFINANCE(""CURRENCY:USDINR"")"),952499879999.995)</f>
        <v>952499879999.995</v>
      </c>
      <c r="E284" s="3"/>
    </row>
    <row r="285" spans="1:5" x14ac:dyDescent="0.25">
      <c r="A285" s="6">
        <v>284</v>
      </c>
      <c r="B285" s="6">
        <v>12726390476.190399</v>
      </c>
      <c r="C285" s="2" t="s">
        <v>6</v>
      </c>
      <c r="D285" s="4">
        <f ca="1">IFERROR(__xludf.DUMMYFUNCTION("B285*GOOGLEFINANCE(""CURRENCY:USDINR"")"),962115119999.994)</f>
        <v>962115119999.99402</v>
      </c>
      <c r="E285" s="3"/>
    </row>
    <row r="286" spans="1:5" x14ac:dyDescent="0.25">
      <c r="A286" s="6">
        <v>285</v>
      </c>
      <c r="B286" s="6">
        <v>12853576190.4762</v>
      </c>
      <c r="C286" s="2" t="s">
        <v>6</v>
      </c>
      <c r="D286" s="4">
        <f ca="1">IFERROR(__xludf.DUMMYFUNCTION("B286*GOOGLEFINANCE(""CURRENCY:USDINR"")"),971730360000)</f>
        <v>971730360000</v>
      </c>
      <c r="E286" s="3"/>
    </row>
    <row r="287" spans="1:5" x14ac:dyDescent="0.25">
      <c r="A287" s="6">
        <v>286</v>
      </c>
      <c r="B287" s="6">
        <v>12980761904.7619</v>
      </c>
      <c r="C287" s="2" t="s">
        <v>6</v>
      </c>
      <c r="D287" s="4">
        <f ca="1">IFERROR(__xludf.DUMMYFUNCTION("B287*GOOGLEFINANCE(""CURRENCY:USDINR"")"),981345599999.999)</f>
        <v>981345599999.99902</v>
      </c>
      <c r="E287" s="3"/>
    </row>
    <row r="288" spans="1:5" x14ac:dyDescent="0.25">
      <c r="A288" s="6">
        <v>287</v>
      </c>
      <c r="B288" s="6">
        <v>13107947619.0476</v>
      </c>
      <c r="C288" s="2" t="s">
        <v>6</v>
      </c>
      <c r="D288" s="4">
        <f ca="1">IFERROR(__xludf.DUMMYFUNCTION("B288*GOOGLEFINANCE(""CURRENCY:USDINR"")"),990960839999.998)</f>
        <v>990960839999.99805</v>
      </c>
      <c r="E288" s="3"/>
    </row>
    <row r="289" spans="1:5" x14ac:dyDescent="0.25">
      <c r="A289" s="6">
        <v>288</v>
      </c>
      <c r="B289" s="6">
        <v>13235133333.3333</v>
      </c>
      <c r="C289" s="2" t="s">
        <v>6</v>
      </c>
      <c r="D289" s="4">
        <f ca="1">IFERROR(__xludf.DUMMYFUNCTION("B289*GOOGLEFINANCE(""CURRENCY:USDINR"")"),1000576079999.99)</f>
        <v>1000576079999.99</v>
      </c>
      <c r="E289" s="3"/>
    </row>
    <row r="290" spans="1:5" x14ac:dyDescent="0.25">
      <c r="A290" s="6">
        <v>289</v>
      </c>
      <c r="B290" s="6">
        <v>13362319047.618999</v>
      </c>
      <c r="C290" s="2" t="s">
        <v>6</v>
      </c>
      <c r="D290" s="4">
        <f ca="1">IFERROR(__xludf.DUMMYFUNCTION("B290*GOOGLEFINANCE(""CURRENCY:USDINR"")"),1010191319999.99)</f>
        <v>1010191319999.99</v>
      </c>
      <c r="E290" s="3"/>
    </row>
    <row r="291" spans="1:5" x14ac:dyDescent="0.25">
      <c r="A291" s="6">
        <v>290</v>
      </c>
      <c r="B291" s="6">
        <v>13489504761.904699</v>
      </c>
      <c r="C291" s="2" t="s">
        <v>6</v>
      </c>
      <c r="D291" s="4">
        <f ca="1">IFERROR(__xludf.DUMMYFUNCTION("B291*GOOGLEFINANCE(""CURRENCY:USDINR"")"),1019806559999.99)</f>
        <v>1019806559999.99</v>
      </c>
      <c r="E291" s="3"/>
    </row>
    <row r="292" spans="1:5" x14ac:dyDescent="0.25">
      <c r="A292" s="6">
        <v>291</v>
      </c>
      <c r="B292" s="6">
        <v>13616690476.190399</v>
      </c>
      <c r="C292" s="2" t="s">
        <v>6</v>
      </c>
      <c r="D292" s="4">
        <f ca="1">IFERROR(__xludf.DUMMYFUNCTION("B292*GOOGLEFINANCE(""CURRENCY:USDINR"")"),1029421799999.99)</f>
        <v>1029421799999.99</v>
      </c>
      <c r="E292" s="3"/>
    </row>
    <row r="293" spans="1:5" x14ac:dyDescent="0.25">
      <c r="A293" s="6">
        <v>292</v>
      </c>
      <c r="B293" s="6">
        <v>13743876190.4762</v>
      </c>
      <c r="C293" s="2" t="s">
        <v>6</v>
      </c>
      <c r="D293" s="4">
        <f ca="1">IFERROR(__xludf.DUMMYFUNCTION("B293*GOOGLEFINANCE(""CURRENCY:USDINR"")"),1039037040000)</f>
        <v>1039037040000</v>
      </c>
      <c r="E293" s="3"/>
    </row>
    <row r="294" spans="1:5" x14ac:dyDescent="0.25">
      <c r="A294" s="6">
        <v>293</v>
      </c>
      <c r="B294" s="6">
        <v>13871061904.7619</v>
      </c>
      <c r="C294" s="2" t="s">
        <v>6</v>
      </c>
      <c r="D294" s="4">
        <f ca="1">IFERROR(__xludf.DUMMYFUNCTION("B294*GOOGLEFINANCE(""CURRENCY:USDINR"")"),1048652279999.99)</f>
        <v>1048652279999.99</v>
      </c>
      <c r="E294" s="3"/>
    </row>
    <row r="295" spans="1:5" x14ac:dyDescent="0.25">
      <c r="A295" s="6">
        <v>294</v>
      </c>
      <c r="B295" s="6">
        <v>13998247619.0476</v>
      </c>
      <c r="C295" s="2" t="s">
        <v>6</v>
      </c>
      <c r="D295" s="4">
        <f ca="1">IFERROR(__xludf.DUMMYFUNCTION("B295*GOOGLEFINANCE(""CURRENCY:USDINR"")"),1058267519999.99)</f>
        <v>1058267519999.99</v>
      </c>
      <c r="E295" s="3"/>
    </row>
    <row r="296" spans="1:5" x14ac:dyDescent="0.25">
      <c r="A296" s="6">
        <v>295</v>
      </c>
      <c r="B296" s="6">
        <v>14125433333.3333</v>
      </c>
      <c r="C296" s="2" t="s">
        <v>6</v>
      </c>
      <c r="D296" s="4">
        <f ca="1">IFERROR(__xludf.DUMMYFUNCTION("B296*GOOGLEFINANCE(""CURRENCY:USDINR"")"),1067882759999.99)</f>
        <v>1067882759999.99</v>
      </c>
      <c r="E296" s="3"/>
    </row>
    <row r="297" spans="1:5" x14ac:dyDescent="0.25">
      <c r="A297" s="6">
        <v>296</v>
      </c>
      <c r="B297" s="6">
        <v>14252619047.618999</v>
      </c>
      <c r="C297" s="2" t="s">
        <v>6</v>
      </c>
      <c r="D297" s="4">
        <f ca="1">IFERROR(__xludf.DUMMYFUNCTION("B297*GOOGLEFINANCE(""CURRENCY:USDINR"")"),1077497999999.99)</f>
        <v>1077497999999.99</v>
      </c>
      <c r="E297" s="3"/>
    </row>
    <row r="298" spans="1:5" x14ac:dyDescent="0.25">
      <c r="A298" s="6">
        <v>297</v>
      </c>
      <c r="B298" s="6">
        <v>14379804761.904699</v>
      </c>
      <c r="C298" s="2" t="s">
        <v>6</v>
      </c>
      <c r="D298" s="4">
        <f ca="1">IFERROR(__xludf.DUMMYFUNCTION("B298*GOOGLEFINANCE(""CURRENCY:USDINR"")"),1087113239999.99)</f>
        <v>1087113239999.99</v>
      </c>
      <c r="E298" s="3"/>
    </row>
    <row r="299" spans="1:5" x14ac:dyDescent="0.25">
      <c r="A299" s="6">
        <v>298</v>
      </c>
      <c r="B299" s="6">
        <v>14506990476.190399</v>
      </c>
      <c r="C299" s="2" t="s">
        <v>6</v>
      </c>
      <c r="D299" s="4">
        <f ca="1">IFERROR(__xludf.DUMMYFUNCTION("B299*GOOGLEFINANCE(""CURRENCY:USDINR"")"),1096728479999.99)</f>
        <v>1096728479999.99</v>
      </c>
      <c r="E299" s="3"/>
    </row>
    <row r="300" spans="1:5" x14ac:dyDescent="0.25">
      <c r="A300" s="6">
        <v>299</v>
      </c>
      <c r="B300" s="6">
        <v>14634176190.4762</v>
      </c>
      <c r="C300" s="2" t="s">
        <v>6</v>
      </c>
      <c r="D300" s="4">
        <f ca="1">IFERROR(__xludf.DUMMYFUNCTION("B300*GOOGLEFINANCE(""CURRENCY:USDINR"")"),1106343720000)</f>
        <v>1106343720000</v>
      </c>
      <c r="E300" s="3"/>
    </row>
    <row r="301" spans="1:5" x14ac:dyDescent="0.25">
      <c r="A301" s="6">
        <v>300</v>
      </c>
      <c r="B301" s="6">
        <v>14761361904.7619</v>
      </c>
      <c r="C301" s="2" t="s">
        <v>6</v>
      </c>
      <c r="D301" s="4">
        <f ca="1">IFERROR(__xludf.DUMMYFUNCTION("B301*GOOGLEFINANCE(""CURRENCY:USDINR"")"),1115958959999.99)</f>
        <v>1115958959999.99</v>
      </c>
      <c r="E301" s="3"/>
    </row>
    <row r="302" spans="1:5" x14ac:dyDescent="0.25">
      <c r="A302" s="6">
        <v>301</v>
      </c>
      <c r="B302" s="6">
        <v>14888547619.0476</v>
      </c>
      <c r="C302" s="2" t="s">
        <v>6</v>
      </c>
      <c r="D302" s="4">
        <f ca="1">IFERROR(__xludf.DUMMYFUNCTION("B302*GOOGLEFINANCE(""CURRENCY:USDINR"")"),1125574199999.99)</f>
        <v>1125574199999.99</v>
      </c>
      <c r="E302" s="3"/>
    </row>
    <row r="303" spans="1:5" x14ac:dyDescent="0.25">
      <c r="A303" s="6">
        <v>302</v>
      </c>
      <c r="B303" s="6">
        <v>15015733333.3333</v>
      </c>
      <c r="C303" s="2" t="s">
        <v>6</v>
      </c>
      <c r="D303" s="4">
        <f ca="1">IFERROR(__xludf.DUMMYFUNCTION("B303*GOOGLEFINANCE(""CURRENCY:USDINR"")"),1135189439999.99)</f>
        <v>1135189439999.99</v>
      </c>
      <c r="E303" s="3"/>
    </row>
    <row r="304" spans="1:5" x14ac:dyDescent="0.25">
      <c r="A304" s="6">
        <v>303</v>
      </c>
      <c r="B304" s="6">
        <v>15142919047.618999</v>
      </c>
      <c r="C304" s="2" t="s">
        <v>6</v>
      </c>
      <c r="D304" s="4">
        <f ca="1">IFERROR(__xludf.DUMMYFUNCTION("B304*GOOGLEFINANCE(""CURRENCY:USDINR"")"),1144804679999.99)</f>
        <v>1144804679999.99</v>
      </c>
      <c r="E304" s="3"/>
    </row>
    <row r="305" spans="1:5" x14ac:dyDescent="0.25">
      <c r="A305" s="6">
        <v>304</v>
      </c>
      <c r="B305" s="6">
        <v>15270104761.904699</v>
      </c>
      <c r="C305" s="2" t="s">
        <v>6</v>
      </c>
      <c r="D305" s="4">
        <f ca="1">IFERROR(__xludf.DUMMYFUNCTION("B305*GOOGLEFINANCE(""CURRENCY:USDINR"")"),1154419919999.99)</f>
        <v>1154419919999.99</v>
      </c>
      <c r="E305" s="3"/>
    </row>
    <row r="306" spans="1:5" x14ac:dyDescent="0.25">
      <c r="A306" s="6">
        <v>305</v>
      </c>
      <c r="B306" s="6">
        <v>15397290476.190399</v>
      </c>
      <c r="C306" s="2" t="s">
        <v>6</v>
      </c>
      <c r="D306" s="4">
        <f ca="1">IFERROR(__xludf.DUMMYFUNCTION("B306*GOOGLEFINANCE(""CURRENCY:USDINR"")"),1164035159999.99)</f>
        <v>1164035159999.99</v>
      </c>
      <c r="E306" s="3"/>
    </row>
    <row r="307" spans="1:5" x14ac:dyDescent="0.25">
      <c r="A307" s="6">
        <v>306</v>
      </c>
      <c r="B307" s="6">
        <v>15524476190.4762</v>
      </c>
      <c r="C307" s="2" t="s">
        <v>6</v>
      </c>
      <c r="D307" s="4">
        <f ca="1">IFERROR(__xludf.DUMMYFUNCTION("B307*GOOGLEFINANCE(""CURRENCY:USDINR"")"),1173650400000)</f>
        <v>1173650400000</v>
      </c>
      <c r="E307" s="3"/>
    </row>
    <row r="308" spans="1:5" x14ac:dyDescent="0.25">
      <c r="A308" s="6">
        <v>307</v>
      </c>
      <c r="B308" s="6">
        <v>15651661904.7619</v>
      </c>
      <c r="C308" s="2" t="s">
        <v>6</v>
      </c>
      <c r="D308" s="4">
        <f ca="1">IFERROR(__xludf.DUMMYFUNCTION("B308*GOOGLEFINANCE(""CURRENCY:USDINR"")"),1183265639999.99)</f>
        <v>1183265639999.99</v>
      </c>
      <c r="E308" s="3"/>
    </row>
    <row r="309" spans="1:5" x14ac:dyDescent="0.25">
      <c r="A309" s="6">
        <v>308</v>
      </c>
      <c r="B309" s="6">
        <v>15778847619.0476</v>
      </c>
      <c r="C309" s="2" t="s">
        <v>6</v>
      </c>
      <c r="D309" s="4">
        <f ca="1">IFERROR(__xludf.DUMMYFUNCTION("B309*GOOGLEFINANCE(""CURRENCY:USDINR"")"),1192880879999.99)</f>
        <v>1192880879999.99</v>
      </c>
      <c r="E309" s="3"/>
    </row>
    <row r="310" spans="1:5" x14ac:dyDescent="0.25">
      <c r="A310" s="6">
        <v>309</v>
      </c>
      <c r="B310" s="6">
        <v>15906033333.3333</v>
      </c>
      <c r="C310" s="2" t="s">
        <v>6</v>
      </c>
      <c r="D310" s="4">
        <f ca="1">IFERROR(__xludf.DUMMYFUNCTION("B310*GOOGLEFINANCE(""CURRENCY:USDINR"")"),1202496119999.99)</f>
        <v>1202496119999.99</v>
      </c>
      <c r="E310" s="3"/>
    </row>
    <row r="311" spans="1:5" x14ac:dyDescent="0.25">
      <c r="A311" s="6">
        <v>310</v>
      </c>
      <c r="B311" s="6">
        <v>16033219047.618999</v>
      </c>
      <c r="C311" s="2" t="s">
        <v>6</v>
      </c>
      <c r="D311" s="4">
        <f ca="1">IFERROR(__xludf.DUMMYFUNCTION("B311*GOOGLEFINANCE(""CURRENCY:USDINR"")"),1212111359999.99)</f>
        <v>1212111359999.99</v>
      </c>
      <c r="E311" s="3"/>
    </row>
    <row r="312" spans="1:5" x14ac:dyDescent="0.25">
      <c r="A312" s="6">
        <v>311</v>
      </c>
      <c r="B312" s="6">
        <v>16160404761.904699</v>
      </c>
      <c r="C312" s="2" t="s">
        <v>6</v>
      </c>
      <c r="D312" s="4">
        <f ca="1">IFERROR(__xludf.DUMMYFUNCTION("B312*GOOGLEFINANCE(""CURRENCY:USDINR"")"),1221726599999.99)</f>
        <v>1221726599999.99</v>
      </c>
      <c r="E312" s="3"/>
    </row>
    <row r="313" spans="1:5" x14ac:dyDescent="0.25">
      <c r="A313" s="6">
        <v>312</v>
      </c>
      <c r="B313" s="6">
        <v>16287590476.190399</v>
      </c>
      <c r="C313" s="2" t="s">
        <v>6</v>
      </c>
      <c r="D313" s="4">
        <f ca="1">IFERROR(__xludf.DUMMYFUNCTION("B313*GOOGLEFINANCE(""CURRENCY:USDINR"")"),1231341839999.99)</f>
        <v>1231341839999.99</v>
      </c>
      <c r="E313" s="3"/>
    </row>
    <row r="314" spans="1:5" x14ac:dyDescent="0.25">
      <c r="A314" s="6">
        <v>313</v>
      </c>
      <c r="B314" s="6">
        <v>16414776190.4762</v>
      </c>
      <c r="C314" s="2" t="s">
        <v>6</v>
      </c>
      <c r="D314" s="4">
        <f ca="1">IFERROR(__xludf.DUMMYFUNCTION("B314*GOOGLEFINANCE(""CURRENCY:USDINR"")"),1240957080000)</f>
        <v>1240957080000</v>
      </c>
      <c r="E314" s="3"/>
    </row>
    <row r="315" spans="1:5" x14ac:dyDescent="0.25">
      <c r="A315" s="6">
        <v>314</v>
      </c>
      <c r="B315" s="6">
        <v>16541961904.7619</v>
      </c>
      <c r="C315" s="2" t="s">
        <v>6</v>
      </c>
      <c r="D315" s="4">
        <f ca="1">IFERROR(__xludf.DUMMYFUNCTION("B315*GOOGLEFINANCE(""CURRENCY:USDINR"")"),1250572319999.99)</f>
        <v>1250572319999.99</v>
      </c>
      <c r="E315" s="3"/>
    </row>
    <row r="316" spans="1:5" x14ac:dyDescent="0.25">
      <c r="A316" s="6">
        <v>315</v>
      </c>
      <c r="B316" s="6">
        <v>16669147619.0476</v>
      </c>
      <c r="C316" s="2" t="s">
        <v>6</v>
      </c>
      <c r="D316" s="4">
        <f ca="1">IFERROR(__xludf.DUMMYFUNCTION("B316*GOOGLEFINANCE(""CURRENCY:USDINR"")"),1260187559999.99)</f>
        <v>1260187559999.99</v>
      </c>
      <c r="E316" s="3"/>
    </row>
    <row r="317" spans="1:5" x14ac:dyDescent="0.25">
      <c r="A317" s="6">
        <v>316</v>
      </c>
      <c r="B317" s="6">
        <v>16796333333.3333</v>
      </c>
      <c r="C317" s="2" t="s">
        <v>6</v>
      </c>
      <c r="D317" s="4">
        <f ca="1">IFERROR(__xludf.DUMMYFUNCTION("B317*GOOGLEFINANCE(""CURRENCY:USDINR"")"),1269802799999.99)</f>
        <v>1269802799999.99</v>
      </c>
      <c r="E317" s="3"/>
    </row>
    <row r="318" spans="1:5" x14ac:dyDescent="0.25">
      <c r="A318" s="6">
        <v>317</v>
      </c>
      <c r="B318" s="6">
        <v>16923519047.618999</v>
      </c>
      <c r="C318" s="2" t="s">
        <v>6</v>
      </c>
      <c r="D318" s="4">
        <f ca="1">IFERROR(__xludf.DUMMYFUNCTION("B318*GOOGLEFINANCE(""CURRENCY:USDINR"")"),1279418039999.99)</f>
        <v>1279418039999.99</v>
      </c>
      <c r="E318" s="3"/>
    </row>
    <row r="319" spans="1:5" x14ac:dyDescent="0.25">
      <c r="A319" s="6">
        <v>318</v>
      </c>
      <c r="B319" s="6">
        <v>17050704761.904699</v>
      </c>
      <c r="C319" s="2" t="s">
        <v>6</v>
      </c>
      <c r="D319" s="4">
        <f ca="1">IFERROR(__xludf.DUMMYFUNCTION("B319*GOOGLEFINANCE(""CURRENCY:USDINR"")"),1289033279999.99)</f>
        <v>1289033279999.99</v>
      </c>
      <c r="E319" s="3"/>
    </row>
    <row r="320" spans="1:5" x14ac:dyDescent="0.25">
      <c r="A320" s="6">
        <v>319</v>
      </c>
      <c r="B320" s="6">
        <v>17177890476.190399</v>
      </c>
      <c r="C320" s="2" t="s">
        <v>6</v>
      </c>
      <c r="D320" s="4">
        <f ca="1">IFERROR(__xludf.DUMMYFUNCTION("B320*GOOGLEFINANCE(""CURRENCY:USDINR"")"),1298648519999.99)</f>
        <v>1298648519999.99</v>
      </c>
      <c r="E320" s="3"/>
    </row>
    <row r="321" spans="1:5" x14ac:dyDescent="0.25">
      <c r="A321" s="6">
        <v>320</v>
      </c>
      <c r="B321" s="6">
        <v>17305076190.4762</v>
      </c>
      <c r="C321" s="2" t="s">
        <v>6</v>
      </c>
      <c r="D321" s="4">
        <f ca="1">IFERROR(__xludf.DUMMYFUNCTION("B321*GOOGLEFINANCE(""CURRENCY:USDINR"")"),1308263760000)</f>
        <v>1308263760000</v>
      </c>
      <c r="E321" s="3"/>
    </row>
    <row r="322" spans="1:5" x14ac:dyDescent="0.25">
      <c r="A322" s="6">
        <v>321</v>
      </c>
      <c r="B322" s="6">
        <v>17432261904.761902</v>
      </c>
      <c r="C322" s="2" t="s">
        <v>6</v>
      </c>
      <c r="D322" s="4">
        <f ca="1">IFERROR(__xludf.DUMMYFUNCTION("B322*GOOGLEFINANCE(""CURRENCY:USDINR"")"),1317878999999.99)</f>
        <v>1317878999999.99</v>
      </c>
      <c r="E322" s="3"/>
    </row>
    <row r="323" spans="1:5" x14ac:dyDescent="0.25">
      <c r="A323" s="6">
        <v>322</v>
      </c>
      <c r="B323" s="6">
        <v>17559447619.0476</v>
      </c>
      <c r="C323" s="2" t="s">
        <v>6</v>
      </c>
      <c r="D323" s="4">
        <f ca="1">IFERROR(__xludf.DUMMYFUNCTION("B323*GOOGLEFINANCE(""CURRENCY:USDINR"")"),1327494239999.99)</f>
        <v>1327494239999.99</v>
      </c>
      <c r="E323" s="3"/>
    </row>
    <row r="324" spans="1:5" x14ac:dyDescent="0.25">
      <c r="A324" s="6">
        <v>323</v>
      </c>
      <c r="B324" s="6">
        <v>17686633333.333302</v>
      </c>
      <c r="C324" s="2" t="s">
        <v>6</v>
      </c>
      <c r="D324" s="4">
        <f ca="1">IFERROR(__xludf.DUMMYFUNCTION("B324*GOOGLEFINANCE(""CURRENCY:USDINR"")"),1337109479999.99)</f>
        <v>1337109479999.99</v>
      </c>
      <c r="E324" s="3"/>
    </row>
    <row r="325" spans="1:5" x14ac:dyDescent="0.25">
      <c r="A325" s="6">
        <v>324</v>
      </c>
      <c r="B325" s="6">
        <v>17813819047.618999</v>
      </c>
      <c r="C325" s="2" t="s">
        <v>6</v>
      </c>
      <c r="D325" s="4">
        <f ca="1">IFERROR(__xludf.DUMMYFUNCTION("B325*GOOGLEFINANCE(""CURRENCY:USDINR"")"),1346724719999.99)</f>
        <v>1346724719999.99</v>
      </c>
      <c r="E325" s="3"/>
    </row>
    <row r="326" spans="1:5" x14ac:dyDescent="0.25">
      <c r="A326" s="6">
        <v>325</v>
      </c>
      <c r="B326" s="6">
        <v>17941004761.904701</v>
      </c>
      <c r="C326" s="2" t="s">
        <v>6</v>
      </c>
      <c r="D326" s="4">
        <f ca="1">IFERROR(__xludf.DUMMYFUNCTION("B326*GOOGLEFINANCE(""CURRENCY:USDINR"")"),1356339959999.99)</f>
        <v>1356339959999.99</v>
      </c>
      <c r="E326" s="3"/>
    </row>
    <row r="327" spans="1:5" x14ac:dyDescent="0.25">
      <c r="A327" s="6">
        <v>326</v>
      </c>
      <c r="B327" s="6">
        <v>18068190476.190399</v>
      </c>
      <c r="C327" s="2" t="s">
        <v>6</v>
      </c>
      <c r="D327" s="4">
        <f ca="1">IFERROR(__xludf.DUMMYFUNCTION("B327*GOOGLEFINANCE(""CURRENCY:USDINR"")"),1365955199999.99)</f>
        <v>1365955199999.99</v>
      </c>
      <c r="E327" s="3"/>
    </row>
    <row r="328" spans="1:5" x14ac:dyDescent="0.25">
      <c r="A328" s="6">
        <v>327</v>
      </c>
      <c r="B328" s="6">
        <v>18195376190.4762</v>
      </c>
      <c r="C328" s="2" t="s">
        <v>6</v>
      </c>
      <c r="D328" s="4">
        <f ca="1">IFERROR(__xludf.DUMMYFUNCTION("B328*GOOGLEFINANCE(""CURRENCY:USDINR"")"),1375570440000)</f>
        <v>1375570440000</v>
      </c>
      <c r="E328" s="3"/>
    </row>
    <row r="329" spans="1:5" x14ac:dyDescent="0.25">
      <c r="A329" s="6">
        <v>328</v>
      </c>
      <c r="B329" s="6">
        <v>18322561904.761902</v>
      </c>
      <c r="C329" s="2" t="s">
        <v>6</v>
      </c>
      <c r="D329" s="4">
        <f ca="1">IFERROR(__xludf.DUMMYFUNCTION("B329*GOOGLEFINANCE(""CURRENCY:USDINR"")"),1385185679999.99)</f>
        <v>1385185679999.99</v>
      </c>
      <c r="E329" s="3"/>
    </row>
    <row r="330" spans="1:5" x14ac:dyDescent="0.25">
      <c r="A330" s="6">
        <v>329</v>
      </c>
      <c r="B330" s="6">
        <v>18449747619.0476</v>
      </c>
      <c r="C330" s="2" t="s">
        <v>6</v>
      </c>
      <c r="D330" s="4">
        <f ca="1">IFERROR(__xludf.DUMMYFUNCTION("B330*GOOGLEFINANCE(""CURRENCY:USDINR"")"),1394800919999.99)</f>
        <v>1394800919999.99</v>
      </c>
      <c r="E330" s="3"/>
    </row>
    <row r="331" spans="1:5" x14ac:dyDescent="0.25">
      <c r="A331" s="6">
        <v>330</v>
      </c>
      <c r="B331" s="6">
        <v>18576933333.333302</v>
      </c>
      <c r="C331" s="2" t="s">
        <v>6</v>
      </c>
      <c r="D331" s="4">
        <f ca="1">IFERROR(__xludf.DUMMYFUNCTION("B331*GOOGLEFINANCE(""CURRENCY:USDINR"")"),1404416159999.99)</f>
        <v>1404416159999.99</v>
      </c>
      <c r="E331" s="3"/>
    </row>
    <row r="332" spans="1:5" x14ac:dyDescent="0.25">
      <c r="A332" s="6">
        <v>331</v>
      </c>
      <c r="B332" s="6">
        <v>18704119047.618999</v>
      </c>
      <c r="C332" s="2" t="s">
        <v>6</v>
      </c>
      <c r="D332" s="4">
        <f ca="1">IFERROR(__xludf.DUMMYFUNCTION("B332*GOOGLEFINANCE(""CURRENCY:USDINR"")"),1414031399999.99)</f>
        <v>1414031399999.99</v>
      </c>
      <c r="E332" s="3"/>
    </row>
    <row r="333" spans="1:5" x14ac:dyDescent="0.25">
      <c r="A333" s="6">
        <v>332</v>
      </c>
      <c r="B333" s="6">
        <v>18831304761.904701</v>
      </c>
      <c r="C333" s="2" t="s">
        <v>6</v>
      </c>
      <c r="D333" s="4">
        <f ca="1">IFERROR(__xludf.DUMMYFUNCTION("B333*GOOGLEFINANCE(""CURRENCY:USDINR"")"),1423646639999.99)</f>
        <v>1423646639999.99</v>
      </c>
      <c r="E333" s="3"/>
    </row>
    <row r="334" spans="1:5" x14ac:dyDescent="0.25">
      <c r="A334" s="6">
        <v>333</v>
      </c>
      <c r="B334" s="6">
        <v>18958490476.190399</v>
      </c>
      <c r="C334" s="2" t="s">
        <v>6</v>
      </c>
      <c r="D334" s="4">
        <f ca="1">IFERROR(__xludf.DUMMYFUNCTION("B334*GOOGLEFINANCE(""CURRENCY:USDINR"")"),1433261879999.99)</f>
        <v>1433261879999.99</v>
      </c>
      <c r="E334" s="3"/>
    </row>
    <row r="335" spans="1:5" x14ac:dyDescent="0.25">
      <c r="A335" s="6">
        <v>334</v>
      </c>
      <c r="B335" s="6">
        <v>19085676190.4762</v>
      </c>
      <c r="C335" s="2" t="s">
        <v>6</v>
      </c>
      <c r="D335" s="4">
        <f ca="1">IFERROR(__xludf.DUMMYFUNCTION("B335*GOOGLEFINANCE(""CURRENCY:USDINR"")"),1442877120000)</f>
        <v>1442877120000</v>
      </c>
      <c r="E335" s="3"/>
    </row>
    <row r="336" spans="1:5" x14ac:dyDescent="0.25">
      <c r="A336" s="6">
        <v>335</v>
      </c>
      <c r="B336" s="6">
        <v>19212861904.761902</v>
      </c>
      <c r="C336" s="2" t="s">
        <v>6</v>
      </c>
      <c r="D336" s="4">
        <f ca="1">IFERROR(__xludf.DUMMYFUNCTION("B336*GOOGLEFINANCE(""CURRENCY:USDINR"")"),1452492359999.99)</f>
        <v>1452492359999.99</v>
      </c>
      <c r="E336" s="3"/>
    </row>
    <row r="337" spans="1:5" x14ac:dyDescent="0.25">
      <c r="A337" s="6">
        <v>336</v>
      </c>
      <c r="B337" s="6">
        <v>19340047619.0476</v>
      </c>
      <c r="C337" s="2" t="s">
        <v>6</v>
      </c>
      <c r="D337" s="4">
        <f ca="1">IFERROR(__xludf.DUMMYFUNCTION("B337*GOOGLEFINANCE(""CURRENCY:USDINR"")"),1462107599999.99)</f>
        <v>1462107599999.99</v>
      </c>
      <c r="E337" s="3"/>
    </row>
    <row r="338" spans="1:5" x14ac:dyDescent="0.25">
      <c r="A338" s="6">
        <v>337</v>
      </c>
      <c r="B338" s="6">
        <v>19467233333.333302</v>
      </c>
      <c r="C338" s="2" t="s">
        <v>6</v>
      </c>
      <c r="D338" s="4">
        <f ca="1">IFERROR(__xludf.DUMMYFUNCTION("B338*GOOGLEFINANCE(""CURRENCY:USDINR"")"),1471722839999.99)</f>
        <v>1471722839999.99</v>
      </c>
      <c r="E338" s="3"/>
    </row>
    <row r="339" spans="1:5" x14ac:dyDescent="0.25">
      <c r="A339" s="6">
        <v>338</v>
      </c>
      <c r="B339" s="6">
        <v>19594419047.618999</v>
      </c>
      <c r="C339" s="2" t="s">
        <v>6</v>
      </c>
      <c r="D339" s="4">
        <f ca="1">IFERROR(__xludf.DUMMYFUNCTION("B339*GOOGLEFINANCE(""CURRENCY:USDINR"")"),1481338079999.99)</f>
        <v>1481338079999.99</v>
      </c>
      <c r="E339" s="3"/>
    </row>
    <row r="340" spans="1:5" x14ac:dyDescent="0.25">
      <c r="A340" s="6">
        <v>339</v>
      </c>
      <c r="B340" s="6">
        <v>19721604761.904701</v>
      </c>
      <c r="C340" s="2" t="s">
        <v>6</v>
      </c>
      <c r="D340" s="4">
        <f ca="1">IFERROR(__xludf.DUMMYFUNCTION("B340*GOOGLEFINANCE(""CURRENCY:USDINR"")"),1490953319999.99)</f>
        <v>1490953319999.99</v>
      </c>
      <c r="E340" s="3"/>
    </row>
    <row r="341" spans="1:5" x14ac:dyDescent="0.25">
      <c r="A341" s="6">
        <v>340</v>
      </c>
      <c r="B341" s="6">
        <v>19848790476.190399</v>
      </c>
      <c r="C341" s="2" t="s">
        <v>6</v>
      </c>
      <c r="D341" s="4">
        <f ca="1">IFERROR(__xludf.DUMMYFUNCTION("B341*GOOGLEFINANCE(""CURRENCY:USDINR"")"),1500568559999.99)</f>
        <v>1500568559999.99</v>
      </c>
      <c r="E341" s="3"/>
    </row>
    <row r="342" spans="1:5" x14ac:dyDescent="0.25">
      <c r="A342" s="6">
        <v>341</v>
      </c>
      <c r="B342" s="6">
        <v>19975976190.4762</v>
      </c>
      <c r="C342" s="2" t="s">
        <v>6</v>
      </c>
      <c r="D342" s="4">
        <f ca="1">IFERROR(__xludf.DUMMYFUNCTION("B342*GOOGLEFINANCE(""CURRENCY:USDINR"")"),1510183800000)</f>
        <v>1510183800000</v>
      </c>
      <c r="E342" s="3"/>
    </row>
    <row r="343" spans="1:5" x14ac:dyDescent="0.25">
      <c r="A343" s="6">
        <v>342</v>
      </c>
      <c r="B343" s="6">
        <v>20103161904.761902</v>
      </c>
      <c r="C343" s="2" t="s">
        <v>6</v>
      </c>
      <c r="D343" s="4">
        <f ca="1">IFERROR(__xludf.DUMMYFUNCTION("B343*GOOGLEFINANCE(""CURRENCY:USDINR"")"),1519799039999.99)</f>
        <v>1519799039999.99</v>
      </c>
      <c r="E343" s="3"/>
    </row>
    <row r="344" spans="1:5" x14ac:dyDescent="0.25">
      <c r="A344" s="6">
        <v>343</v>
      </c>
      <c r="B344" s="6">
        <v>20230347619.0476</v>
      </c>
      <c r="C344" s="2" t="s">
        <v>6</v>
      </c>
      <c r="D344" s="4">
        <f ca="1">IFERROR(__xludf.DUMMYFUNCTION("B344*GOOGLEFINANCE(""CURRENCY:USDINR"")"),1529414279999.99)</f>
        <v>1529414279999.99</v>
      </c>
      <c r="E344" s="3"/>
    </row>
    <row r="345" spans="1:5" x14ac:dyDescent="0.25">
      <c r="A345" s="6">
        <v>344</v>
      </c>
      <c r="B345" s="6">
        <v>20357533333.333302</v>
      </c>
      <c r="C345" s="2" t="s">
        <v>6</v>
      </c>
      <c r="D345" s="4">
        <f ca="1">IFERROR(__xludf.DUMMYFUNCTION("B345*GOOGLEFINANCE(""CURRENCY:USDINR"")"),1539029519999.99)</f>
        <v>1539029519999.99</v>
      </c>
      <c r="E345" s="3"/>
    </row>
    <row r="346" spans="1:5" x14ac:dyDescent="0.25">
      <c r="A346" s="6">
        <v>345</v>
      </c>
      <c r="B346" s="6">
        <v>20484719047.618999</v>
      </c>
      <c r="C346" s="2" t="s">
        <v>6</v>
      </c>
      <c r="D346" s="4">
        <f ca="1">IFERROR(__xludf.DUMMYFUNCTION("B346*GOOGLEFINANCE(""CURRENCY:USDINR"")"),1548644759999.99)</f>
        <v>1548644759999.99</v>
      </c>
      <c r="E346" s="3"/>
    </row>
    <row r="347" spans="1:5" x14ac:dyDescent="0.25">
      <c r="A347" s="6">
        <v>346</v>
      </c>
      <c r="B347" s="6">
        <v>20611904761.904701</v>
      </c>
      <c r="C347" s="2" t="s">
        <v>6</v>
      </c>
      <c r="D347" s="4">
        <f ca="1">IFERROR(__xludf.DUMMYFUNCTION("B347*GOOGLEFINANCE(""CURRENCY:USDINR"")"),1558259999999.99)</f>
        <v>1558259999999.99</v>
      </c>
      <c r="E347" s="3"/>
    </row>
    <row r="348" spans="1:5" x14ac:dyDescent="0.25">
      <c r="A348" s="6">
        <v>347</v>
      </c>
      <c r="B348" s="6">
        <v>20739090476.190399</v>
      </c>
      <c r="C348" s="2" t="s">
        <v>6</v>
      </c>
      <c r="D348" s="4">
        <f ca="1">IFERROR(__xludf.DUMMYFUNCTION("B348*GOOGLEFINANCE(""CURRENCY:USDINR"")"),1567875239999.99)</f>
        <v>1567875239999.99</v>
      </c>
      <c r="E348" s="3"/>
    </row>
    <row r="349" spans="1:5" x14ac:dyDescent="0.25">
      <c r="A349" s="6">
        <v>348</v>
      </c>
      <c r="B349" s="6">
        <v>20866276190.476101</v>
      </c>
      <c r="C349" s="2" t="s">
        <v>6</v>
      </c>
      <c r="D349" s="4">
        <f ca="1">IFERROR(__xludf.DUMMYFUNCTION("B349*GOOGLEFINANCE(""CURRENCY:USDINR"")"),1577490479999.99)</f>
        <v>1577490479999.99</v>
      </c>
      <c r="E349" s="3"/>
    </row>
    <row r="350" spans="1:5" x14ac:dyDescent="0.25">
      <c r="A350" s="6">
        <v>349</v>
      </c>
      <c r="B350" s="6">
        <v>20993461904.761902</v>
      </c>
      <c r="C350" s="2" t="s">
        <v>6</v>
      </c>
      <c r="D350" s="4">
        <f ca="1">IFERROR(__xludf.DUMMYFUNCTION("B350*GOOGLEFINANCE(""CURRENCY:USDINR"")"),1587105719999.99)</f>
        <v>1587105719999.99</v>
      </c>
      <c r="E350" s="3"/>
    </row>
    <row r="351" spans="1:5" x14ac:dyDescent="0.25">
      <c r="A351" s="6">
        <v>350</v>
      </c>
      <c r="B351" s="6">
        <v>21120647619.0476</v>
      </c>
      <c r="C351" s="2" t="s">
        <v>6</v>
      </c>
      <c r="D351" s="4">
        <f ca="1">IFERROR(__xludf.DUMMYFUNCTION("B351*GOOGLEFINANCE(""CURRENCY:USDINR"")"),1596720959999.99)</f>
        <v>1596720959999.99</v>
      </c>
      <c r="E351" s="3"/>
    </row>
    <row r="352" spans="1:5" x14ac:dyDescent="0.25">
      <c r="A352" s="6">
        <v>351</v>
      </c>
      <c r="B352" s="6">
        <v>21247833333.333302</v>
      </c>
      <c r="C352" s="2" t="s">
        <v>6</v>
      </c>
      <c r="D352" s="4">
        <f ca="1">IFERROR(__xludf.DUMMYFUNCTION("B352*GOOGLEFINANCE(""CURRENCY:USDINR"")"),1606336199999.99)</f>
        <v>1606336199999.99</v>
      </c>
      <c r="E352" s="3"/>
    </row>
    <row r="353" spans="1:5" x14ac:dyDescent="0.25">
      <c r="A353" s="6">
        <v>352</v>
      </c>
      <c r="B353" s="6">
        <v>21375019047.618999</v>
      </c>
      <c r="C353" s="2" t="s">
        <v>6</v>
      </c>
      <c r="D353" s="4">
        <f ca="1">IFERROR(__xludf.DUMMYFUNCTION("B353*GOOGLEFINANCE(""CURRENCY:USDINR"")"),1615951439999.99)</f>
        <v>1615951439999.99</v>
      </c>
      <c r="E353" s="3"/>
    </row>
    <row r="354" spans="1:5" x14ac:dyDescent="0.25">
      <c r="A354" s="6">
        <v>353</v>
      </c>
      <c r="B354" s="6">
        <v>21502204761.904701</v>
      </c>
      <c r="C354" s="2" t="s">
        <v>6</v>
      </c>
      <c r="D354" s="4">
        <f ca="1">IFERROR(__xludf.DUMMYFUNCTION("B354*GOOGLEFINANCE(""CURRENCY:USDINR"")"),1625566679999.99)</f>
        <v>1625566679999.99</v>
      </c>
      <c r="E354" s="3"/>
    </row>
    <row r="355" spans="1:5" x14ac:dyDescent="0.25">
      <c r="A355" s="6">
        <v>354</v>
      </c>
      <c r="B355" s="6">
        <v>21629390476.190399</v>
      </c>
      <c r="C355" s="2" t="s">
        <v>6</v>
      </c>
      <c r="D355" s="4">
        <f ca="1">IFERROR(__xludf.DUMMYFUNCTION("B355*GOOGLEFINANCE(""CURRENCY:USDINR"")"),1635181919999.99)</f>
        <v>1635181919999.99</v>
      </c>
      <c r="E355" s="3"/>
    </row>
    <row r="356" spans="1:5" x14ac:dyDescent="0.25">
      <c r="A356" s="6">
        <v>355</v>
      </c>
      <c r="B356" s="6">
        <v>21756576190.476101</v>
      </c>
      <c r="C356" s="2" t="s">
        <v>6</v>
      </c>
      <c r="D356" s="4">
        <f ca="1">IFERROR(__xludf.DUMMYFUNCTION("B356*GOOGLEFINANCE(""CURRENCY:USDINR"")"),1644797159999.99)</f>
        <v>1644797159999.99</v>
      </c>
      <c r="E356" s="3"/>
    </row>
    <row r="357" spans="1:5" x14ac:dyDescent="0.25">
      <c r="A357" s="6">
        <v>356</v>
      </c>
      <c r="B357" s="6">
        <v>21883761904.761902</v>
      </c>
      <c r="C357" s="2" t="s">
        <v>6</v>
      </c>
      <c r="D357" s="4">
        <f ca="1">IFERROR(__xludf.DUMMYFUNCTION("B357*GOOGLEFINANCE(""CURRENCY:USDINR"")"),1654412399999.99)</f>
        <v>1654412399999.99</v>
      </c>
      <c r="E357" s="3"/>
    </row>
    <row r="358" spans="1:5" x14ac:dyDescent="0.25">
      <c r="A358" s="6">
        <v>357</v>
      </c>
      <c r="B358" s="6">
        <v>22010947619.0476</v>
      </c>
      <c r="C358" s="2" t="s">
        <v>6</v>
      </c>
      <c r="D358" s="4">
        <f ca="1">IFERROR(__xludf.DUMMYFUNCTION("B358*GOOGLEFINANCE(""CURRENCY:USDINR"")"),1664027639999.99)</f>
        <v>1664027639999.99</v>
      </c>
      <c r="E358" s="3"/>
    </row>
    <row r="359" spans="1:5" x14ac:dyDescent="0.25">
      <c r="A359" s="6">
        <v>358</v>
      </c>
      <c r="B359" s="6">
        <v>22138133333.333302</v>
      </c>
      <c r="C359" s="2" t="s">
        <v>6</v>
      </c>
      <c r="D359" s="4">
        <f ca="1">IFERROR(__xludf.DUMMYFUNCTION("B359*GOOGLEFINANCE(""CURRENCY:USDINR"")"),1673642879999.99)</f>
        <v>1673642879999.99</v>
      </c>
      <c r="E359" s="3"/>
    </row>
    <row r="360" spans="1:5" x14ac:dyDescent="0.25">
      <c r="A360" s="6">
        <v>359</v>
      </c>
      <c r="B360" s="6">
        <v>22265319047.618999</v>
      </c>
      <c r="C360" s="2" t="s">
        <v>6</v>
      </c>
      <c r="D360" s="4">
        <f ca="1">IFERROR(__xludf.DUMMYFUNCTION("B360*GOOGLEFINANCE(""CURRENCY:USDINR"")"),1683258119999.99)</f>
        <v>1683258119999.99</v>
      </c>
      <c r="E360" s="3"/>
    </row>
    <row r="361" spans="1:5" x14ac:dyDescent="0.25">
      <c r="A361" s="6">
        <v>360</v>
      </c>
      <c r="B361" s="6">
        <v>22392504761.904701</v>
      </c>
      <c r="C361" s="2" t="s">
        <v>6</v>
      </c>
      <c r="D361" s="4">
        <f ca="1">IFERROR(__xludf.DUMMYFUNCTION("B361*GOOGLEFINANCE(""CURRENCY:USDINR"")"),1692873359999.99)</f>
        <v>1692873359999.99</v>
      </c>
      <c r="E361" s="3"/>
    </row>
    <row r="362" spans="1:5" x14ac:dyDescent="0.25">
      <c r="A362" s="6">
        <v>361</v>
      </c>
      <c r="B362" s="6">
        <v>22519690476.190399</v>
      </c>
      <c r="C362" s="2" t="s">
        <v>6</v>
      </c>
      <c r="D362" s="4">
        <f ca="1">IFERROR(__xludf.DUMMYFUNCTION("B362*GOOGLEFINANCE(""CURRENCY:USDINR"")"),1702488599999.99)</f>
        <v>1702488599999.99</v>
      </c>
      <c r="E362" s="3"/>
    </row>
    <row r="363" spans="1:5" x14ac:dyDescent="0.25">
      <c r="A363" s="6">
        <v>362</v>
      </c>
      <c r="B363" s="6">
        <v>22646876190.476101</v>
      </c>
      <c r="C363" s="2" t="s">
        <v>6</v>
      </c>
      <c r="D363" s="4">
        <f ca="1">IFERROR(__xludf.DUMMYFUNCTION("B363*GOOGLEFINANCE(""CURRENCY:USDINR"")"),1712103839999.99)</f>
        <v>1712103839999.99</v>
      </c>
      <c r="E363" s="3"/>
    </row>
    <row r="364" spans="1:5" x14ac:dyDescent="0.25">
      <c r="A364" s="6">
        <v>363</v>
      </c>
      <c r="B364" s="6">
        <v>22774061904.761902</v>
      </c>
      <c r="C364" s="2" t="s">
        <v>6</v>
      </c>
      <c r="D364" s="4">
        <f ca="1">IFERROR(__xludf.DUMMYFUNCTION("B364*GOOGLEFINANCE(""CURRENCY:USDINR"")"),1721719079999.99)</f>
        <v>1721719079999.99</v>
      </c>
      <c r="E364" s="3"/>
    </row>
    <row r="365" spans="1:5" x14ac:dyDescent="0.25">
      <c r="A365" s="6">
        <v>364</v>
      </c>
      <c r="B365" s="6">
        <v>22901247619.0476</v>
      </c>
      <c r="C365" s="2" t="s">
        <v>6</v>
      </c>
      <c r="D365" s="4">
        <f ca="1">IFERROR(__xludf.DUMMYFUNCTION("B365*GOOGLEFINANCE(""CURRENCY:USDINR"")"),1731334319999.99)</f>
        <v>1731334319999.99</v>
      </c>
      <c r="E365" s="3"/>
    </row>
    <row r="366" spans="1:5" x14ac:dyDescent="0.25">
      <c r="A366" s="6">
        <v>365</v>
      </c>
      <c r="B366" s="6">
        <v>23028433333.333302</v>
      </c>
      <c r="C366" s="2" t="s">
        <v>6</v>
      </c>
      <c r="D366" s="4">
        <f ca="1">IFERROR(__xludf.DUMMYFUNCTION("B366*GOOGLEFINANCE(""CURRENCY:USDINR"")"),1740949559999.99)</f>
        <v>1740949559999.99</v>
      </c>
      <c r="E366" s="3"/>
    </row>
    <row r="367" spans="1:5" x14ac:dyDescent="0.25">
      <c r="A367" s="6">
        <v>366</v>
      </c>
      <c r="B367" s="6">
        <v>23155619047.618999</v>
      </c>
      <c r="C367" s="2" t="s">
        <v>6</v>
      </c>
      <c r="D367" s="4">
        <f ca="1">IFERROR(__xludf.DUMMYFUNCTION("B367*GOOGLEFINANCE(""CURRENCY:USDINR"")"),1750564799999.99)</f>
        <v>1750564799999.99</v>
      </c>
      <c r="E367" s="3"/>
    </row>
    <row r="368" spans="1:5" x14ac:dyDescent="0.25">
      <c r="A368" s="6">
        <v>367</v>
      </c>
      <c r="B368" s="6">
        <v>23282804761.904701</v>
      </c>
      <c r="C368" s="2" t="s">
        <v>6</v>
      </c>
      <c r="D368" s="4">
        <f ca="1">IFERROR(__xludf.DUMMYFUNCTION("B368*GOOGLEFINANCE(""CURRENCY:USDINR"")"),1760180039999.99)</f>
        <v>1760180039999.99</v>
      </c>
      <c r="E368" s="3"/>
    </row>
    <row r="369" spans="1:5" x14ac:dyDescent="0.25">
      <c r="A369" s="6">
        <v>368</v>
      </c>
      <c r="B369" s="6">
        <v>23409990476.190399</v>
      </c>
      <c r="C369" s="2" t="s">
        <v>6</v>
      </c>
      <c r="D369" s="4">
        <f ca="1">IFERROR(__xludf.DUMMYFUNCTION("B369*GOOGLEFINANCE(""CURRENCY:USDINR"")"),1769795279999.99)</f>
        <v>1769795279999.99</v>
      </c>
      <c r="E369" s="3"/>
    </row>
    <row r="370" spans="1:5" x14ac:dyDescent="0.25">
      <c r="A370" s="6">
        <v>369</v>
      </c>
      <c r="B370" s="6">
        <v>23537176190.476101</v>
      </c>
      <c r="C370" s="2" t="s">
        <v>6</v>
      </c>
      <c r="D370" s="4">
        <f ca="1">IFERROR(__xludf.DUMMYFUNCTION("B370*GOOGLEFINANCE(""CURRENCY:USDINR"")"),1779410519999.99)</f>
        <v>1779410519999.99</v>
      </c>
      <c r="E370" s="3"/>
    </row>
    <row r="371" spans="1:5" x14ac:dyDescent="0.25">
      <c r="A371" s="6">
        <v>370</v>
      </c>
      <c r="B371" s="6">
        <v>23664361904.761902</v>
      </c>
      <c r="C371" s="2" t="s">
        <v>6</v>
      </c>
      <c r="D371" s="4">
        <f ca="1">IFERROR(__xludf.DUMMYFUNCTION("B371*GOOGLEFINANCE(""CURRENCY:USDINR"")"),1789025759999.99)</f>
        <v>1789025759999.99</v>
      </c>
      <c r="E371" s="3"/>
    </row>
    <row r="372" spans="1:5" x14ac:dyDescent="0.25">
      <c r="A372" s="6">
        <v>371</v>
      </c>
      <c r="B372" s="6">
        <v>23791547619.0476</v>
      </c>
      <c r="C372" s="2" t="s">
        <v>6</v>
      </c>
      <c r="D372" s="4">
        <f ca="1">IFERROR(__xludf.DUMMYFUNCTION("B372*GOOGLEFINANCE(""CURRENCY:USDINR"")"),1798640999999.99)</f>
        <v>1798640999999.99</v>
      </c>
      <c r="E372" s="3"/>
    </row>
    <row r="373" spans="1:5" x14ac:dyDescent="0.25">
      <c r="A373" s="6">
        <v>372</v>
      </c>
      <c r="B373" s="6">
        <v>23918733333.333302</v>
      </c>
      <c r="C373" s="2" t="s">
        <v>6</v>
      </c>
      <c r="D373" s="4">
        <f ca="1">IFERROR(__xludf.DUMMYFUNCTION("B373*GOOGLEFINANCE(""CURRENCY:USDINR"")"),1808256239999.99)</f>
        <v>1808256239999.99</v>
      </c>
      <c r="E373" s="3"/>
    </row>
    <row r="374" spans="1:5" x14ac:dyDescent="0.25">
      <c r="A374" s="6">
        <v>373</v>
      </c>
      <c r="B374" s="6">
        <v>24045919047.618999</v>
      </c>
      <c r="C374" s="2" t="s">
        <v>6</v>
      </c>
      <c r="D374" s="4">
        <f ca="1">IFERROR(__xludf.DUMMYFUNCTION("B374*GOOGLEFINANCE(""CURRENCY:USDINR"")"),1817871479999.99)</f>
        <v>1817871479999.99</v>
      </c>
      <c r="E374" s="3"/>
    </row>
    <row r="375" spans="1:5" x14ac:dyDescent="0.25">
      <c r="A375" s="6">
        <v>374</v>
      </c>
      <c r="B375" s="6">
        <v>24173104761.904701</v>
      </c>
      <c r="C375" s="2" t="s">
        <v>6</v>
      </c>
      <c r="D375" s="4">
        <f ca="1">IFERROR(__xludf.DUMMYFUNCTION("B375*GOOGLEFINANCE(""CURRENCY:USDINR"")"),1827486719999.99)</f>
        <v>1827486719999.99</v>
      </c>
      <c r="E375" s="3"/>
    </row>
    <row r="376" spans="1:5" x14ac:dyDescent="0.25">
      <c r="A376" s="6">
        <v>375</v>
      </c>
      <c r="B376" s="6">
        <v>24300290476.190399</v>
      </c>
      <c r="C376" s="2" t="s">
        <v>6</v>
      </c>
      <c r="D376" s="4">
        <f ca="1">IFERROR(__xludf.DUMMYFUNCTION("B376*GOOGLEFINANCE(""CURRENCY:USDINR"")"),1837101959999.99)</f>
        <v>1837101959999.99</v>
      </c>
      <c r="E376" s="3"/>
    </row>
    <row r="377" spans="1:5" x14ac:dyDescent="0.25">
      <c r="A377" s="6">
        <v>376</v>
      </c>
      <c r="B377" s="6">
        <v>24427476190.476101</v>
      </c>
      <c r="C377" s="2" t="s">
        <v>6</v>
      </c>
      <c r="D377" s="4">
        <f ca="1">IFERROR(__xludf.DUMMYFUNCTION("B377*GOOGLEFINANCE(""CURRENCY:USDINR"")"),1846717199999.99)</f>
        <v>1846717199999.99</v>
      </c>
      <c r="E377" s="3"/>
    </row>
    <row r="378" spans="1:5" x14ac:dyDescent="0.25">
      <c r="A378" s="6">
        <v>377</v>
      </c>
      <c r="B378" s="6">
        <v>24554661904.761902</v>
      </c>
      <c r="C378" s="2" t="s">
        <v>6</v>
      </c>
      <c r="D378" s="4">
        <f ca="1">IFERROR(__xludf.DUMMYFUNCTION("B378*GOOGLEFINANCE(""CURRENCY:USDINR"")"),1856332439999.99)</f>
        <v>1856332439999.99</v>
      </c>
      <c r="E378" s="3"/>
    </row>
    <row r="379" spans="1:5" x14ac:dyDescent="0.25">
      <c r="A379" s="6">
        <v>378</v>
      </c>
      <c r="B379" s="6">
        <v>24681847619.0476</v>
      </c>
      <c r="C379" s="2" t="s">
        <v>6</v>
      </c>
      <c r="D379" s="4">
        <f ca="1">IFERROR(__xludf.DUMMYFUNCTION("B379*GOOGLEFINANCE(""CURRENCY:USDINR"")"),1865947679999.99)</f>
        <v>1865947679999.99</v>
      </c>
      <c r="E379" s="3"/>
    </row>
    <row r="380" spans="1:5" x14ac:dyDescent="0.25">
      <c r="A380" s="6">
        <v>379</v>
      </c>
      <c r="B380" s="6">
        <v>24809033333.333302</v>
      </c>
      <c r="C380" s="2" t="s">
        <v>6</v>
      </c>
      <c r="D380" s="4">
        <f ca="1">IFERROR(__xludf.DUMMYFUNCTION("B380*GOOGLEFINANCE(""CURRENCY:USDINR"")"),1875562919999.99)</f>
        <v>1875562919999.99</v>
      </c>
      <c r="E380" s="3"/>
    </row>
    <row r="381" spans="1:5" x14ac:dyDescent="0.25">
      <c r="A381" s="6">
        <v>380</v>
      </c>
      <c r="B381" s="6">
        <v>24936219047.618999</v>
      </c>
      <c r="C381" s="2" t="s">
        <v>6</v>
      </c>
      <c r="D381" s="4">
        <f ca="1">IFERROR(__xludf.DUMMYFUNCTION("B381*GOOGLEFINANCE(""CURRENCY:USDINR"")"),1885178159999.99)</f>
        <v>1885178159999.99</v>
      </c>
      <c r="E381" s="3"/>
    </row>
    <row r="382" spans="1:5" x14ac:dyDescent="0.25">
      <c r="A382" s="6">
        <v>381</v>
      </c>
      <c r="B382" s="6">
        <v>25063404761.904701</v>
      </c>
      <c r="C382" s="2" t="s">
        <v>6</v>
      </c>
      <c r="D382" s="4">
        <f ca="1">IFERROR(__xludf.DUMMYFUNCTION("B382*GOOGLEFINANCE(""CURRENCY:USDINR"")"),1894793399999.99)</f>
        <v>1894793399999.99</v>
      </c>
      <c r="E382" s="3"/>
    </row>
    <row r="383" spans="1:5" x14ac:dyDescent="0.25">
      <c r="A383" s="6">
        <v>382</v>
      </c>
      <c r="B383" s="6">
        <v>25190590476.190399</v>
      </c>
      <c r="C383" s="2" t="s">
        <v>6</v>
      </c>
      <c r="D383" s="4">
        <f ca="1">IFERROR(__xludf.DUMMYFUNCTION("B383*GOOGLEFINANCE(""CURRENCY:USDINR"")"),1904408639999.99)</f>
        <v>1904408639999.99</v>
      </c>
      <c r="E383" s="3"/>
    </row>
    <row r="384" spans="1:5" x14ac:dyDescent="0.25">
      <c r="A384" s="6">
        <v>383</v>
      </c>
      <c r="B384" s="6">
        <v>25317776190.476101</v>
      </c>
      <c r="C384" s="2" t="s">
        <v>6</v>
      </c>
      <c r="D384" s="4">
        <f ca="1">IFERROR(__xludf.DUMMYFUNCTION("B384*GOOGLEFINANCE(""CURRENCY:USDINR"")"),1914023879999.99)</f>
        <v>1914023879999.99</v>
      </c>
      <c r="E384" s="3"/>
    </row>
    <row r="385" spans="1:5" x14ac:dyDescent="0.25">
      <c r="A385" s="6">
        <v>384</v>
      </c>
      <c r="B385" s="6">
        <v>25444961904.761902</v>
      </c>
      <c r="C385" s="2" t="s">
        <v>6</v>
      </c>
      <c r="D385" s="4">
        <f ca="1">IFERROR(__xludf.DUMMYFUNCTION("B385*GOOGLEFINANCE(""CURRENCY:USDINR"")"),1923639119999.99)</f>
        <v>1923639119999.99</v>
      </c>
      <c r="E385" s="3"/>
    </row>
    <row r="386" spans="1:5" x14ac:dyDescent="0.25">
      <c r="A386" s="6">
        <v>385</v>
      </c>
      <c r="B386" s="6">
        <v>25572147619.0476</v>
      </c>
      <c r="C386" s="2" t="s">
        <v>6</v>
      </c>
      <c r="D386" s="4">
        <f ca="1">IFERROR(__xludf.DUMMYFUNCTION("B386*GOOGLEFINANCE(""CURRENCY:USDINR"")"),1933254359999.99)</f>
        <v>1933254359999.99</v>
      </c>
      <c r="E386" s="3"/>
    </row>
    <row r="387" spans="1:5" x14ac:dyDescent="0.25">
      <c r="A387" s="6">
        <v>386</v>
      </c>
      <c r="B387" s="6">
        <v>25699333333.333302</v>
      </c>
      <c r="C387" s="2" t="s">
        <v>6</v>
      </c>
      <c r="D387" s="4">
        <f ca="1">IFERROR(__xludf.DUMMYFUNCTION("B387*GOOGLEFINANCE(""CURRENCY:USDINR"")"),1942869599999.99)</f>
        <v>1942869599999.99</v>
      </c>
      <c r="E387" s="3"/>
    </row>
    <row r="388" spans="1:5" x14ac:dyDescent="0.25">
      <c r="A388" s="6">
        <v>387</v>
      </c>
      <c r="B388" s="6">
        <v>25826519047.618999</v>
      </c>
      <c r="C388" s="2" t="s">
        <v>6</v>
      </c>
      <c r="D388" s="4">
        <f ca="1">IFERROR(__xludf.DUMMYFUNCTION("B388*GOOGLEFINANCE(""CURRENCY:USDINR"")"),1952484839999.99)</f>
        <v>1952484839999.99</v>
      </c>
      <c r="E388" s="3"/>
    </row>
    <row r="389" spans="1:5" x14ac:dyDescent="0.25">
      <c r="A389" s="6">
        <v>388</v>
      </c>
      <c r="B389" s="6">
        <v>25953704761.904701</v>
      </c>
      <c r="C389" s="2" t="s">
        <v>6</v>
      </c>
      <c r="D389" s="4">
        <f ca="1">IFERROR(__xludf.DUMMYFUNCTION("B389*GOOGLEFINANCE(""CURRENCY:USDINR"")"),1962100079999.99)</f>
        <v>1962100079999.99</v>
      </c>
      <c r="E389" s="3"/>
    </row>
    <row r="390" spans="1:5" x14ac:dyDescent="0.25">
      <c r="A390" s="6">
        <v>389</v>
      </c>
      <c r="B390" s="6">
        <v>26080890476.190399</v>
      </c>
      <c r="C390" s="2" t="s">
        <v>6</v>
      </c>
      <c r="D390" s="4">
        <f ca="1">IFERROR(__xludf.DUMMYFUNCTION("B390*GOOGLEFINANCE(""CURRENCY:USDINR"")"),1971715319999.99)</f>
        <v>1971715319999.99</v>
      </c>
      <c r="E390" s="3"/>
    </row>
    <row r="391" spans="1:5" x14ac:dyDescent="0.25">
      <c r="A391" s="6">
        <v>390</v>
      </c>
      <c r="B391" s="6">
        <v>26208076190.476101</v>
      </c>
      <c r="C391" s="2" t="s">
        <v>6</v>
      </c>
      <c r="D391" s="4">
        <f ca="1">IFERROR(__xludf.DUMMYFUNCTION("B391*GOOGLEFINANCE(""CURRENCY:USDINR"")"),1981330559999.99)</f>
        <v>1981330559999.99</v>
      </c>
      <c r="E391" s="3"/>
    </row>
    <row r="392" spans="1:5" x14ac:dyDescent="0.25">
      <c r="A392" s="6">
        <v>391</v>
      </c>
      <c r="B392" s="6">
        <v>26335261904.761902</v>
      </c>
      <c r="C392" s="2" t="s">
        <v>6</v>
      </c>
      <c r="D392" s="4">
        <f ca="1">IFERROR(__xludf.DUMMYFUNCTION("B392*GOOGLEFINANCE(""CURRENCY:USDINR"")"),1990945799999.99)</f>
        <v>1990945799999.99</v>
      </c>
      <c r="E392" s="3"/>
    </row>
    <row r="393" spans="1:5" x14ac:dyDescent="0.25">
      <c r="A393" s="6">
        <v>392</v>
      </c>
      <c r="B393" s="6">
        <v>26462447619.0476</v>
      </c>
      <c r="C393" s="2" t="s">
        <v>6</v>
      </c>
      <c r="D393" s="4">
        <f ca="1">IFERROR(__xludf.DUMMYFUNCTION("B393*GOOGLEFINANCE(""CURRENCY:USDINR"")"),2000561039999.99)</f>
        <v>2000561039999.99</v>
      </c>
      <c r="E393" s="3"/>
    </row>
    <row r="394" spans="1:5" x14ac:dyDescent="0.25">
      <c r="A394" s="6">
        <v>393</v>
      </c>
      <c r="B394" s="6">
        <v>26589633333.333302</v>
      </c>
      <c r="C394" s="2" t="s">
        <v>6</v>
      </c>
      <c r="D394" s="4">
        <f ca="1">IFERROR(__xludf.DUMMYFUNCTION("B394*GOOGLEFINANCE(""CURRENCY:USDINR"")"),2010176279999.99)</f>
        <v>2010176279999.99</v>
      </c>
      <c r="E394" s="3"/>
    </row>
    <row r="395" spans="1:5" x14ac:dyDescent="0.25">
      <c r="A395" s="6">
        <v>394</v>
      </c>
      <c r="B395" s="6">
        <v>26716819047.618999</v>
      </c>
      <c r="C395" s="2" t="s">
        <v>6</v>
      </c>
      <c r="D395" s="4">
        <f ca="1">IFERROR(__xludf.DUMMYFUNCTION("B395*GOOGLEFINANCE(""CURRENCY:USDINR"")"),2019791519999.99)</f>
        <v>2019791519999.99</v>
      </c>
      <c r="E395" s="3"/>
    </row>
    <row r="396" spans="1:5" x14ac:dyDescent="0.25">
      <c r="A396" s="6">
        <v>395</v>
      </c>
      <c r="B396" s="6">
        <v>26844004761.904701</v>
      </c>
      <c r="C396" s="2" t="s">
        <v>6</v>
      </c>
      <c r="D396" s="4">
        <f ca="1">IFERROR(__xludf.DUMMYFUNCTION("B396*GOOGLEFINANCE(""CURRENCY:USDINR"")"),2029406759999.99)</f>
        <v>2029406759999.99</v>
      </c>
      <c r="E396" s="3"/>
    </row>
    <row r="397" spans="1:5" x14ac:dyDescent="0.25">
      <c r="A397" s="6">
        <v>396</v>
      </c>
      <c r="B397" s="6">
        <v>26971190476.190399</v>
      </c>
      <c r="C397" s="2" t="s">
        <v>6</v>
      </c>
      <c r="D397" s="4">
        <f ca="1">IFERROR(__xludf.DUMMYFUNCTION("B397*GOOGLEFINANCE(""CURRENCY:USDINR"")"),2039021999999.99)</f>
        <v>2039021999999.99</v>
      </c>
      <c r="E397" s="3"/>
    </row>
    <row r="398" spans="1:5" x14ac:dyDescent="0.25">
      <c r="A398" s="6">
        <v>397</v>
      </c>
      <c r="B398" s="6">
        <v>27098376190.476101</v>
      </c>
      <c r="C398" s="2" t="s">
        <v>6</v>
      </c>
      <c r="D398" s="4">
        <f ca="1">IFERROR(__xludf.DUMMYFUNCTION("B398*GOOGLEFINANCE(""CURRENCY:USDINR"")"),2048637239999.99)</f>
        <v>2048637239999.99</v>
      </c>
      <c r="E398" s="3"/>
    </row>
    <row r="399" spans="1:5" x14ac:dyDescent="0.25">
      <c r="A399" s="6">
        <v>398</v>
      </c>
      <c r="B399" s="6">
        <v>27225561904.761902</v>
      </c>
      <c r="C399" s="2" t="s">
        <v>6</v>
      </c>
      <c r="D399" s="4">
        <f ca="1">IFERROR(__xludf.DUMMYFUNCTION("B399*GOOGLEFINANCE(""CURRENCY:USDINR"")"),2058252479999.99)</f>
        <v>2058252479999.99</v>
      </c>
      <c r="E399" s="3"/>
    </row>
    <row r="400" spans="1:5" x14ac:dyDescent="0.25">
      <c r="A400" s="6">
        <v>399</v>
      </c>
      <c r="B400" s="6">
        <v>27352747619.0476</v>
      </c>
      <c r="C400" s="2" t="s">
        <v>6</v>
      </c>
      <c r="D400" s="4">
        <f ca="1">IFERROR(__xludf.DUMMYFUNCTION("B400*GOOGLEFINANCE(""CURRENCY:USDINR"")"),2067867719999.99)</f>
        <v>2067867719999.99</v>
      </c>
      <c r="E400" s="3"/>
    </row>
    <row r="401" spans="1:5" x14ac:dyDescent="0.25">
      <c r="A401" s="6">
        <v>400</v>
      </c>
      <c r="B401" s="6">
        <v>27479933333.333302</v>
      </c>
      <c r="C401" s="2" t="s">
        <v>6</v>
      </c>
      <c r="D401" s="4">
        <f ca="1">IFERROR(__xludf.DUMMYFUNCTION("B401*GOOGLEFINANCE(""CURRENCY:USDINR"")"),2077482959999.99)</f>
        <v>2077482959999.99</v>
      </c>
      <c r="E401" s="3"/>
    </row>
    <row r="402" spans="1:5" x14ac:dyDescent="0.25">
      <c r="A402" s="6">
        <v>401</v>
      </c>
      <c r="B402" s="6">
        <v>27607119047.618999</v>
      </c>
      <c r="C402" s="2" t="s">
        <v>6</v>
      </c>
      <c r="D402" s="4">
        <f ca="1">IFERROR(__xludf.DUMMYFUNCTION("B402*GOOGLEFINANCE(""CURRENCY:USDINR"")"),2087098199999.99)</f>
        <v>2087098199999.99</v>
      </c>
      <c r="E402" s="3"/>
    </row>
    <row r="403" spans="1:5" x14ac:dyDescent="0.25">
      <c r="A403" s="6">
        <v>402</v>
      </c>
      <c r="B403" s="6">
        <v>27734304761.904701</v>
      </c>
      <c r="C403" s="2" t="s">
        <v>6</v>
      </c>
      <c r="D403" s="4">
        <f ca="1">IFERROR(__xludf.DUMMYFUNCTION("B403*GOOGLEFINANCE(""CURRENCY:USDINR"")"),2096713439999.99)</f>
        <v>2096713439999.99</v>
      </c>
      <c r="E403" s="3"/>
    </row>
    <row r="404" spans="1:5" x14ac:dyDescent="0.25">
      <c r="A404" s="6">
        <v>403</v>
      </c>
      <c r="B404" s="6">
        <v>27861490476.190399</v>
      </c>
      <c r="C404" s="2" t="s">
        <v>6</v>
      </c>
      <c r="D404" s="4">
        <f ca="1">IFERROR(__xludf.DUMMYFUNCTION("B404*GOOGLEFINANCE(""CURRENCY:USDINR"")"),2106328679999.99)</f>
        <v>2106328679999.99</v>
      </c>
      <c r="E404" s="3"/>
    </row>
    <row r="405" spans="1:5" x14ac:dyDescent="0.25">
      <c r="A405" s="6">
        <v>404</v>
      </c>
      <c r="B405" s="6">
        <v>27988676190.476101</v>
      </c>
      <c r="C405" s="2" t="s">
        <v>6</v>
      </c>
      <c r="D405" s="4">
        <f ca="1">IFERROR(__xludf.DUMMYFUNCTION("B405*GOOGLEFINANCE(""CURRENCY:USDINR"")"),2115943919999.99)</f>
        <v>2115943919999.99</v>
      </c>
      <c r="E405" s="3"/>
    </row>
    <row r="406" spans="1:5" x14ac:dyDescent="0.25">
      <c r="A406" s="6">
        <v>405</v>
      </c>
      <c r="B406" s="6">
        <v>28115861904.761799</v>
      </c>
      <c r="C406" s="2" t="s">
        <v>6</v>
      </c>
      <c r="D406" s="4">
        <f ca="1">IFERROR(__xludf.DUMMYFUNCTION("B406*GOOGLEFINANCE(""CURRENCY:USDINR"")"),2125559159999.99)</f>
        <v>2125559159999.99</v>
      </c>
      <c r="E406" s="3"/>
    </row>
    <row r="407" spans="1:5" x14ac:dyDescent="0.25">
      <c r="A407" s="6">
        <v>406</v>
      </c>
      <c r="B407" s="6">
        <v>28243047619.0476</v>
      </c>
      <c r="C407" s="2" t="s">
        <v>6</v>
      </c>
      <c r="D407" s="4">
        <f ca="1">IFERROR(__xludf.DUMMYFUNCTION("B407*GOOGLEFINANCE(""CURRENCY:USDINR"")"),2135174399999.99)</f>
        <v>2135174399999.99</v>
      </c>
      <c r="E407" s="3"/>
    </row>
    <row r="408" spans="1:5" x14ac:dyDescent="0.25">
      <c r="A408" s="6">
        <v>407</v>
      </c>
      <c r="B408" s="6">
        <v>28370233333.333302</v>
      </c>
      <c r="C408" s="2" t="s">
        <v>6</v>
      </c>
      <c r="D408" s="4">
        <f ca="1">IFERROR(__xludf.DUMMYFUNCTION("B408*GOOGLEFINANCE(""CURRENCY:USDINR"")"),2144789639999.99)</f>
        <v>2144789639999.99</v>
      </c>
      <c r="E408" s="3"/>
    </row>
    <row r="409" spans="1:5" x14ac:dyDescent="0.25">
      <c r="A409" s="6">
        <v>408</v>
      </c>
      <c r="B409" s="6">
        <v>28497419047.618999</v>
      </c>
      <c r="C409" s="2" t="s">
        <v>6</v>
      </c>
      <c r="D409" s="4">
        <f ca="1">IFERROR(__xludf.DUMMYFUNCTION("B409*GOOGLEFINANCE(""CURRENCY:USDINR"")"),2154404879999.99)</f>
        <v>2154404879999.99</v>
      </c>
      <c r="E409" s="3"/>
    </row>
    <row r="410" spans="1:5" x14ac:dyDescent="0.25">
      <c r="A410" s="6">
        <v>409</v>
      </c>
      <c r="B410" s="6">
        <v>28624604761.904701</v>
      </c>
      <c r="C410" s="2" t="s">
        <v>6</v>
      </c>
      <c r="D410" s="4">
        <f ca="1">IFERROR(__xludf.DUMMYFUNCTION("B410*GOOGLEFINANCE(""CURRENCY:USDINR"")"),2164020119999.99)</f>
        <v>2164020119999.99</v>
      </c>
      <c r="E410" s="3"/>
    </row>
    <row r="411" spans="1:5" x14ac:dyDescent="0.25">
      <c r="A411" s="6">
        <v>410</v>
      </c>
      <c r="B411" s="6">
        <v>28751790476.190399</v>
      </c>
      <c r="C411" s="2" t="s">
        <v>6</v>
      </c>
      <c r="D411" s="4">
        <f ca="1">IFERROR(__xludf.DUMMYFUNCTION("B411*GOOGLEFINANCE(""CURRENCY:USDINR"")"),2173635359999.99)</f>
        <v>2173635359999.99</v>
      </c>
      <c r="E411" s="3"/>
    </row>
    <row r="412" spans="1:5" x14ac:dyDescent="0.25">
      <c r="A412" s="6">
        <v>411</v>
      </c>
      <c r="B412" s="6">
        <v>28878976190.476101</v>
      </c>
      <c r="C412" s="2" t="s">
        <v>6</v>
      </c>
      <c r="D412" s="4">
        <f ca="1">IFERROR(__xludf.DUMMYFUNCTION("B412*GOOGLEFINANCE(""CURRENCY:USDINR"")"),2183250599999.99)</f>
        <v>2183250599999.99</v>
      </c>
      <c r="E412" s="3"/>
    </row>
    <row r="413" spans="1:5" x14ac:dyDescent="0.25">
      <c r="A413" s="6">
        <v>412</v>
      </c>
      <c r="B413" s="6">
        <v>29006161904.761799</v>
      </c>
      <c r="C413" s="2" t="s">
        <v>6</v>
      </c>
      <c r="D413" s="4">
        <f ca="1">IFERROR(__xludf.DUMMYFUNCTION("B413*GOOGLEFINANCE(""CURRENCY:USDINR"")"),2192865839999.99)</f>
        <v>2192865839999.99</v>
      </c>
      <c r="E413" s="3"/>
    </row>
    <row r="414" spans="1:5" x14ac:dyDescent="0.25">
      <c r="A414" s="6">
        <v>413</v>
      </c>
      <c r="B414" s="6">
        <v>29133347619.0476</v>
      </c>
      <c r="C414" s="2" t="s">
        <v>6</v>
      </c>
      <c r="D414" s="4">
        <f ca="1">IFERROR(__xludf.DUMMYFUNCTION("B414*GOOGLEFINANCE(""CURRENCY:USDINR"")"),2202481079999.99)</f>
        <v>2202481079999.9902</v>
      </c>
      <c r="E414" s="3"/>
    </row>
    <row r="415" spans="1:5" x14ac:dyDescent="0.25">
      <c r="A415" s="6">
        <v>414</v>
      </c>
      <c r="B415" s="6">
        <v>29260533333.333302</v>
      </c>
      <c r="C415" s="2" t="s">
        <v>6</v>
      </c>
      <c r="D415" s="4">
        <f ca="1">IFERROR(__xludf.DUMMYFUNCTION("B415*GOOGLEFINANCE(""CURRENCY:USDINR"")"),2212096319999.99)</f>
        <v>2212096319999.9902</v>
      </c>
      <c r="E415" s="3"/>
    </row>
    <row r="416" spans="1:5" x14ac:dyDescent="0.25">
      <c r="A416" s="6">
        <v>415</v>
      </c>
      <c r="B416" s="6">
        <v>29387719047.618999</v>
      </c>
      <c r="C416" s="2" t="s">
        <v>6</v>
      </c>
      <c r="D416" s="4">
        <f ca="1">IFERROR(__xludf.DUMMYFUNCTION("B416*GOOGLEFINANCE(""CURRENCY:USDINR"")"),2221711559999.99)</f>
        <v>2221711559999.9902</v>
      </c>
      <c r="E416" s="3"/>
    </row>
    <row r="417" spans="1:5" x14ac:dyDescent="0.25">
      <c r="A417" s="6">
        <v>416</v>
      </c>
      <c r="B417" s="6">
        <v>29514904761.904701</v>
      </c>
      <c r="C417" s="2" t="s">
        <v>6</v>
      </c>
      <c r="D417" s="4">
        <f ca="1">IFERROR(__xludf.DUMMYFUNCTION("B417*GOOGLEFINANCE(""CURRENCY:USDINR"")"),2231326799999.99)</f>
        <v>2231326799999.9902</v>
      </c>
      <c r="E417" s="3"/>
    </row>
    <row r="418" spans="1:5" x14ac:dyDescent="0.25">
      <c r="A418" s="6">
        <v>417</v>
      </c>
      <c r="B418" s="6">
        <v>29642090476.190399</v>
      </c>
      <c r="C418" s="2" t="s">
        <v>6</v>
      </c>
      <c r="D418" s="4">
        <f ca="1">IFERROR(__xludf.DUMMYFUNCTION("B418*GOOGLEFINANCE(""CURRENCY:USDINR"")"),2240942039999.99)</f>
        <v>2240942039999.9902</v>
      </c>
      <c r="E418" s="3"/>
    </row>
    <row r="419" spans="1:5" x14ac:dyDescent="0.25">
      <c r="A419" s="6">
        <v>418</v>
      </c>
      <c r="B419" s="6">
        <v>29769276190.476101</v>
      </c>
      <c r="C419" s="2" t="s">
        <v>6</v>
      </c>
      <c r="D419" s="4">
        <f ca="1">IFERROR(__xludf.DUMMYFUNCTION("B419*GOOGLEFINANCE(""CURRENCY:USDINR"")"),2250557279999.99)</f>
        <v>2250557279999.9902</v>
      </c>
      <c r="E419" s="3"/>
    </row>
    <row r="420" spans="1:5" x14ac:dyDescent="0.25">
      <c r="A420" s="6">
        <v>419</v>
      </c>
      <c r="B420" s="6">
        <v>29896461904.761799</v>
      </c>
      <c r="C420" s="2" t="s">
        <v>6</v>
      </c>
      <c r="D420" s="4">
        <f ca="1">IFERROR(__xludf.DUMMYFUNCTION("B420*GOOGLEFINANCE(""CURRENCY:USDINR"")"),2260172519999.99)</f>
        <v>2260172519999.9902</v>
      </c>
      <c r="E420" s="3"/>
    </row>
    <row r="421" spans="1:5" x14ac:dyDescent="0.25">
      <c r="A421" s="6">
        <v>420</v>
      </c>
      <c r="B421" s="6">
        <v>30023647619.0476</v>
      </c>
      <c r="C421" s="2" t="s">
        <v>6</v>
      </c>
      <c r="D421" s="4">
        <f ca="1">IFERROR(__xludf.DUMMYFUNCTION("B421*GOOGLEFINANCE(""CURRENCY:USDINR"")"),2269787759999.99)</f>
        <v>2269787759999.9902</v>
      </c>
      <c r="E421" s="3"/>
    </row>
    <row r="422" spans="1:5" x14ac:dyDescent="0.25">
      <c r="A422" s="6">
        <v>421</v>
      </c>
      <c r="B422" s="6">
        <v>30150833333.333302</v>
      </c>
      <c r="C422" s="2" t="s">
        <v>6</v>
      </c>
      <c r="D422" s="4">
        <f ca="1">IFERROR(__xludf.DUMMYFUNCTION("B422*GOOGLEFINANCE(""CURRENCY:USDINR"")"),2279402999999.99)</f>
        <v>2279402999999.9902</v>
      </c>
      <c r="E422" s="3"/>
    </row>
    <row r="423" spans="1:5" x14ac:dyDescent="0.25">
      <c r="A423" s="6">
        <v>422</v>
      </c>
      <c r="B423" s="6">
        <v>30278019047.618999</v>
      </c>
      <c r="C423" s="2" t="s">
        <v>6</v>
      </c>
      <c r="D423" s="4">
        <f ca="1">IFERROR(__xludf.DUMMYFUNCTION("B423*GOOGLEFINANCE(""CURRENCY:USDINR"")"),2289018239999.99)</f>
        <v>2289018239999.9902</v>
      </c>
      <c r="E423" s="3"/>
    </row>
    <row r="424" spans="1:5" x14ac:dyDescent="0.25">
      <c r="A424" s="6">
        <v>423</v>
      </c>
      <c r="B424" s="6">
        <v>30405204761.904701</v>
      </c>
      <c r="C424" s="2" t="s">
        <v>6</v>
      </c>
      <c r="D424" s="4">
        <f ca="1">IFERROR(__xludf.DUMMYFUNCTION("B424*GOOGLEFINANCE(""CURRENCY:USDINR"")"),2298633479999.99)</f>
        <v>2298633479999.9902</v>
      </c>
      <c r="E424" s="3"/>
    </row>
    <row r="425" spans="1:5" x14ac:dyDescent="0.25">
      <c r="A425" s="6">
        <v>424</v>
      </c>
      <c r="B425" s="6">
        <v>30532390476.190399</v>
      </c>
      <c r="C425" s="2" t="s">
        <v>6</v>
      </c>
      <c r="D425" s="4">
        <f ca="1">IFERROR(__xludf.DUMMYFUNCTION("B425*GOOGLEFINANCE(""CURRENCY:USDINR"")"),2308248719999.99)</f>
        <v>2308248719999.9902</v>
      </c>
      <c r="E425" s="3"/>
    </row>
    <row r="426" spans="1:5" x14ac:dyDescent="0.25">
      <c r="A426" s="6">
        <v>425</v>
      </c>
      <c r="B426" s="6">
        <v>30659576190.476101</v>
      </c>
      <c r="C426" s="2" t="s">
        <v>6</v>
      </c>
      <c r="D426" s="4">
        <f ca="1">IFERROR(__xludf.DUMMYFUNCTION("B426*GOOGLEFINANCE(""CURRENCY:USDINR"")"),2317863959999.99)</f>
        <v>2317863959999.9902</v>
      </c>
      <c r="E426" s="3"/>
    </row>
    <row r="427" spans="1:5" x14ac:dyDescent="0.25">
      <c r="A427" s="6">
        <v>426</v>
      </c>
      <c r="B427" s="6">
        <v>30786761904.761799</v>
      </c>
      <c r="C427" s="2" t="s">
        <v>6</v>
      </c>
      <c r="D427" s="4">
        <f ca="1">IFERROR(__xludf.DUMMYFUNCTION("B427*GOOGLEFINANCE(""CURRENCY:USDINR"")"),2327479199999.99)</f>
        <v>2327479199999.9902</v>
      </c>
      <c r="E427" s="3"/>
    </row>
    <row r="428" spans="1:5" x14ac:dyDescent="0.25">
      <c r="A428" s="6">
        <v>427</v>
      </c>
      <c r="B428" s="6">
        <v>30913947619.0476</v>
      </c>
      <c r="C428" s="2" t="s">
        <v>6</v>
      </c>
      <c r="D428" s="4">
        <f ca="1">IFERROR(__xludf.DUMMYFUNCTION("B428*GOOGLEFINANCE(""CURRENCY:USDINR"")"),2337094439999.99)</f>
        <v>2337094439999.9902</v>
      </c>
      <c r="E428" s="3"/>
    </row>
    <row r="429" spans="1:5" x14ac:dyDescent="0.25">
      <c r="A429" s="6">
        <v>428</v>
      </c>
      <c r="B429" s="6">
        <v>31041133333.333302</v>
      </c>
      <c r="C429" s="2" t="s">
        <v>6</v>
      </c>
      <c r="D429" s="4">
        <f ca="1">IFERROR(__xludf.DUMMYFUNCTION("B429*GOOGLEFINANCE(""CURRENCY:USDINR"")"),2346709679999.99)</f>
        <v>2346709679999.9902</v>
      </c>
      <c r="E429" s="3"/>
    </row>
    <row r="430" spans="1:5" x14ac:dyDescent="0.25">
      <c r="A430" s="6">
        <v>429</v>
      </c>
      <c r="B430" s="6">
        <v>31168319047.618999</v>
      </c>
      <c r="C430" s="2" t="s">
        <v>6</v>
      </c>
      <c r="D430" s="4">
        <f ca="1">IFERROR(__xludf.DUMMYFUNCTION("B430*GOOGLEFINANCE(""CURRENCY:USDINR"")"),2356324919999.99)</f>
        <v>2356324919999.9902</v>
      </c>
      <c r="E430" s="3"/>
    </row>
    <row r="431" spans="1:5" x14ac:dyDescent="0.25">
      <c r="A431" s="6">
        <v>430</v>
      </c>
      <c r="B431" s="6">
        <v>31295504761.904701</v>
      </c>
      <c r="C431" s="2" t="s">
        <v>6</v>
      </c>
      <c r="D431" s="4">
        <f ca="1">IFERROR(__xludf.DUMMYFUNCTION("B431*GOOGLEFINANCE(""CURRENCY:USDINR"")"),2365940159999.99)</f>
        <v>2365940159999.9902</v>
      </c>
      <c r="E431" s="3"/>
    </row>
    <row r="432" spans="1:5" x14ac:dyDescent="0.25">
      <c r="A432" s="6">
        <v>431</v>
      </c>
      <c r="B432" s="6">
        <v>31422690476.190399</v>
      </c>
      <c r="C432" s="2" t="s">
        <v>6</v>
      </c>
      <c r="D432" s="4">
        <f ca="1">IFERROR(__xludf.DUMMYFUNCTION("B432*GOOGLEFINANCE(""CURRENCY:USDINR"")"),2375555399999.99)</f>
        <v>2375555399999.9902</v>
      </c>
      <c r="E432" s="3"/>
    </row>
    <row r="433" spans="1:5" x14ac:dyDescent="0.25">
      <c r="A433" s="6">
        <v>432</v>
      </c>
      <c r="B433" s="6">
        <v>31549876190.476101</v>
      </c>
      <c r="C433" s="2" t="s">
        <v>6</v>
      </c>
      <c r="D433" s="4">
        <f ca="1">IFERROR(__xludf.DUMMYFUNCTION("B433*GOOGLEFINANCE(""CURRENCY:USDINR"")"),2385170639999.99)</f>
        <v>2385170639999.9902</v>
      </c>
      <c r="E433" s="3"/>
    </row>
    <row r="434" spans="1:5" x14ac:dyDescent="0.25">
      <c r="A434" s="6">
        <v>433</v>
      </c>
      <c r="B434" s="6">
        <v>31677061904.761799</v>
      </c>
      <c r="C434" s="2" t="s">
        <v>6</v>
      </c>
      <c r="D434" s="4">
        <f ca="1">IFERROR(__xludf.DUMMYFUNCTION("B434*GOOGLEFINANCE(""CURRENCY:USDINR"")"),2394785879999.99)</f>
        <v>2394785879999.9902</v>
      </c>
      <c r="E434" s="3"/>
    </row>
    <row r="435" spans="1:5" x14ac:dyDescent="0.25">
      <c r="A435" s="6">
        <v>434</v>
      </c>
      <c r="B435" s="6">
        <v>31804247619.0476</v>
      </c>
      <c r="C435" s="2" t="s">
        <v>6</v>
      </c>
      <c r="D435" s="4">
        <f ca="1">IFERROR(__xludf.DUMMYFUNCTION("B435*GOOGLEFINANCE(""CURRENCY:USDINR"")"),2404401119999.99)</f>
        <v>2404401119999.9902</v>
      </c>
      <c r="E435" s="3"/>
    </row>
    <row r="436" spans="1:5" x14ac:dyDescent="0.25">
      <c r="A436" s="6">
        <v>435</v>
      </c>
      <c r="B436" s="6">
        <v>31931433333.333302</v>
      </c>
      <c r="C436" s="2" t="s">
        <v>6</v>
      </c>
      <c r="D436" s="4">
        <f ca="1">IFERROR(__xludf.DUMMYFUNCTION("B436*GOOGLEFINANCE(""CURRENCY:USDINR"")"),2414016359999.99)</f>
        <v>2414016359999.9902</v>
      </c>
      <c r="E436" s="3"/>
    </row>
    <row r="437" spans="1:5" x14ac:dyDescent="0.25">
      <c r="A437" s="6">
        <v>436</v>
      </c>
      <c r="B437" s="6">
        <v>32058619047.618999</v>
      </c>
      <c r="C437" s="2" t="s">
        <v>6</v>
      </c>
      <c r="D437" s="4">
        <f ca="1">IFERROR(__xludf.DUMMYFUNCTION("B437*GOOGLEFINANCE(""CURRENCY:USDINR"")"),2423631599999.99)</f>
        <v>2423631599999.9902</v>
      </c>
      <c r="E437" s="3"/>
    </row>
    <row r="438" spans="1:5" x14ac:dyDescent="0.25">
      <c r="A438" s="6">
        <v>437</v>
      </c>
      <c r="B438" s="6">
        <v>32185804761.904701</v>
      </c>
      <c r="C438" s="2" t="s">
        <v>6</v>
      </c>
      <c r="D438" s="4">
        <f ca="1">IFERROR(__xludf.DUMMYFUNCTION("B438*GOOGLEFINANCE(""CURRENCY:USDINR"")"),2433246839999.99)</f>
        <v>2433246839999.9902</v>
      </c>
      <c r="E438" s="3"/>
    </row>
    <row r="439" spans="1:5" x14ac:dyDescent="0.25">
      <c r="A439" s="6">
        <v>438</v>
      </c>
      <c r="B439" s="6">
        <v>32312990476.190399</v>
      </c>
      <c r="C439" s="2" t="s">
        <v>6</v>
      </c>
      <c r="D439" s="4">
        <f ca="1">IFERROR(__xludf.DUMMYFUNCTION("B439*GOOGLEFINANCE(""CURRENCY:USDINR"")"),2442862079999.99)</f>
        <v>2442862079999.9902</v>
      </c>
      <c r="E439" s="3"/>
    </row>
    <row r="440" spans="1:5" x14ac:dyDescent="0.25">
      <c r="A440" s="6">
        <v>439</v>
      </c>
      <c r="B440" s="6">
        <v>32440176190.476101</v>
      </c>
      <c r="C440" s="2" t="s">
        <v>6</v>
      </c>
      <c r="D440" s="4">
        <f ca="1">IFERROR(__xludf.DUMMYFUNCTION("B440*GOOGLEFINANCE(""CURRENCY:USDINR"")"),2452477319999.99)</f>
        <v>2452477319999.9902</v>
      </c>
      <c r="E440" s="3"/>
    </row>
    <row r="441" spans="1:5" x14ac:dyDescent="0.25">
      <c r="A441" s="6">
        <v>440</v>
      </c>
      <c r="B441" s="6">
        <v>32567361904.761799</v>
      </c>
      <c r="C441" s="2" t="s">
        <v>6</v>
      </c>
      <c r="D441" s="4">
        <f ca="1">IFERROR(__xludf.DUMMYFUNCTION("B441*GOOGLEFINANCE(""CURRENCY:USDINR"")"),2462092559999.99)</f>
        <v>2462092559999.9902</v>
      </c>
      <c r="E441" s="3"/>
    </row>
    <row r="442" spans="1:5" x14ac:dyDescent="0.25">
      <c r="A442" s="6">
        <v>441</v>
      </c>
      <c r="B442" s="6">
        <v>32694547619.0476</v>
      </c>
      <c r="C442" s="2" t="s">
        <v>6</v>
      </c>
      <c r="D442" s="4">
        <f ca="1">IFERROR(__xludf.DUMMYFUNCTION("B442*GOOGLEFINANCE(""CURRENCY:USDINR"")"),2471707799999.99)</f>
        <v>2471707799999.9902</v>
      </c>
      <c r="E442" s="3"/>
    </row>
    <row r="443" spans="1:5" x14ac:dyDescent="0.25">
      <c r="A443" s="6">
        <v>442</v>
      </c>
      <c r="B443" s="6">
        <v>32821733333.333302</v>
      </c>
      <c r="C443" s="2" t="s">
        <v>6</v>
      </c>
      <c r="D443" s="4">
        <f ca="1">IFERROR(__xludf.DUMMYFUNCTION("B443*GOOGLEFINANCE(""CURRENCY:USDINR"")"),2481323039999.99)</f>
        <v>2481323039999.9902</v>
      </c>
      <c r="E443" s="3"/>
    </row>
    <row r="444" spans="1:5" x14ac:dyDescent="0.25">
      <c r="A444" s="6">
        <v>443</v>
      </c>
      <c r="B444" s="6">
        <v>32948919047.618999</v>
      </c>
      <c r="C444" s="2" t="s">
        <v>6</v>
      </c>
      <c r="D444" s="4">
        <f ca="1">IFERROR(__xludf.DUMMYFUNCTION("B444*GOOGLEFINANCE(""CURRENCY:USDINR"")"),2490938279999.99)</f>
        <v>2490938279999.9902</v>
      </c>
      <c r="E444" s="3"/>
    </row>
    <row r="445" spans="1:5" x14ac:dyDescent="0.25">
      <c r="A445" s="6">
        <v>444</v>
      </c>
      <c r="B445" s="6">
        <v>33076104761.904701</v>
      </c>
      <c r="C445" s="2" t="s">
        <v>6</v>
      </c>
      <c r="D445" s="4">
        <f ca="1">IFERROR(__xludf.DUMMYFUNCTION("B445*GOOGLEFINANCE(""CURRENCY:USDINR"")"),2500553519999.99)</f>
        <v>2500553519999.9902</v>
      </c>
      <c r="E445" s="3"/>
    </row>
    <row r="446" spans="1:5" x14ac:dyDescent="0.25">
      <c r="A446" s="6">
        <v>445</v>
      </c>
      <c r="B446" s="6">
        <v>33203290476.190399</v>
      </c>
      <c r="C446" s="2" t="s">
        <v>6</v>
      </c>
      <c r="D446" s="4">
        <f ca="1">IFERROR(__xludf.DUMMYFUNCTION("B446*GOOGLEFINANCE(""CURRENCY:USDINR"")"),2510168759999.99)</f>
        <v>2510168759999.9902</v>
      </c>
      <c r="E446" s="3"/>
    </row>
    <row r="447" spans="1:5" x14ac:dyDescent="0.25">
      <c r="A447" s="6">
        <v>446</v>
      </c>
      <c r="B447" s="6">
        <v>33330476190.476101</v>
      </c>
      <c r="C447" s="2" t="s">
        <v>6</v>
      </c>
      <c r="D447" s="4">
        <f ca="1">IFERROR(__xludf.DUMMYFUNCTION("B447*GOOGLEFINANCE(""CURRENCY:USDINR"")"),2519783999999.99)</f>
        <v>2519783999999.9902</v>
      </c>
      <c r="E447" s="3"/>
    </row>
    <row r="448" spans="1:5" x14ac:dyDescent="0.25">
      <c r="A448" s="6">
        <v>447</v>
      </c>
      <c r="B448" s="6">
        <v>33457661904.761799</v>
      </c>
      <c r="C448" s="2" t="s">
        <v>6</v>
      </c>
      <c r="D448" s="4">
        <f ca="1">IFERROR(__xludf.DUMMYFUNCTION("B448*GOOGLEFINANCE(""CURRENCY:USDINR"")"),2529399239999.99)</f>
        <v>2529399239999.9902</v>
      </c>
      <c r="E448" s="3"/>
    </row>
    <row r="449" spans="1:5" x14ac:dyDescent="0.25">
      <c r="A449" s="6">
        <v>448</v>
      </c>
      <c r="B449" s="6">
        <v>33584847619.047501</v>
      </c>
      <c r="C449" s="2" t="s">
        <v>6</v>
      </c>
      <c r="D449" s="4">
        <f ca="1">IFERROR(__xludf.DUMMYFUNCTION("B449*GOOGLEFINANCE(""CURRENCY:USDINR"")"),2539014479999.99)</f>
        <v>2539014479999.9902</v>
      </c>
      <c r="E449" s="3"/>
    </row>
    <row r="450" spans="1:5" x14ac:dyDescent="0.25">
      <c r="A450" s="6">
        <v>449</v>
      </c>
      <c r="B450" s="6">
        <v>33712033333.333302</v>
      </c>
      <c r="C450" s="2" t="s">
        <v>6</v>
      </c>
      <c r="D450" s="4">
        <f ca="1">IFERROR(__xludf.DUMMYFUNCTION("B450*GOOGLEFINANCE(""CURRENCY:USDINR"")"),2548629719999.99)</f>
        <v>2548629719999.9902</v>
      </c>
      <c r="E450" s="3"/>
    </row>
    <row r="451" spans="1:5" x14ac:dyDescent="0.25">
      <c r="A451" s="6">
        <v>450</v>
      </c>
      <c r="B451" s="6">
        <v>33839219047.618999</v>
      </c>
      <c r="C451" s="2" t="s">
        <v>6</v>
      </c>
      <c r="D451" s="4">
        <f ca="1">IFERROR(__xludf.DUMMYFUNCTION("B451*GOOGLEFINANCE(""CURRENCY:USDINR"")"),2558244959999.99)</f>
        <v>2558244959999.9902</v>
      </c>
      <c r="E451" s="3"/>
    </row>
    <row r="452" spans="1:5" x14ac:dyDescent="0.25">
      <c r="A452" s="6">
        <v>451</v>
      </c>
      <c r="B452" s="6">
        <v>33966404761.904701</v>
      </c>
      <c r="C452" s="2" t="s">
        <v>6</v>
      </c>
      <c r="D452" s="4">
        <f ca="1">IFERROR(__xludf.DUMMYFUNCTION("B452*GOOGLEFINANCE(""CURRENCY:USDINR"")"),2567860199999.99)</f>
        <v>2567860199999.9902</v>
      </c>
      <c r="E452" s="3"/>
    </row>
    <row r="453" spans="1:5" x14ac:dyDescent="0.25">
      <c r="A453" s="6">
        <v>452</v>
      </c>
      <c r="B453" s="6">
        <v>34093590476.190399</v>
      </c>
      <c r="C453" s="2" t="s">
        <v>6</v>
      </c>
      <c r="D453" s="4">
        <f ca="1">IFERROR(__xludf.DUMMYFUNCTION("B453*GOOGLEFINANCE(""CURRENCY:USDINR"")"),2577475439999.99)</f>
        <v>2577475439999.9902</v>
      </c>
      <c r="E453" s="3"/>
    </row>
    <row r="454" spans="1:5" x14ac:dyDescent="0.25">
      <c r="A454" s="6">
        <v>453</v>
      </c>
      <c r="B454" s="6">
        <v>34220776190.476101</v>
      </c>
      <c r="C454" s="2" t="s">
        <v>6</v>
      </c>
      <c r="D454" s="4">
        <f ca="1">IFERROR(__xludf.DUMMYFUNCTION("B454*GOOGLEFINANCE(""CURRENCY:USDINR"")"),2587090679999.99)</f>
        <v>2587090679999.9902</v>
      </c>
      <c r="E454" s="3"/>
    </row>
    <row r="455" spans="1:5" x14ac:dyDescent="0.25">
      <c r="A455" s="6">
        <v>454</v>
      </c>
      <c r="B455" s="6">
        <v>34347961904.761799</v>
      </c>
      <c r="C455" s="2" t="s">
        <v>6</v>
      </c>
      <c r="D455" s="4">
        <f ca="1">IFERROR(__xludf.DUMMYFUNCTION("B455*GOOGLEFINANCE(""CURRENCY:USDINR"")"),2596705919999.99)</f>
        <v>2596705919999.9902</v>
      </c>
      <c r="E455" s="3"/>
    </row>
    <row r="456" spans="1:5" x14ac:dyDescent="0.25">
      <c r="A456" s="6">
        <v>455</v>
      </c>
      <c r="B456" s="6">
        <v>34475147619.047501</v>
      </c>
      <c r="C456" s="2" t="s">
        <v>6</v>
      </c>
      <c r="D456" s="4">
        <f ca="1">IFERROR(__xludf.DUMMYFUNCTION("B456*GOOGLEFINANCE(""CURRENCY:USDINR"")"),2606321159999.99)</f>
        <v>2606321159999.9902</v>
      </c>
      <c r="E456" s="3"/>
    </row>
    <row r="457" spans="1:5" x14ac:dyDescent="0.25">
      <c r="A457" s="6">
        <v>456</v>
      </c>
      <c r="B457" s="6">
        <v>34602333333.333298</v>
      </c>
      <c r="C457" s="2" t="s">
        <v>6</v>
      </c>
      <c r="D457" s="4">
        <f ca="1">IFERROR(__xludf.DUMMYFUNCTION("B457*GOOGLEFINANCE(""CURRENCY:USDINR"")"),2615936399999.99)</f>
        <v>2615936399999.9902</v>
      </c>
      <c r="E457" s="3"/>
    </row>
    <row r="458" spans="1:5" x14ac:dyDescent="0.25">
      <c r="A458" s="6">
        <v>457</v>
      </c>
      <c r="B458" s="6">
        <v>34729519047.619003</v>
      </c>
      <c r="C458" s="2" t="s">
        <v>6</v>
      </c>
      <c r="D458" s="4">
        <f ca="1">IFERROR(__xludf.DUMMYFUNCTION("B458*GOOGLEFINANCE(""CURRENCY:USDINR"")"),2625551639999.99)</f>
        <v>2625551639999.9902</v>
      </c>
      <c r="E458" s="3"/>
    </row>
    <row r="459" spans="1:5" x14ac:dyDescent="0.25">
      <c r="A459" s="6">
        <v>458</v>
      </c>
      <c r="B459" s="6">
        <v>34856704761.904701</v>
      </c>
      <c r="C459" s="2" t="s">
        <v>6</v>
      </c>
      <c r="D459" s="4">
        <f ca="1">IFERROR(__xludf.DUMMYFUNCTION("B459*GOOGLEFINANCE(""CURRENCY:USDINR"")"),2635166879999.99)</f>
        <v>2635166879999.9902</v>
      </c>
      <c r="E459" s="3"/>
    </row>
    <row r="460" spans="1:5" x14ac:dyDescent="0.25">
      <c r="A460" s="6">
        <v>459</v>
      </c>
      <c r="B460" s="6">
        <v>34983890476.190399</v>
      </c>
      <c r="C460" s="2" t="s">
        <v>6</v>
      </c>
      <c r="D460" s="4">
        <f ca="1">IFERROR(__xludf.DUMMYFUNCTION("B460*GOOGLEFINANCE(""CURRENCY:USDINR"")"),2644782119999.99)</f>
        <v>2644782119999.9902</v>
      </c>
      <c r="E460" s="3"/>
    </row>
    <row r="461" spans="1:5" x14ac:dyDescent="0.25">
      <c r="A461" s="6">
        <v>460</v>
      </c>
      <c r="B461" s="6">
        <v>35111076190.476097</v>
      </c>
      <c r="C461" s="2" t="s">
        <v>6</v>
      </c>
      <c r="D461" s="4">
        <f ca="1">IFERROR(__xludf.DUMMYFUNCTION("B461*GOOGLEFINANCE(""CURRENCY:USDINR"")"),2654397359999.99)</f>
        <v>2654397359999.9902</v>
      </c>
      <c r="E461" s="3"/>
    </row>
    <row r="462" spans="1:5" x14ac:dyDescent="0.25">
      <c r="A462" s="6">
        <v>461</v>
      </c>
      <c r="B462" s="6">
        <v>35238261904.761803</v>
      </c>
      <c r="C462" s="2" t="s">
        <v>6</v>
      </c>
      <c r="D462" s="4">
        <f ca="1">IFERROR(__xludf.DUMMYFUNCTION("B462*GOOGLEFINANCE(""CURRENCY:USDINR"")"),2664012599999.99)</f>
        <v>2664012599999.9902</v>
      </c>
      <c r="E462" s="3"/>
    </row>
    <row r="463" spans="1:5" x14ac:dyDescent="0.25">
      <c r="A463" s="6">
        <v>462</v>
      </c>
      <c r="B463" s="6">
        <v>35365447619.047501</v>
      </c>
      <c r="C463" s="2" t="s">
        <v>6</v>
      </c>
      <c r="D463" s="4">
        <f ca="1">IFERROR(__xludf.DUMMYFUNCTION("B463*GOOGLEFINANCE(""CURRENCY:USDINR"")"),2673627839999.99)</f>
        <v>2673627839999.9902</v>
      </c>
      <c r="E463" s="3"/>
    </row>
    <row r="464" spans="1:5" x14ac:dyDescent="0.25">
      <c r="A464" s="6">
        <v>463</v>
      </c>
      <c r="B464" s="6">
        <v>35492633333.333298</v>
      </c>
      <c r="C464" s="2" t="s">
        <v>6</v>
      </c>
      <c r="D464" s="4">
        <f ca="1">IFERROR(__xludf.DUMMYFUNCTION("B464*GOOGLEFINANCE(""CURRENCY:USDINR"")"),2683243079999.99)</f>
        <v>2683243079999.9902</v>
      </c>
      <c r="E464" s="3"/>
    </row>
    <row r="465" spans="1:5" x14ac:dyDescent="0.25">
      <c r="A465" s="6">
        <v>464</v>
      </c>
      <c r="B465" s="6">
        <v>35619819047.619003</v>
      </c>
      <c r="C465" s="2" t="s">
        <v>6</v>
      </c>
      <c r="D465" s="4">
        <f ca="1">IFERROR(__xludf.DUMMYFUNCTION("B465*GOOGLEFINANCE(""CURRENCY:USDINR"")"),2692858319999.99)</f>
        <v>2692858319999.9902</v>
      </c>
      <c r="E465" s="3"/>
    </row>
    <row r="466" spans="1:5" x14ac:dyDescent="0.25">
      <c r="A466" s="6">
        <v>465</v>
      </c>
      <c r="B466" s="6">
        <v>35747004761.904701</v>
      </c>
      <c r="C466" s="2" t="s">
        <v>6</v>
      </c>
      <c r="D466" s="4">
        <f ca="1">IFERROR(__xludf.DUMMYFUNCTION("B466*GOOGLEFINANCE(""CURRENCY:USDINR"")"),2702473559999.99)</f>
        <v>2702473559999.9902</v>
      </c>
      <c r="E466" s="3"/>
    </row>
    <row r="467" spans="1:5" x14ac:dyDescent="0.25">
      <c r="A467" s="6">
        <v>466</v>
      </c>
      <c r="B467" s="6">
        <v>35874190476.190399</v>
      </c>
      <c r="C467" s="2" t="s">
        <v>6</v>
      </c>
      <c r="D467" s="4">
        <f ca="1">IFERROR(__xludf.DUMMYFUNCTION("B467*GOOGLEFINANCE(""CURRENCY:USDINR"")"),2712088799999.99)</f>
        <v>2712088799999.9902</v>
      </c>
      <c r="E467" s="3"/>
    </row>
    <row r="468" spans="1:5" x14ac:dyDescent="0.25">
      <c r="A468" s="6">
        <v>467</v>
      </c>
      <c r="B468" s="6">
        <v>36001376190.476097</v>
      </c>
      <c r="C468" s="2" t="s">
        <v>6</v>
      </c>
      <c r="D468" s="4">
        <f ca="1">IFERROR(__xludf.DUMMYFUNCTION("B468*GOOGLEFINANCE(""CURRENCY:USDINR"")"),2721704039999.99)</f>
        <v>2721704039999.9902</v>
      </c>
      <c r="E468" s="3"/>
    </row>
    <row r="469" spans="1:5" x14ac:dyDescent="0.25">
      <c r="A469" s="6">
        <v>468</v>
      </c>
      <c r="B469" s="6">
        <v>36128561904.761803</v>
      </c>
      <c r="C469" s="2" t="s">
        <v>6</v>
      </c>
      <c r="D469" s="4">
        <f ca="1">IFERROR(__xludf.DUMMYFUNCTION("B469*GOOGLEFINANCE(""CURRENCY:USDINR"")"),2731319279999.99)</f>
        <v>2731319279999.9902</v>
      </c>
      <c r="E469" s="3"/>
    </row>
    <row r="470" spans="1:5" x14ac:dyDescent="0.25">
      <c r="A470" s="6">
        <v>469</v>
      </c>
      <c r="B470" s="6">
        <v>36255747619.047501</v>
      </c>
      <c r="C470" s="2" t="s">
        <v>6</v>
      </c>
      <c r="D470" s="4">
        <f ca="1">IFERROR(__xludf.DUMMYFUNCTION("B470*GOOGLEFINANCE(""CURRENCY:USDINR"")"),2740934519999.99)</f>
        <v>2740934519999.9902</v>
      </c>
      <c r="E470" s="3"/>
    </row>
    <row r="471" spans="1:5" x14ac:dyDescent="0.25">
      <c r="A471" s="6">
        <v>470</v>
      </c>
      <c r="B471" s="6">
        <v>36382933333.333298</v>
      </c>
      <c r="C471" s="2" t="s">
        <v>6</v>
      </c>
      <c r="D471" s="4">
        <f ca="1">IFERROR(__xludf.DUMMYFUNCTION("B471*GOOGLEFINANCE(""CURRENCY:USDINR"")"),2750549759999.99)</f>
        <v>2750549759999.9902</v>
      </c>
      <c r="E471" s="3"/>
    </row>
    <row r="472" spans="1:5" x14ac:dyDescent="0.25">
      <c r="A472" s="6">
        <v>471</v>
      </c>
      <c r="B472" s="6">
        <v>36510119047.619003</v>
      </c>
      <c r="C472" s="2" t="s">
        <v>6</v>
      </c>
      <c r="D472" s="4">
        <f ca="1">IFERROR(__xludf.DUMMYFUNCTION("B472*GOOGLEFINANCE(""CURRENCY:USDINR"")"),2760164999999.99)</f>
        <v>2760164999999.9902</v>
      </c>
      <c r="E472" s="3"/>
    </row>
    <row r="473" spans="1:5" x14ac:dyDescent="0.25">
      <c r="A473" s="6">
        <v>472</v>
      </c>
      <c r="B473" s="6">
        <v>36637304761.904701</v>
      </c>
      <c r="C473" s="2" t="s">
        <v>6</v>
      </c>
      <c r="D473" s="4">
        <f ca="1">IFERROR(__xludf.DUMMYFUNCTION("B473*GOOGLEFINANCE(""CURRENCY:USDINR"")"),2769780239999.99)</f>
        <v>2769780239999.9902</v>
      </c>
      <c r="E473" s="3"/>
    </row>
    <row r="474" spans="1:5" x14ac:dyDescent="0.25">
      <c r="A474" s="6">
        <v>473</v>
      </c>
      <c r="B474" s="6">
        <v>36764490476.190399</v>
      </c>
      <c r="C474" s="2" t="s">
        <v>6</v>
      </c>
      <c r="D474" s="4">
        <f ca="1">IFERROR(__xludf.DUMMYFUNCTION("B474*GOOGLEFINANCE(""CURRENCY:USDINR"")"),2779395479999.99)</f>
        <v>2779395479999.9902</v>
      </c>
      <c r="E474" s="3"/>
    </row>
    <row r="475" spans="1:5" x14ac:dyDescent="0.25">
      <c r="A475" s="6">
        <v>474</v>
      </c>
      <c r="B475" s="6">
        <v>36891676190.476097</v>
      </c>
      <c r="C475" s="2" t="s">
        <v>6</v>
      </c>
      <c r="D475" s="4">
        <f ca="1">IFERROR(__xludf.DUMMYFUNCTION("B475*GOOGLEFINANCE(""CURRENCY:USDINR"")"),2789010719999.99)</f>
        <v>2789010719999.9902</v>
      </c>
      <c r="E475" s="3"/>
    </row>
    <row r="476" spans="1:5" x14ac:dyDescent="0.25">
      <c r="A476" s="6">
        <v>475</v>
      </c>
      <c r="B476" s="6">
        <v>37018861904.761803</v>
      </c>
      <c r="C476" s="2" t="s">
        <v>6</v>
      </c>
      <c r="D476" s="4">
        <f ca="1">IFERROR(__xludf.DUMMYFUNCTION("B476*GOOGLEFINANCE(""CURRENCY:USDINR"")"),2798625959999.99)</f>
        <v>2798625959999.9902</v>
      </c>
      <c r="E476" s="3"/>
    </row>
    <row r="477" spans="1:5" x14ac:dyDescent="0.25">
      <c r="A477" s="6">
        <v>476</v>
      </c>
      <c r="B477" s="6">
        <v>37146047619.047501</v>
      </c>
      <c r="C477" s="2" t="s">
        <v>6</v>
      </c>
      <c r="D477" s="4">
        <f ca="1">IFERROR(__xludf.DUMMYFUNCTION("B477*GOOGLEFINANCE(""CURRENCY:USDINR"")"),2808241199999.99)</f>
        <v>2808241199999.9902</v>
      </c>
      <c r="E477" s="3"/>
    </row>
    <row r="478" spans="1:5" x14ac:dyDescent="0.25">
      <c r="A478" s="6">
        <v>477</v>
      </c>
      <c r="B478" s="6">
        <v>37273233333.333298</v>
      </c>
      <c r="C478" s="2" t="s">
        <v>6</v>
      </c>
      <c r="D478" s="4">
        <f ca="1">IFERROR(__xludf.DUMMYFUNCTION("B478*GOOGLEFINANCE(""CURRENCY:USDINR"")"),2817856439999.99)</f>
        <v>2817856439999.9902</v>
      </c>
      <c r="E478" s="3"/>
    </row>
    <row r="479" spans="1:5" x14ac:dyDescent="0.25">
      <c r="A479" s="6">
        <v>478</v>
      </c>
      <c r="B479" s="6">
        <v>37400419047.619003</v>
      </c>
      <c r="C479" s="2" t="s">
        <v>6</v>
      </c>
      <c r="D479" s="4">
        <f ca="1">IFERROR(__xludf.DUMMYFUNCTION("B479*GOOGLEFINANCE(""CURRENCY:USDINR"")"),2827471679999.99)</f>
        <v>2827471679999.9902</v>
      </c>
      <c r="E479" s="3"/>
    </row>
    <row r="480" spans="1:5" x14ac:dyDescent="0.25">
      <c r="A480" s="6">
        <v>479</v>
      </c>
      <c r="B480" s="6">
        <v>37527604761.904701</v>
      </c>
      <c r="C480" s="2" t="s">
        <v>6</v>
      </c>
      <c r="D480" s="4">
        <f ca="1">IFERROR(__xludf.DUMMYFUNCTION("B480*GOOGLEFINANCE(""CURRENCY:USDINR"")"),2837086919999.99)</f>
        <v>2837086919999.9902</v>
      </c>
      <c r="E480" s="3"/>
    </row>
    <row r="481" spans="1:5" x14ac:dyDescent="0.25">
      <c r="A481" s="6">
        <v>480</v>
      </c>
      <c r="B481" s="6">
        <v>37654790476.190399</v>
      </c>
      <c r="C481" s="2" t="s">
        <v>6</v>
      </c>
      <c r="D481" s="4">
        <f ca="1">IFERROR(__xludf.DUMMYFUNCTION("B481*GOOGLEFINANCE(""CURRENCY:USDINR"")"),2846702159999.99)</f>
        <v>2846702159999.9902</v>
      </c>
      <c r="E481" s="3"/>
    </row>
    <row r="482" spans="1:5" x14ac:dyDescent="0.25">
      <c r="A482" s="6">
        <v>481</v>
      </c>
      <c r="B482" s="6">
        <v>37781976190.476097</v>
      </c>
      <c r="C482" s="2" t="s">
        <v>6</v>
      </c>
      <c r="D482" s="4">
        <f ca="1">IFERROR(__xludf.DUMMYFUNCTION("B482*GOOGLEFINANCE(""CURRENCY:USDINR"")"),2856317399999.99)</f>
        <v>2856317399999.9902</v>
      </c>
      <c r="E482" s="3"/>
    </row>
    <row r="483" spans="1:5" x14ac:dyDescent="0.25">
      <c r="A483" s="6">
        <v>482</v>
      </c>
      <c r="B483" s="6">
        <v>37909161904.761803</v>
      </c>
      <c r="C483" s="2" t="s">
        <v>6</v>
      </c>
      <c r="D483" s="4">
        <f ca="1">IFERROR(__xludf.DUMMYFUNCTION("B483*GOOGLEFINANCE(""CURRENCY:USDINR"")"),2865932639999.99)</f>
        <v>2865932639999.9902</v>
      </c>
      <c r="E483" s="3"/>
    </row>
    <row r="484" spans="1:5" x14ac:dyDescent="0.25">
      <c r="A484" s="6">
        <v>483</v>
      </c>
      <c r="B484" s="6">
        <v>38036347619.047501</v>
      </c>
      <c r="C484" s="2" t="s">
        <v>6</v>
      </c>
      <c r="D484" s="4">
        <f ca="1">IFERROR(__xludf.DUMMYFUNCTION("B484*GOOGLEFINANCE(""CURRENCY:USDINR"")"),2875547879999.99)</f>
        <v>2875547879999.9902</v>
      </c>
      <c r="E484" s="3"/>
    </row>
    <row r="485" spans="1:5" x14ac:dyDescent="0.25">
      <c r="A485" s="6">
        <v>484</v>
      </c>
      <c r="B485" s="6">
        <v>38163533333.333298</v>
      </c>
      <c r="C485" s="2" t="s">
        <v>6</v>
      </c>
      <c r="D485" s="4">
        <f ca="1">IFERROR(__xludf.DUMMYFUNCTION("B485*GOOGLEFINANCE(""CURRENCY:USDINR"")"),2885163119999.99)</f>
        <v>2885163119999.9902</v>
      </c>
      <c r="E485" s="3"/>
    </row>
    <row r="486" spans="1:5" x14ac:dyDescent="0.25">
      <c r="A486" s="6">
        <v>485</v>
      </c>
      <c r="B486" s="6">
        <v>38290719047.619003</v>
      </c>
      <c r="C486" s="2" t="s">
        <v>6</v>
      </c>
      <c r="D486" s="4">
        <f ca="1">IFERROR(__xludf.DUMMYFUNCTION("B486*GOOGLEFINANCE(""CURRENCY:USDINR"")"),2894778359999.99)</f>
        <v>2894778359999.9902</v>
      </c>
      <c r="E486" s="3"/>
    </row>
    <row r="487" spans="1:5" x14ac:dyDescent="0.25">
      <c r="A487" s="6">
        <v>486</v>
      </c>
      <c r="B487" s="6">
        <v>38417904761.904701</v>
      </c>
      <c r="C487" s="2" t="s">
        <v>6</v>
      </c>
      <c r="D487" s="4">
        <f ca="1">IFERROR(__xludf.DUMMYFUNCTION("B487*GOOGLEFINANCE(""CURRENCY:USDINR"")"),2904393599999.99)</f>
        <v>2904393599999.9902</v>
      </c>
      <c r="E487" s="3"/>
    </row>
    <row r="488" spans="1:5" x14ac:dyDescent="0.25">
      <c r="A488" s="6">
        <v>487</v>
      </c>
      <c r="B488" s="6">
        <v>38545090476.190399</v>
      </c>
      <c r="C488" s="2" t="s">
        <v>6</v>
      </c>
      <c r="D488" s="4">
        <f ca="1">IFERROR(__xludf.DUMMYFUNCTION("B488*GOOGLEFINANCE(""CURRENCY:USDINR"")"),2914008839999.99)</f>
        <v>2914008839999.9902</v>
      </c>
      <c r="E488" s="3"/>
    </row>
    <row r="489" spans="1:5" x14ac:dyDescent="0.25">
      <c r="A489" s="6">
        <v>488</v>
      </c>
      <c r="B489" s="6">
        <v>38672276190.476097</v>
      </c>
      <c r="C489" s="2" t="s">
        <v>6</v>
      </c>
      <c r="D489" s="4">
        <f ca="1">IFERROR(__xludf.DUMMYFUNCTION("B489*GOOGLEFINANCE(""CURRENCY:USDINR"")"),2923624079999.99)</f>
        <v>2923624079999.9902</v>
      </c>
      <c r="E489" s="3"/>
    </row>
    <row r="490" spans="1:5" x14ac:dyDescent="0.25">
      <c r="A490" s="6">
        <v>489</v>
      </c>
      <c r="B490" s="6">
        <v>38799461904.761803</v>
      </c>
      <c r="C490" s="2" t="s">
        <v>6</v>
      </c>
      <c r="D490" s="4">
        <f ca="1">IFERROR(__xludf.DUMMYFUNCTION("B490*GOOGLEFINANCE(""CURRENCY:USDINR"")"),2933239319999.99)</f>
        <v>2933239319999.9902</v>
      </c>
      <c r="E490" s="3"/>
    </row>
    <row r="491" spans="1:5" x14ac:dyDescent="0.25">
      <c r="A491" s="6">
        <v>490</v>
      </c>
      <c r="B491" s="6">
        <v>38926647619.047501</v>
      </c>
      <c r="C491" s="2" t="s">
        <v>6</v>
      </c>
      <c r="D491" s="4">
        <f ca="1">IFERROR(__xludf.DUMMYFUNCTION("B491*GOOGLEFINANCE(""CURRENCY:USDINR"")"),2942854559999.99)</f>
        <v>2942854559999.9902</v>
      </c>
      <c r="E491" s="3"/>
    </row>
    <row r="492" spans="1:5" x14ac:dyDescent="0.25">
      <c r="A492" s="6">
        <v>491</v>
      </c>
      <c r="B492" s="6">
        <v>39053833333.333298</v>
      </c>
      <c r="C492" s="2" t="s">
        <v>6</v>
      </c>
      <c r="D492" s="4">
        <f ca="1">IFERROR(__xludf.DUMMYFUNCTION("B492*GOOGLEFINANCE(""CURRENCY:USDINR"")"),2952469799999.99)</f>
        <v>2952469799999.9902</v>
      </c>
      <c r="E492" s="3"/>
    </row>
    <row r="493" spans="1:5" x14ac:dyDescent="0.25">
      <c r="A493" s="6">
        <v>492</v>
      </c>
      <c r="B493" s="6">
        <v>39181019047.619003</v>
      </c>
      <c r="C493" s="2" t="s">
        <v>6</v>
      </c>
      <c r="D493" s="4">
        <f ca="1">IFERROR(__xludf.DUMMYFUNCTION("B493*GOOGLEFINANCE(""CURRENCY:USDINR"")"),2962085039999.99)</f>
        <v>2962085039999.9902</v>
      </c>
      <c r="E493" s="3"/>
    </row>
    <row r="494" spans="1:5" x14ac:dyDescent="0.25">
      <c r="A494" s="6">
        <v>493</v>
      </c>
      <c r="B494" s="6">
        <v>39308204761.904701</v>
      </c>
      <c r="C494" s="2" t="s">
        <v>6</v>
      </c>
      <c r="D494" s="4">
        <f ca="1">IFERROR(__xludf.DUMMYFUNCTION("B494*GOOGLEFINANCE(""CURRENCY:USDINR"")"),2971700279999.99)</f>
        <v>2971700279999.9902</v>
      </c>
      <c r="E494" s="3"/>
    </row>
    <row r="495" spans="1:5" x14ac:dyDescent="0.25">
      <c r="A495" s="6">
        <v>494</v>
      </c>
      <c r="B495" s="6">
        <v>39435390476.190399</v>
      </c>
      <c r="C495" s="2" t="s">
        <v>6</v>
      </c>
      <c r="D495" s="4">
        <f ca="1">IFERROR(__xludf.DUMMYFUNCTION("B495*GOOGLEFINANCE(""CURRENCY:USDINR"")"),2981315519999.99)</f>
        <v>2981315519999.9902</v>
      </c>
      <c r="E495" s="3"/>
    </row>
    <row r="496" spans="1:5" x14ac:dyDescent="0.25">
      <c r="A496" s="6">
        <v>495</v>
      </c>
      <c r="B496" s="6">
        <v>39562576190.476097</v>
      </c>
      <c r="C496" s="2" t="s">
        <v>6</v>
      </c>
      <c r="D496" s="4">
        <f ca="1">IFERROR(__xludf.DUMMYFUNCTION("B496*GOOGLEFINANCE(""CURRENCY:USDINR"")"),2990930759999.99)</f>
        <v>2990930759999.9902</v>
      </c>
      <c r="E496" s="3"/>
    </row>
    <row r="497" spans="1:5" x14ac:dyDescent="0.25">
      <c r="A497" s="6">
        <v>496</v>
      </c>
      <c r="B497" s="6">
        <v>39689761904.761803</v>
      </c>
      <c r="C497" s="2" t="s">
        <v>6</v>
      </c>
      <c r="D497" s="4">
        <f ca="1">IFERROR(__xludf.DUMMYFUNCTION("B497*GOOGLEFINANCE(""CURRENCY:USDINR"")"),3000545999999.99)</f>
        <v>3000545999999.9902</v>
      </c>
      <c r="E497" s="3"/>
    </row>
    <row r="498" spans="1:5" x14ac:dyDescent="0.25">
      <c r="A498" s="6">
        <v>497</v>
      </c>
      <c r="B498" s="6">
        <v>39816947619.047501</v>
      </c>
      <c r="C498" s="2" t="s">
        <v>6</v>
      </c>
      <c r="D498" s="4">
        <f ca="1">IFERROR(__xludf.DUMMYFUNCTION("B498*GOOGLEFINANCE(""CURRENCY:USDINR"")"),3010161239999.99)</f>
        <v>3010161239999.9902</v>
      </c>
      <c r="E498" s="3"/>
    </row>
    <row r="499" spans="1:5" x14ac:dyDescent="0.25">
      <c r="A499" s="6">
        <v>498</v>
      </c>
      <c r="B499" s="6">
        <v>39944133333.333199</v>
      </c>
      <c r="C499" s="2" t="s">
        <v>6</v>
      </c>
      <c r="D499" s="4">
        <f ca="1">IFERROR(__xludf.DUMMYFUNCTION("B499*GOOGLEFINANCE(""CURRENCY:USDINR"")"),3019776479999.98)</f>
        <v>3019776479999.98</v>
      </c>
      <c r="E499" s="3"/>
    </row>
    <row r="500" spans="1:5" x14ac:dyDescent="0.25">
      <c r="A500" s="6">
        <v>499</v>
      </c>
      <c r="B500" s="6">
        <v>40071319047.619003</v>
      </c>
      <c r="C500" s="2" t="s">
        <v>6</v>
      </c>
      <c r="D500" s="4">
        <f ca="1">IFERROR(__xludf.DUMMYFUNCTION("B500*GOOGLEFINANCE(""CURRENCY:USDINR"")"),3029391719999.99)</f>
        <v>3029391719999.9902</v>
      </c>
      <c r="E500" s="3"/>
    </row>
    <row r="501" spans="1:5" x14ac:dyDescent="0.25">
      <c r="A501" s="6">
        <v>500</v>
      </c>
      <c r="B501" s="6">
        <v>40198504761.904701</v>
      </c>
      <c r="C501" s="2" t="s">
        <v>6</v>
      </c>
      <c r="D501" s="4">
        <f ca="1">IFERROR(__xludf.DUMMYFUNCTION("B501*GOOGLEFINANCE(""CURRENCY:USDINR"")"),3039006959999.99)</f>
        <v>3039006959999.9902</v>
      </c>
      <c r="E501" s="3"/>
    </row>
    <row r="502" spans="1:5" x14ac:dyDescent="0.25">
      <c r="A502" s="6">
        <v>501</v>
      </c>
      <c r="B502" s="6">
        <v>40325690476.190399</v>
      </c>
      <c r="C502" s="2" t="s">
        <v>6</v>
      </c>
      <c r="D502" s="4">
        <f ca="1">IFERROR(__xludf.DUMMYFUNCTION("B502*GOOGLEFINANCE(""CURRENCY:USDINR"")"),3048622199999.99)</f>
        <v>3048622199999.9902</v>
      </c>
      <c r="E502" s="3"/>
    </row>
    <row r="503" spans="1:5" x14ac:dyDescent="0.25">
      <c r="A503" s="6">
        <v>502</v>
      </c>
      <c r="B503" s="6">
        <v>40452876190.476097</v>
      </c>
      <c r="C503" s="2" t="s">
        <v>6</v>
      </c>
      <c r="D503" s="4">
        <f ca="1">IFERROR(__xludf.DUMMYFUNCTION("B503*GOOGLEFINANCE(""CURRENCY:USDINR"")"),3058237439999.99)</f>
        <v>3058237439999.9902</v>
      </c>
      <c r="E503" s="3"/>
    </row>
    <row r="504" spans="1:5" x14ac:dyDescent="0.25">
      <c r="A504" s="6">
        <v>503</v>
      </c>
      <c r="B504" s="6">
        <v>40580061904.761803</v>
      </c>
      <c r="C504" s="2" t="s">
        <v>6</v>
      </c>
      <c r="D504" s="4">
        <f ca="1">IFERROR(__xludf.DUMMYFUNCTION("B504*GOOGLEFINANCE(""CURRENCY:USDINR"")"),3067852679999.99)</f>
        <v>3067852679999.9902</v>
      </c>
      <c r="E504" s="3"/>
    </row>
    <row r="505" spans="1:5" x14ac:dyDescent="0.25">
      <c r="A505" s="6">
        <v>504</v>
      </c>
      <c r="B505" s="6">
        <v>40707247619.047501</v>
      </c>
      <c r="C505" s="2" t="s">
        <v>6</v>
      </c>
      <c r="D505" s="4">
        <f ca="1">IFERROR(__xludf.DUMMYFUNCTION("B505*GOOGLEFINANCE(""CURRENCY:USDINR"")"),3077467919999.99)</f>
        <v>3077467919999.9902</v>
      </c>
      <c r="E505" s="3"/>
    </row>
    <row r="506" spans="1:5" x14ac:dyDescent="0.25">
      <c r="A506" s="6">
        <v>505</v>
      </c>
      <c r="B506" s="6">
        <v>40834433333.333199</v>
      </c>
      <c r="C506" s="2" t="s">
        <v>6</v>
      </c>
      <c r="D506" s="4">
        <f ca="1">IFERROR(__xludf.DUMMYFUNCTION("B506*GOOGLEFINANCE(""CURRENCY:USDINR"")"),3087083159999.98)</f>
        <v>3087083159999.98</v>
      </c>
      <c r="E506" s="3"/>
    </row>
    <row r="507" spans="1:5" x14ac:dyDescent="0.25">
      <c r="A507" s="6">
        <v>506</v>
      </c>
      <c r="B507" s="6">
        <v>40961619047.619003</v>
      </c>
      <c r="C507" s="2" t="s">
        <v>6</v>
      </c>
      <c r="D507" s="4">
        <f ca="1">IFERROR(__xludf.DUMMYFUNCTION("B507*GOOGLEFINANCE(""CURRENCY:USDINR"")"),3096698399999.99)</f>
        <v>3096698399999.9902</v>
      </c>
      <c r="E507" s="3"/>
    </row>
    <row r="508" spans="1:5" x14ac:dyDescent="0.25">
      <c r="A508" s="6">
        <v>507</v>
      </c>
      <c r="B508" s="6">
        <v>41088804761.904701</v>
      </c>
      <c r="C508" s="2" t="s">
        <v>6</v>
      </c>
      <c r="D508" s="4">
        <f ca="1">IFERROR(__xludf.DUMMYFUNCTION("B508*GOOGLEFINANCE(""CURRENCY:USDINR"")"),3106313639999.99)</f>
        <v>3106313639999.9902</v>
      </c>
      <c r="E508" s="3"/>
    </row>
    <row r="509" spans="1:5" x14ac:dyDescent="0.25">
      <c r="A509" s="6">
        <v>508</v>
      </c>
      <c r="B509" s="6">
        <v>41215990476.190399</v>
      </c>
      <c r="C509" s="2" t="s">
        <v>6</v>
      </c>
      <c r="D509" s="4">
        <f ca="1">IFERROR(__xludf.DUMMYFUNCTION("B509*GOOGLEFINANCE(""CURRENCY:USDINR"")"),3115928879999.99)</f>
        <v>3115928879999.9902</v>
      </c>
      <c r="E509" s="3"/>
    </row>
    <row r="510" spans="1:5" x14ac:dyDescent="0.25">
      <c r="A510" s="6">
        <v>509</v>
      </c>
      <c r="B510" s="6">
        <v>41343176190.476097</v>
      </c>
      <c r="C510" s="2" t="s">
        <v>6</v>
      </c>
      <c r="D510" s="4">
        <f ca="1">IFERROR(__xludf.DUMMYFUNCTION("B510*GOOGLEFINANCE(""CURRENCY:USDINR"")"),3125544119999.99)</f>
        <v>3125544119999.9902</v>
      </c>
      <c r="E510" s="3"/>
    </row>
    <row r="511" spans="1:5" x14ac:dyDescent="0.25">
      <c r="A511" s="6">
        <v>510</v>
      </c>
      <c r="B511" s="6">
        <v>41470361904.761803</v>
      </c>
      <c r="C511" s="2" t="s">
        <v>6</v>
      </c>
      <c r="D511" s="4">
        <f ca="1">IFERROR(__xludf.DUMMYFUNCTION("B511*GOOGLEFINANCE(""CURRENCY:USDINR"")"),3135159359999.99)</f>
        <v>3135159359999.9902</v>
      </c>
      <c r="E511" s="3"/>
    </row>
    <row r="512" spans="1:5" x14ac:dyDescent="0.25">
      <c r="A512" s="6">
        <v>511</v>
      </c>
      <c r="B512" s="6">
        <v>41597547619.047501</v>
      </c>
      <c r="C512" s="2" t="s">
        <v>6</v>
      </c>
      <c r="D512" s="4">
        <f ca="1">IFERROR(__xludf.DUMMYFUNCTION("B512*GOOGLEFINANCE(""CURRENCY:USDINR"")"),3144774599999.99)</f>
        <v>3144774599999.9902</v>
      </c>
      <c r="E512" s="3"/>
    </row>
    <row r="513" spans="1:5" x14ac:dyDescent="0.25">
      <c r="A513" s="6">
        <v>512</v>
      </c>
      <c r="B513" s="6">
        <v>41724733333.333199</v>
      </c>
      <c r="C513" s="2" t="s">
        <v>6</v>
      </c>
      <c r="D513" s="4">
        <f ca="1">IFERROR(__xludf.DUMMYFUNCTION("B513*GOOGLEFINANCE(""CURRENCY:USDINR"")"),3154389839999.98)</f>
        <v>3154389839999.98</v>
      </c>
      <c r="E513" s="3"/>
    </row>
    <row r="514" spans="1:5" x14ac:dyDescent="0.25">
      <c r="A514" s="6">
        <v>513</v>
      </c>
      <c r="B514" s="6">
        <v>41851919047.619003</v>
      </c>
      <c r="C514" s="2" t="s">
        <v>6</v>
      </c>
      <c r="D514" s="4">
        <f ca="1">IFERROR(__xludf.DUMMYFUNCTION("B514*GOOGLEFINANCE(""CURRENCY:USDINR"")"),3164005079999.99)</f>
        <v>3164005079999.9902</v>
      </c>
      <c r="E514" s="3"/>
    </row>
    <row r="515" spans="1:5" x14ac:dyDescent="0.25">
      <c r="A515" s="6">
        <v>514</v>
      </c>
      <c r="B515" s="6">
        <v>41979104761.904701</v>
      </c>
      <c r="C515" s="2" t="s">
        <v>6</v>
      </c>
      <c r="D515" s="4">
        <f ca="1">IFERROR(__xludf.DUMMYFUNCTION("B515*GOOGLEFINANCE(""CURRENCY:USDINR"")"),3173620319999.99)</f>
        <v>3173620319999.9902</v>
      </c>
      <c r="E515" s="3"/>
    </row>
    <row r="516" spans="1:5" x14ac:dyDescent="0.25">
      <c r="A516" s="6">
        <v>515</v>
      </c>
      <c r="B516" s="6">
        <v>42106290476.190399</v>
      </c>
      <c r="C516" s="2" t="s">
        <v>6</v>
      </c>
      <c r="D516" s="4">
        <f ca="1">IFERROR(__xludf.DUMMYFUNCTION("B516*GOOGLEFINANCE(""CURRENCY:USDINR"")"),3183235559999.99)</f>
        <v>3183235559999.9902</v>
      </c>
      <c r="E516" s="3"/>
    </row>
    <row r="517" spans="1:5" x14ac:dyDescent="0.25">
      <c r="A517" s="6">
        <v>516</v>
      </c>
      <c r="B517" s="6">
        <v>42233476190.476097</v>
      </c>
      <c r="C517" s="2" t="s">
        <v>6</v>
      </c>
      <c r="D517" s="4">
        <f ca="1">IFERROR(__xludf.DUMMYFUNCTION("B517*GOOGLEFINANCE(""CURRENCY:USDINR"")"),3192850799999.99)</f>
        <v>3192850799999.9902</v>
      </c>
      <c r="E517" s="3"/>
    </row>
    <row r="518" spans="1:5" x14ac:dyDescent="0.25">
      <c r="A518" s="6">
        <v>517</v>
      </c>
      <c r="B518" s="6">
        <v>42360661904.761803</v>
      </c>
      <c r="C518" s="2" t="s">
        <v>6</v>
      </c>
      <c r="D518" s="4">
        <f ca="1">IFERROR(__xludf.DUMMYFUNCTION("B518*GOOGLEFINANCE(""CURRENCY:USDINR"")"),3202466039999.99)</f>
        <v>3202466039999.9902</v>
      </c>
      <c r="E518" s="3"/>
    </row>
    <row r="519" spans="1:5" x14ac:dyDescent="0.25">
      <c r="A519" s="6">
        <v>518</v>
      </c>
      <c r="B519" s="6">
        <v>42487847619.047501</v>
      </c>
      <c r="C519" s="2" t="s">
        <v>6</v>
      </c>
      <c r="D519" s="4">
        <f ca="1">IFERROR(__xludf.DUMMYFUNCTION("B519*GOOGLEFINANCE(""CURRENCY:USDINR"")"),3212081279999.99)</f>
        <v>3212081279999.9902</v>
      </c>
      <c r="E519" s="3"/>
    </row>
    <row r="520" spans="1:5" x14ac:dyDescent="0.25">
      <c r="A520" s="6">
        <v>519</v>
      </c>
      <c r="B520" s="6">
        <v>42615033333.333199</v>
      </c>
      <c r="C520" s="2" t="s">
        <v>6</v>
      </c>
      <c r="D520" s="4">
        <f ca="1">IFERROR(__xludf.DUMMYFUNCTION("B520*GOOGLEFINANCE(""CURRENCY:USDINR"")"),3221696519999.98)</f>
        <v>3221696519999.98</v>
      </c>
      <c r="E520" s="3"/>
    </row>
    <row r="521" spans="1:5" x14ac:dyDescent="0.25">
      <c r="A521" s="6">
        <v>520</v>
      </c>
      <c r="B521" s="6">
        <v>42742219047.619003</v>
      </c>
      <c r="C521" s="2" t="s">
        <v>6</v>
      </c>
      <c r="D521" s="4">
        <f ca="1">IFERROR(__xludf.DUMMYFUNCTION("B521*GOOGLEFINANCE(""CURRENCY:USDINR"")"),3231311759999.99)</f>
        <v>3231311759999.9902</v>
      </c>
      <c r="E521" s="3"/>
    </row>
    <row r="522" spans="1:5" x14ac:dyDescent="0.25">
      <c r="A522" s="6">
        <v>521</v>
      </c>
      <c r="B522" s="6">
        <v>42869404761.904701</v>
      </c>
      <c r="C522" s="2" t="s">
        <v>6</v>
      </c>
      <c r="D522" s="4">
        <f ca="1">IFERROR(__xludf.DUMMYFUNCTION("B522*GOOGLEFINANCE(""CURRENCY:USDINR"")"),3240926999999.99)</f>
        <v>3240926999999.9902</v>
      </c>
      <c r="E522" s="3"/>
    </row>
    <row r="523" spans="1:5" x14ac:dyDescent="0.25">
      <c r="A523" s="6">
        <v>522</v>
      </c>
      <c r="B523" s="6">
        <v>42996590476.190399</v>
      </c>
      <c r="C523" s="2" t="s">
        <v>6</v>
      </c>
      <c r="D523" s="4">
        <f ca="1">IFERROR(__xludf.DUMMYFUNCTION("B523*GOOGLEFINANCE(""CURRENCY:USDINR"")"),3250542239999.99)</f>
        <v>3250542239999.9902</v>
      </c>
      <c r="E523" s="3"/>
    </row>
    <row r="524" spans="1:5" x14ac:dyDescent="0.25">
      <c r="A524" s="6">
        <v>523</v>
      </c>
      <c r="B524" s="6">
        <v>43123776190.476097</v>
      </c>
      <c r="C524" s="2" t="s">
        <v>6</v>
      </c>
      <c r="D524" s="4">
        <f ca="1">IFERROR(__xludf.DUMMYFUNCTION("B524*GOOGLEFINANCE(""CURRENCY:USDINR"")"),3260157479999.99)</f>
        <v>3260157479999.9902</v>
      </c>
      <c r="E524" s="3"/>
    </row>
    <row r="525" spans="1:5" x14ac:dyDescent="0.25">
      <c r="A525" s="6">
        <v>524</v>
      </c>
      <c r="B525" s="6">
        <v>43250961904.761803</v>
      </c>
      <c r="C525" s="2" t="s">
        <v>6</v>
      </c>
      <c r="D525" s="4">
        <f ca="1">IFERROR(__xludf.DUMMYFUNCTION("B525*GOOGLEFINANCE(""CURRENCY:USDINR"")"),3269772719999.99)</f>
        <v>3269772719999.9902</v>
      </c>
      <c r="E525" s="3"/>
    </row>
    <row r="526" spans="1:5" x14ac:dyDescent="0.25">
      <c r="A526" s="6">
        <v>525</v>
      </c>
      <c r="B526" s="6">
        <v>43378147619.047501</v>
      </c>
      <c r="C526" s="2" t="s">
        <v>6</v>
      </c>
      <c r="D526" s="4">
        <f ca="1">IFERROR(__xludf.DUMMYFUNCTION("B526*GOOGLEFINANCE(""CURRENCY:USDINR"")"),3279387959999.99)</f>
        <v>3279387959999.9902</v>
      </c>
      <c r="E526" s="3"/>
    </row>
    <row r="527" spans="1:5" x14ac:dyDescent="0.25">
      <c r="A527" s="6">
        <v>526</v>
      </c>
      <c r="B527" s="6">
        <v>43505333333.333199</v>
      </c>
      <c r="C527" s="2" t="s">
        <v>6</v>
      </c>
      <c r="D527" s="4">
        <f ca="1">IFERROR(__xludf.DUMMYFUNCTION("B527*GOOGLEFINANCE(""CURRENCY:USDINR"")"),3289003199999.98)</f>
        <v>3289003199999.98</v>
      </c>
      <c r="E527" s="3"/>
    </row>
    <row r="528" spans="1:5" x14ac:dyDescent="0.25">
      <c r="A528" s="6">
        <v>527</v>
      </c>
      <c r="B528" s="6">
        <v>43632519047.619003</v>
      </c>
      <c r="C528" s="2" t="s">
        <v>6</v>
      </c>
      <c r="D528" s="4">
        <f ca="1">IFERROR(__xludf.DUMMYFUNCTION("B528*GOOGLEFINANCE(""CURRENCY:USDINR"")"),3298618439999.99)</f>
        <v>3298618439999.9902</v>
      </c>
      <c r="E528" s="3"/>
    </row>
    <row r="529" spans="1:5" x14ac:dyDescent="0.25">
      <c r="A529" s="6">
        <v>528</v>
      </c>
      <c r="B529" s="6">
        <v>43759704761.904701</v>
      </c>
      <c r="C529" s="2" t="s">
        <v>6</v>
      </c>
      <c r="D529" s="4">
        <f ca="1">IFERROR(__xludf.DUMMYFUNCTION("B529*GOOGLEFINANCE(""CURRENCY:USDINR"")"),3308233679999.99)</f>
        <v>3308233679999.9902</v>
      </c>
      <c r="E529" s="3"/>
    </row>
    <row r="530" spans="1:5" x14ac:dyDescent="0.25">
      <c r="A530" s="6">
        <v>529</v>
      </c>
      <c r="B530" s="6">
        <v>43886890476.190399</v>
      </c>
      <c r="C530" s="2" t="s">
        <v>6</v>
      </c>
      <c r="D530" s="4">
        <f ca="1">IFERROR(__xludf.DUMMYFUNCTION("B530*GOOGLEFINANCE(""CURRENCY:USDINR"")"),3317848919999.99)</f>
        <v>3317848919999.9902</v>
      </c>
      <c r="E530" s="3"/>
    </row>
    <row r="531" spans="1:5" x14ac:dyDescent="0.25">
      <c r="A531" s="6">
        <v>530</v>
      </c>
      <c r="B531" s="6">
        <v>44014076190.476097</v>
      </c>
      <c r="C531" s="2" t="s">
        <v>6</v>
      </c>
      <c r="D531" s="4">
        <f ca="1">IFERROR(__xludf.DUMMYFUNCTION("B531*GOOGLEFINANCE(""CURRENCY:USDINR"")"),3327464159999.99)</f>
        <v>3327464159999.9902</v>
      </c>
      <c r="E531" s="3"/>
    </row>
    <row r="532" spans="1:5" x14ac:dyDescent="0.25">
      <c r="A532" s="6">
        <v>531</v>
      </c>
      <c r="B532" s="6">
        <v>44141261904.761803</v>
      </c>
      <c r="C532" s="2" t="s">
        <v>6</v>
      </c>
      <c r="D532" s="4">
        <f ca="1">IFERROR(__xludf.DUMMYFUNCTION("B532*GOOGLEFINANCE(""CURRENCY:USDINR"")"),3337079399999.99)</f>
        <v>3337079399999.9902</v>
      </c>
      <c r="E532" s="3"/>
    </row>
    <row r="533" spans="1:5" x14ac:dyDescent="0.25">
      <c r="A533" s="6">
        <v>532</v>
      </c>
      <c r="B533" s="6">
        <v>44268447619.047501</v>
      </c>
      <c r="C533" s="2" t="s">
        <v>6</v>
      </c>
      <c r="D533" s="4">
        <f ca="1">IFERROR(__xludf.DUMMYFUNCTION("B533*GOOGLEFINANCE(""CURRENCY:USDINR"")"),3346694639999.99)</f>
        <v>3346694639999.9902</v>
      </c>
      <c r="E533" s="3"/>
    </row>
    <row r="534" spans="1:5" x14ac:dyDescent="0.25">
      <c r="A534" s="6">
        <v>533</v>
      </c>
      <c r="B534" s="6">
        <v>44395633333.333199</v>
      </c>
      <c r="C534" s="2" t="s">
        <v>6</v>
      </c>
      <c r="D534" s="4">
        <f ca="1">IFERROR(__xludf.DUMMYFUNCTION("B534*GOOGLEFINANCE(""CURRENCY:USDINR"")"),3356309879999.98)</f>
        <v>3356309879999.98</v>
      </c>
      <c r="E534" s="3"/>
    </row>
    <row r="535" spans="1:5" x14ac:dyDescent="0.25">
      <c r="A535" s="6">
        <v>534</v>
      </c>
      <c r="B535" s="6">
        <v>44522819047.619003</v>
      </c>
      <c r="C535" s="2" t="s">
        <v>6</v>
      </c>
      <c r="D535" s="4">
        <f ca="1">IFERROR(__xludf.DUMMYFUNCTION("B535*GOOGLEFINANCE(""CURRENCY:USDINR"")"),3365925119999.99)</f>
        <v>3365925119999.9902</v>
      </c>
      <c r="E535" s="3"/>
    </row>
    <row r="536" spans="1:5" x14ac:dyDescent="0.25">
      <c r="A536" s="6">
        <v>535</v>
      </c>
      <c r="B536" s="6">
        <v>44650004761.904701</v>
      </c>
      <c r="C536" s="2" t="s">
        <v>6</v>
      </c>
      <c r="D536" s="4">
        <f ca="1">IFERROR(__xludf.DUMMYFUNCTION("B536*GOOGLEFINANCE(""CURRENCY:USDINR"")"),3375540359999.99)</f>
        <v>3375540359999.9902</v>
      </c>
      <c r="E536" s="3"/>
    </row>
    <row r="537" spans="1:5" x14ac:dyDescent="0.25">
      <c r="A537" s="6">
        <v>536</v>
      </c>
      <c r="B537" s="6">
        <v>44777190476.190399</v>
      </c>
      <c r="C537" s="2" t="s">
        <v>6</v>
      </c>
      <c r="D537" s="4">
        <f ca="1">IFERROR(__xludf.DUMMYFUNCTION("B537*GOOGLEFINANCE(""CURRENCY:USDINR"")"),3385155599999.99)</f>
        <v>3385155599999.9902</v>
      </c>
      <c r="E537" s="3"/>
    </row>
    <row r="538" spans="1:5" x14ac:dyDescent="0.25">
      <c r="A538" s="6">
        <v>537</v>
      </c>
      <c r="B538" s="6">
        <v>44904376190.476097</v>
      </c>
      <c r="C538" s="2" t="s">
        <v>6</v>
      </c>
      <c r="D538" s="4">
        <f ca="1">IFERROR(__xludf.DUMMYFUNCTION("B538*GOOGLEFINANCE(""CURRENCY:USDINR"")"),3394770839999.99)</f>
        <v>3394770839999.9902</v>
      </c>
      <c r="E538" s="3"/>
    </row>
    <row r="539" spans="1:5" x14ac:dyDescent="0.25">
      <c r="A539" s="6">
        <v>538</v>
      </c>
      <c r="B539" s="6">
        <v>45031561904.761803</v>
      </c>
      <c r="C539" s="2" t="s">
        <v>6</v>
      </c>
      <c r="D539" s="4">
        <f ca="1">IFERROR(__xludf.DUMMYFUNCTION("B539*GOOGLEFINANCE(""CURRENCY:USDINR"")"),3404386079999.99)</f>
        <v>3404386079999.9902</v>
      </c>
      <c r="E539" s="3"/>
    </row>
    <row r="540" spans="1:5" x14ac:dyDescent="0.25">
      <c r="A540" s="6">
        <v>539</v>
      </c>
      <c r="B540" s="6">
        <v>45158747619.047501</v>
      </c>
      <c r="C540" s="2" t="s">
        <v>6</v>
      </c>
      <c r="D540" s="4">
        <f ca="1">IFERROR(__xludf.DUMMYFUNCTION("B540*GOOGLEFINANCE(""CURRENCY:USDINR"")"),3414001319999.99)</f>
        <v>3414001319999.9902</v>
      </c>
      <c r="E540" s="3"/>
    </row>
    <row r="541" spans="1:5" x14ac:dyDescent="0.25">
      <c r="A541" s="6">
        <v>540</v>
      </c>
      <c r="B541" s="6">
        <v>45285933333.333199</v>
      </c>
      <c r="C541" s="2" t="s">
        <v>6</v>
      </c>
      <c r="D541" s="4">
        <f ca="1">IFERROR(__xludf.DUMMYFUNCTION("B541*GOOGLEFINANCE(""CURRENCY:USDINR"")"),3423616559999.98)</f>
        <v>3423616559999.98</v>
      </c>
      <c r="E541" s="3"/>
    </row>
    <row r="542" spans="1:5" x14ac:dyDescent="0.25">
      <c r="A542" s="6">
        <v>541</v>
      </c>
      <c r="B542" s="6">
        <v>45413119047.619003</v>
      </c>
      <c r="C542" s="2" t="s">
        <v>6</v>
      </c>
      <c r="D542" s="4">
        <f ca="1">IFERROR(__xludf.DUMMYFUNCTION("B542*GOOGLEFINANCE(""CURRENCY:USDINR"")"),3433231799999.99)</f>
        <v>3433231799999.9902</v>
      </c>
      <c r="E542" s="3"/>
    </row>
    <row r="543" spans="1:5" x14ac:dyDescent="0.25">
      <c r="A543" s="6">
        <v>542</v>
      </c>
      <c r="B543" s="6">
        <v>45540304761.904701</v>
      </c>
      <c r="C543" s="2" t="s">
        <v>6</v>
      </c>
      <c r="D543" s="4">
        <f ca="1">IFERROR(__xludf.DUMMYFUNCTION("B543*GOOGLEFINANCE(""CURRENCY:USDINR"")"),3442847039999.99)</f>
        <v>3442847039999.9902</v>
      </c>
      <c r="E543" s="3"/>
    </row>
    <row r="544" spans="1:5" x14ac:dyDescent="0.25">
      <c r="A544" s="6">
        <v>543</v>
      </c>
      <c r="B544" s="6">
        <v>45667490476.190399</v>
      </c>
      <c r="C544" s="2" t="s">
        <v>6</v>
      </c>
      <c r="D544" s="4">
        <f ca="1">IFERROR(__xludf.DUMMYFUNCTION("B544*GOOGLEFINANCE(""CURRENCY:USDINR"")"),3452462279999.99)</f>
        <v>3452462279999.9902</v>
      </c>
      <c r="E544" s="3"/>
    </row>
    <row r="545" spans="1:5" x14ac:dyDescent="0.25">
      <c r="A545" s="6">
        <v>544</v>
      </c>
      <c r="B545" s="6">
        <v>45794676190.476097</v>
      </c>
      <c r="C545" s="2" t="s">
        <v>6</v>
      </c>
      <c r="D545" s="4">
        <f ca="1">IFERROR(__xludf.DUMMYFUNCTION("B545*GOOGLEFINANCE(""CURRENCY:USDINR"")"),3462077519999.99)</f>
        <v>3462077519999.9902</v>
      </c>
      <c r="E545" s="3"/>
    </row>
    <row r="546" spans="1:5" x14ac:dyDescent="0.25">
      <c r="A546" s="6">
        <v>545</v>
      </c>
      <c r="B546" s="6">
        <v>45921861904.761803</v>
      </c>
      <c r="C546" s="2" t="s">
        <v>6</v>
      </c>
      <c r="D546" s="4">
        <f ca="1">IFERROR(__xludf.DUMMYFUNCTION("B546*GOOGLEFINANCE(""CURRENCY:USDINR"")"),3471692759999.99)</f>
        <v>3471692759999.9902</v>
      </c>
      <c r="E546" s="3"/>
    </row>
    <row r="547" spans="1:5" x14ac:dyDescent="0.25">
      <c r="A547" s="6">
        <v>546</v>
      </c>
      <c r="B547" s="6">
        <v>46049047619.047501</v>
      </c>
      <c r="C547" s="2" t="s">
        <v>6</v>
      </c>
      <c r="D547" s="4">
        <f ca="1">IFERROR(__xludf.DUMMYFUNCTION("B547*GOOGLEFINANCE(""CURRENCY:USDINR"")"),3481307999999.99)</f>
        <v>3481307999999.9902</v>
      </c>
      <c r="E547" s="3"/>
    </row>
    <row r="548" spans="1:5" x14ac:dyDescent="0.25">
      <c r="A548" s="6">
        <v>547</v>
      </c>
      <c r="B548" s="6">
        <v>46176233333.333199</v>
      </c>
      <c r="C548" s="2" t="s">
        <v>6</v>
      </c>
      <c r="D548" s="4">
        <f ca="1">IFERROR(__xludf.DUMMYFUNCTION("B548*GOOGLEFINANCE(""CURRENCY:USDINR"")"),3490923239999.98)</f>
        <v>3490923239999.98</v>
      </c>
      <c r="E548" s="3"/>
    </row>
    <row r="549" spans="1:5" x14ac:dyDescent="0.25">
      <c r="A549" s="6">
        <v>548</v>
      </c>
      <c r="B549" s="6">
        <v>46303419047.619003</v>
      </c>
      <c r="C549" s="2" t="s">
        <v>6</v>
      </c>
      <c r="D549" s="4">
        <f ca="1">IFERROR(__xludf.DUMMYFUNCTION("B549*GOOGLEFINANCE(""CURRENCY:USDINR"")"),3500538479999.99)</f>
        <v>3500538479999.9902</v>
      </c>
      <c r="E549" s="3"/>
    </row>
    <row r="550" spans="1:5" x14ac:dyDescent="0.25">
      <c r="A550" s="6">
        <v>549</v>
      </c>
      <c r="B550" s="6">
        <v>46430604761.904701</v>
      </c>
      <c r="C550" s="2" t="s">
        <v>6</v>
      </c>
      <c r="D550" s="4">
        <f ca="1">IFERROR(__xludf.DUMMYFUNCTION("B550*GOOGLEFINANCE(""CURRENCY:USDINR"")"),3510153719999.99)</f>
        <v>3510153719999.9902</v>
      </c>
      <c r="E550" s="3"/>
    </row>
    <row r="551" spans="1:5" x14ac:dyDescent="0.25">
      <c r="A551" s="6">
        <v>550</v>
      </c>
      <c r="B551" s="6">
        <v>46557790476.190399</v>
      </c>
      <c r="C551" s="2" t="s">
        <v>6</v>
      </c>
      <c r="D551" s="4">
        <f ca="1">IFERROR(__xludf.DUMMYFUNCTION("B551*GOOGLEFINANCE(""CURRENCY:USDINR"")"),3519768959999.99)</f>
        <v>3519768959999.9902</v>
      </c>
      <c r="E551" s="3"/>
    </row>
    <row r="552" spans="1:5" x14ac:dyDescent="0.25">
      <c r="A552" s="6">
        <v>551</v>
      </c>
      <c r="B552" s="6">
        <v>46684976190.476097</v>
      </c>
      <c r="C552" s="2" t="s">
        <v>6</v>
      </c>
      <c r="D552" s="4">
        <f ca="1">IFERROR(__xludf.DUMMYFUNCTION("B552*GOOGLEFINANCE(""CURRENCY:USDINR"")"),3529384199999.99)</f>
        <v>3529384199999.9902</v>
      </c>
      <c r="E552" s="3"/>
    </row>
    <row r="553" spans="1:5" x14ac:dyDescent="0.25">
      <c r="A553" s="6">
        <v>552</v>
      </c>
      <c r="B553" s="6">
        <v>46812161904.761803</v>
      </c>
      <c r="C553" s="2" t="s">
        <v>6</v>
      </c>
      <c r="D553" s="4">
        <f ca="1">IFERROR(__xludf.DUMMYFUNCTION("B553*GOOGLEFINANCE(""CURRENCY:USDINR"")"),3538999439999.99)</f>
        <v>3538999439999.9902</v>
      </c>
      <c r="E553" s="3"/>
    </row>
    <row r="554" spans="1:5" x14ac:dyDescent="0.25">
      <c r="A554" s="6">
        <v>553</v>
      </c>
      <c r="B554" s="6">
        <v>46939347619.047501</v>
      </c>
      <c r="C554" s="2" t="s">
        <v>6</v>
      </c>
      <c r="D554" s="4">
        <f ca="1">IFERROR(__xludf.DUMMYFUNCTION("B554*GOOGLEFINANCE(""CURRENCY:USDINR"")"),3548614679999.99)</f>
        <v>3548614679999.9902</v>
      </c>
      <c r="E554" s="3"/>
    </row>
    <row r="555" spans="1:5" x14ac:dyDescent="0.25">
      <c r="A555" s="6">
        <v>554</v>
      </c>
      <c r="B555" s="6">
        <v>47066533333.333199</v>
      </c>
      <c r="C555" s="2" t="s">
        <v>6</v>
      </c>
      <c r="D555" s="4">
        <f ca="1">IFERROR(__xludf.DUMMYFUNCTION("B555*GOOGLEFINANCE(""CURRENCY:USDINR"")"),3558229919999.98)</f>
        <v>3558229919999.98</v>
      </c>
      <c r="E555" s="3"/>
    </row>
    <row r="556" spans="1:5" x14ac:dyDescent="0.25">
      <c r="A556" s="6">
        <v>555</v>
      </c>
      <c r="B556" s="6">
        <v>47193719047.618896</v>
      </c>
      <c r="C556" s="2" t="s">
        <v>6</v>
      </c>
      <c r="D556" s="4">
        <f ca="1">IFERROR(__xludf.DUMMYFUNCTION("B556*GOOGLEFINANCE(""CURRENCY:USDINR"")"),3567845159999.98)</f>
        <v>3567845159999.98</v>
      </c>
      <c r="E556" s="3"/>
    </row>
    <row r="557" spans="1:5" x14ac:dyDescent="0.25">
      <c r="A557" s="6">
        <v>556</v>
      </c>
      <c r="B557" s="6">
        <v>47320904761.904701</v>
      </c>
      <c r="C557" s="2" t="s">
        <v>6</v>
      </c>
      <c r="D557" s="4">
        <f ca="1">IFERROR(__xludf.DUMMYFUNCTION("B557*GOOGLEFINANCE(""CURRENCY:USDINR"")"),3577460399999.99)</f>
        <v>3577460399999.9902</v>
      </c>
      <c r="E557" s="3"/>
    </row>
    <row r="558" spans="1:5" x14ac:dyDescent="0.25">
      <c r="A558" s="6">
        <v>557</v>
      </c>
      <c r="B558" s="6">
        <v>47448090476.190399</v>
      </c>
      <c r="C558" s="2" t="s">
        <v>6</v>
      </c>
      <c r="D558" s="4">
        <f ca="1">IFERROR(__xludf.DUMMYFUNCTION("B558*GOOGLEFINANCE(""CURRENCY:USDINR"")"),3587075639999.99)</f>
        <v>3587075639999.9902</v>
      </c>
      <c r="E558" s="3"/>
    </row>
    <row r="559" spans="1:5" x14ac:dyDescent="0.25">
      <c r="A559" s="6">
        <v>558</v>
      </c>
      <c r="B559" s="6">
        <v>47575276190.476097</v>
      </c>
      <c r="C559" s="2" t="s">
        <v>6</v>
      </c>
      <c r="D559" s="4">
        <f ca="1">IFERROR(__xludf.DUMMYFUNCTION("B559*GOOGLEFINANCE(""CURRENCY:USDINR"")"),3596690879999.99)</f>
        <v>3596690879999.9902</v>
      </c>
      <c r="E559" s="3"/>
    </row>
    <row r="560" spans="1:5" x14ac:dyDescent="0.25">
      <c r="A560" s="6">
        <v>559</v>
      </c>
      <c r="B560" s="6">
        <v>47702461904.761803</v>
      </c>
      <c r="C560" s="2" t="s">
        <v>6</v>
      </c>
      <c r="D560" s="4">
        <f ca="1">IFERROR(__xludf.DUMMYFUNCTION("B560*GOOGLEFINANCE(""CURRENCY:USDINR"")"),3606306119999.99)</f>
        <v>3606306119999.9902</v>
      </c>
      <c r="E560" s="3"/>
    </row>
    <row r="561" spans="1:5" x14ac:dyDescent="0.25">
      <c r="A561" s="6">
        <v>560</v>
      </c>
      <c r="B561" s="6">
        <v>47829647619.047501</v>
      </c>
      <c r="C561" s="2" t="s">
        <v>6</v>
      </c>
      <c r="D561" s="4">
        <f ca="1">IFERROR(__xludf.DUMMYFUNCTION("B561*GOOGLEFINANCE(""CURRENCY:USDINR"")"),3615921359999.99)</f>
        <v>3615921359999.9902</v>
      </c>
      <c r="E561" s="3"/>
    </row>
    <row r="562" spans="1:5" x14ac:dyDescent="0.25">
      <c r="A562" s="6">
        <v>561</v>
      </c>
      <c r="B562" s="6">
        <v>47956833333.333199</v>
      </c>
      <c r="C562" s="2" t="s">
        <v>6</v>
      </c>
      <c r="D562" s="4">
        <f ca="1">IFERROR(__xludf.DUMMYFUNCTION("B562*GOOGLEFINANCE(""CURRENCY:USDINR"")"),3625536599999.98)</f>
        <v>3625536599999.98</v>
      </c>
      <c r="E562" s="3"/>
    </row>
    <row r="563" spans="1:5" x14ac:dyDescent="0.25">
      <c r="A563" s="6">
        <v>562</v>
      </c>
      <c r="B563" s="6">
        <v>48084019047.618896</v>
      </c>
      <c r="C563" s="2" t="s">
        <v>6</v>
      </c>
      <c r="D563" s="4">
        <f ca="1">IFERROR(__xludf.DUMMYFUNCTION("B563*GOOGLEFINANCE(""CURRENCY:USDINR"")"),3635151839999.98)</f>
        <v>3635151839999.98</v>
      </c>
      <c r="E563" s="3"/>
    </row>
    <row r="564" spans="1:5" x14ac:dyDescent="0.25">
      <c r="A564" s="6">
        <v>563</v>
      </c>
      <c r="B564" s="6">
        <v>48211204761.904701</v>
      </c>
      <c r="C564" s="2" t="s">
        <v>6</v>
      </c>
      <c r="D564" s="4">
        <f ca="1">IFERROR(__xludf.DUMMYFUNCTION("B564*GOOGLEFINANCE(""CURRENCY:USDINR"")"),3644767079999.99)</f>
        <v>3644767079999.9902</v>
      </c>
      <c r="E564" s="3"/>
    </row>
    <row r="565" spans="1:5" x14ac:dyDescent="0.25">
      <c r="A565" s="6">
        <v>564</v>
      </c>
      <c r="B565" s="6">
        <v>48338390476.190399</v>
      </c>
      <c r="C565" s="2" t="s">
        <v>6</v>
      </c>
      <c r="D565" s="4">
        <f ca="1">IFERROR(__xludf.DUMMYFUNCTION("B565*GOOGLEFINANCE(""CURRENCY:USDINR"")"),3654382319999.99)</f>
        <v>3654382319999.9902</v>
      </c>
      <c r="E565" s="3"/>
    </row>
    <row r="566" spans="1:5" x14ac:dyDescent="0.25">
      <c r="A566" s="6">
        <v>565</v>
      </c>
      <c r="B566" s="6">
        <v>48465576190.476097</v>
      </c>
      <c r="C566" s="2" t="s">
        <v>6</v>
      </c>
      <c r="D566" s="4">
        <f ca="1">IFERROR(__xludf.DUMMYFUNCTION("B566*GOOGLEFINANCE(""CURRENCY:USDINR"")"),3663997559999.99)</f>
        <v>3663997559999.9902</v>
      </c>
      <c r="E566" s="3"/>
    </row>
    <row r="567" spans="1:5" x14ac:dyDescent="0.25">
      <c r="A567" s="6">
        <v>566</v>
      </c>
      <c r="B567" s="6">
        <v>48592761904.761803</v>
      </c>
      <c r="C567" s="2" t="s">
        <v>6</v>
      </c>
      <c r="D567" s="4">
        <f ca="1">IFERROR(__xludf.DUMMYFUNCTION("B567*GOOGLEFINANCE(""CURRENCY:USDINR"")"),3673612799999.99)</f>
        <v>3673612799999.9902</v>
      </c>
      <c r="E567" s="3"/>
    </row>
    <row r="568" spans="1:5" x14ac:dyDescent="0.25">
      <c r="A568" s="6">
        <v>567</v>
      </c>
      <c r="B568" s="6">
        <v>48719947619.047501</v>
      </c>
      <c r="C568" s="2" t="s">
        <v>6</v>
      </c>
      <c r="D568" s="4">
        <f ca="1">IFERROR(__xludf.DUMMYFUNCTION("B568*GOOGLEFINANCE(""CURRENCY:USDINR"")"),3683228039999.99)</f>
        <v>3683228039999.9902</v>
      </c>
      <c r="E568" s="3"/>
    </row>
    <row r="569" spans="1:5" x14ac:dyDescent="0.25">
      <c r="A569" s="6">
        <v>568</v>
      </c>
      <c r="B569" s="6">
        <v>48847133333.333199</v>
      </c>
      <c r="C569" s="2" t="s">
        <v>6</v>
      </c>
      <c r="D569" s="4">
        <f ca="1">IFERROR(__xludf.DUMMYFUNCTION("B569*GOOGLEFINANCE(""CURRENCY:USDINR"")"),3692843279999.98)</f>
        <v>3692843279999.98</v>
      </c>
      <c r="E569" s="3"/>
    </row>
    <row r="570" spans="1:5" x14ac:dyDescent="0.25">
      <c r="A570" s="6">
        <v>569</v>
      </c>
      <c r="B570" s="6">
        <v>48974319047.618896</v>
      </c>
      <c r="C570" s="2" t="s">
        <v>6</v>
      </c>
      <c r="D570" s="4">
        <f ca="1">IFERROR(__xludf.DUMMYFUNCTION("B570*GOOGLEFINANCE(""CURRENCY:USDINR"")"),3702458519999.98)</f>
        <v>3702458519999.98</v>
      </c>
      <c r="E570" s="3"/>
    </row>
    <row r="571" spans="1:5" x14ac:dyDescent="0.25">
      <c r="A571" s="6">
        <v>570</v>
      </c>
      <c r="B571" s="6">
        <v>49101504761.904701</v>
      </c>
      <c r="C571" s="2" t="s">
        <v>6</v>
      </c>
      <c r="D571" s="4">
        <f ca="1">IFERROR(__xludf.DUMMYFUNCTION("B571*GOOGLEFINANCE(""CURRENCY:USDINR"")"),3712073759999.99)</f>
        <v>3712073759999.9902</v>
      </c>
      <c r="E571" s="3"/>
    </row>
    <row r="572" spans="1:5" x14ac:dyDescent="0.25">
      <c r="A572" s="6">
        <v>571</v>
      </c>
      <c r="B572" s="6">
        <v>49228690476.190399</v>
      </c>
      <c r="C572" s="2" t="s">
        <v>6</v>
      </c>
      <c r="D572" s="4">
        <f ca="1">IFERROR(__xludf.DUMMYFUNCTION("B572*GOOGLEFINANCE(""CURRENCY:USDINR"")"),3721688999999.99)</f>
        <v>3721688999999.9902</v>
      </c>
      <c r="E572" s="3"/>
    </row>
    <row r="573" spans="1:5" x14ac:dyDescent="0.25">
      <c r="A573" s="6">
        <v>572</v>
      </c>
      <c r="B573" s="6">
        <v>49355876190.476097</v>
      </c>
      <c r="C573" s="2" t="s">
        <v>6</v>
      </c>
      <c r="D573" s="4">
        <f ca="1">IFERROR(__xludf.DUMMYFUNCTION("B573*GOOGLEFINANCE(""CURRENCY:USDINR"")"),3731304239999.99)</f>
        <v>3731304239999.9902</v>
      </c>
      <c r="E573" s="3"/>
    </row>
    <row r="574" spans="1:5" x14ac:dyDescent="0.25">
      <c r="A574" s="6">
        <v>573</v>
      </c>
      <c r="B574" s="6">
        <v>49483061904.761803</v>
      </c>
      <c r="C574" s="2" t="s">
        <v>6</v>
      </c>
      <c r="D574" s="4">
        <f ca="1">IFERROR(__xludf.DUMMYFUNCTION("B574*GOOGLEFINANCE(""CURRENCY:USDINR"")"),3740919479999.99)</f>
        <v>3740919479999.9902</v>
      </c>
      <c r="E574" s="3"/>
    </row>
    <row r="575" spans="1:5" x14ac:dyDescent="0.25">
      <c r="A575" s="6">
        <v>574</v>
      </c>
      <c r="B575" s="6">
        <v>49610247619.047501</v>
      </c>
      <c r="C575" s="2" t="s">
        <v>6</v>
      </c>
      <c r="D575" s="4">
        <f ca="1">IFERROR(__xludf.DUMMYFUNCTION("B575*GOOGLEFINANCE(""CURRENCY:USDINR"")"),3750534719999.99)</f>
        <v>3750534719999.9902</v>
      </c>
      <c r="E575" s="3"/>
    </row>
    <row r="576" spans="1:5" x14ac:dyDescent="0.25">
      <c r="A576" s="6">
        <v>575</v>
      </c>
      <c r="B576" s="6">
        <v>49737433333.333199</v>
      </c>
      <c r="C576" s="2" t="s">
        <v>6</v>
      </c>
      <c r="D576" s="4">
        <f ca="1">IFERROR(__xludf.DUMMYFUNCTION("B576*GOOGLEFINANCE(""CURRENCY:USDINR"")"),3760149959999.98)</f>
        <v>3760149959999.98</v>
      </c>
      <c r="E576" s="3"/>
    </row>
    <row r="577" spans="1:5" x14ac:dyDescent="0.25">
      <c r="A577" s="6">
        <v>576</v>
      </c>
      <c r="B577" s="6">
        <v>49864619047.618896</v>
      </c>
      <c r="C577" s="2" t="s">
        <v>6</v>
      </c>
      <c r="D577" s="4">
        <f ca="1">IFERROR(__xludf.DUMMYFUNCTION("B577*GOOGLEFINANCE(""CURRENCY:USDINR"")"),3769765199999.98)</f>
        <v>3769765199999.98</v>
      </c>
      <c r="E577" s="3"/>
    </row>
    <row r="578" spans="1:5" x14ac:dyDescent="0.25">
      <c r="A578" s="6">
        <v>577</v>
      </c>
      <c r="B578" s="6">
        <v>49991804761.904701</v>
      </c>
      <c r="C578" s="2" t="s">
        <v>6</v>
      </c>
      <c r="D578" s="4">
        <f ca="1">IFERROR(__xludf.DUMMYFUNCTION("B578*GOOGLEFINANCE(""CURRENCY:USDINR"")"),3779380439999.99)</f>
        <v>3779380439999.9902</v>
      </c>
      <c r="E578" s="3"/>
    </row>
    <row r="579" spans="1:5" x14ac:dyDescent="0.25">
      <c r="A579" s="6">
        <v>578</v>
      </c>
      <c r="B579" s="6">
        <v>50118990476.190399</v>
      </c>
      <c r="C579" s="2" t="s">
        <v>6</v>
      </c>
      <c r="D579" s="4">
        <f ca="1">IFERROR(__xludf.DUMMYFUNCTION("B579*GOOGLEFINANCE(""CURRENCY:USDINR"")"),3788995679999.99)</f>
        <v>3788995679999.9902</v>
      </c>
      <c r="E579" s="3"/>
    </row>
    <row r="580" spans="1:5" x14ac:dyDescent="0.25">
      <c r="A580" s="6">
        <v>579</v>
      </c>
      <c r="B580" s="6">
        <v>50246176190.476097</v>
      </c>
      <c r="C580" s="2" t="s">
        <v>6</v>
      </c>
      <c r="D580" s="4">
        <f ca="1">IFERROR(__xludf.DUMMYFUNCTION("B580*GOOGLEFINANCE(""CURRENCY:USDINR"")"),3798610919999.99)</f>
        <v>3798610919999.9902</v>
      </c>
      <c r="E580" s="3"/>
    </row>
    <row r="581" spans="1:5" x14ac:dyDescent="0.25">
      <c r="A581" s="6">
        <v>580</v>
      </c>
      <c r="B581" s="6">
        <v>50373361904.761803</v>
      </c>
      <c r="C581" s="2" t="s">
        <v>6</v>
      </c>
      <c r="D581" s="4">
        <f ca="1">IFERROR(__xludf.DUMMYFUNCTION("B581*GOOGLEFINANCE(""CURRENCY:USDINR"")"),3808226159999.99)</f>
        <v>3808226159999.9902</v>
      </c>
      <c r="E581" s="3"/>
    </row>
    <row r="582" spans="1:5" x14ac:dyDescent="0.25">
      <c r="A582" s="6">
        <v>581</v>
      </c>
      <c r="B582" s="6">
        <v>50500547619.047501</v>
      </c>
      <c r="C582" s="2" t="s">
        <v>6</v>
      </c>
      <c r="D582" s="4">
        <f ca="1">IFERROR(__xludf.DUMMYFUNCTION("B582*GOOGLEFINANCE(""CURRENCY:USDINR"")"),3817841399999.99)</f>
        <v>3817841399999.9902</v>
      </c>
      <c r="E582" s="3"/>
    </row>
    <row r="583" spans="1:5" x14ac:dyDescent="0.25">
      <c r="A583" s="6">
        <v>582</v>
      </c>
      <c r="B583" s="6">
        <v>50627733333.333199</v>
      </c>
      <c r="C583" s="2" t="s">
        <v>6</v>
      </c>
      <c r="D583" s="4">
        <f ca="1">IFERROR(__xludf.DUMMYFUNCTION("B583*GOOGLEFINANCE(""CURRENCY:USDINR"")"),3827456639999.98)</f>
        <v>3827456639999.98</v>
      </c>
      <c r="E583" s="3"/>
    </row>
    <row r="584" spans="1:5" x14ac:dyDescent="0.25">
      <c r="A584" s="6">
        <v>583</v>
      </c>
      <c r="B584" s="6">
        <v>50754919047.618896</v>
      </c>
      <c r="C584" s="2" t="s">
        <v>6</v>
      </c>
      <c r="D584" s="4">
        <f ca="1">IFERROR(__xludf.DUMMYFUNCTION("B584*GOOGLEFINANCE(""CURRENCY:USDINR"")"),3837071879999.98)</f>
        <v>3837071879999.98</v>
      </c>
      <c r="E584" s="3"/>
    </row>
    <row r="585" spans="1:5" x14ac:dyDescent="0.25">
      <c r="A585" s="6">
        <v>584</v>
      </c>
      <c r="B585" s="6">
        <v>50882104761.904701</v>
      </c>
      <c r="C585" s="2" t="s">
        <v>6</v>
      </c>
      <c r="D585" s="4">
        <f ca="1">IFERROR(__xludf.DUMMYFUNCTION("B585*GOOGLEFINANCE(""CURRENCY:USDINR"")"),3846687119999.99)</f>
        <v>3846687119999.9902</v>
      </c>
      <c r="E585" s="3"/>
    </row>
    <row r="586" spans="1:5" x14ac:dyDescent="0.25">
      <c r="A586" s="6">
        <v>585</v>
      </c>
      <c r="B586" s="6">
        <v>51009290476.190399</v>
      </c>
      <c r="C586" s="2" t="s">
        <v>6</v>
      </c>
      <c r="D586" s="4">
        <f ca="1">IFERROR(__xludf.DUMMYFUNCTION("B586*GOOGLEFINANCE(""CURRENCY:USDINR"")"),3856302359999.99)</f>
        <v>3856302359999.9902</v>
      </c>
      <c r="E586" s="3"/>
    </row>
    <row r="587" spans="1:5" x14ac:dyDescent="0.25">
      <c r="A587" s="6">
        <v>586</v>
      </c>
      <c r="B587" s="6">
        <v>51136476190.476097</v>
      </c>
      <c r="C587" s="2" t="s">
        <v>6</v>
      </c>
      <c r="D587" s="4">
        <f ca="1">IFERROR(__xludf.DUMMYFUNCTION("B587*GOOGLEFINANCE(""CURRENCY:USDINR"")"),3865917599999.99)</f>
        <v>3865917599999.9902</v>
      </c>
      <c r="E587" s="3"/>
    </row>
    <row r="588" spans="1:5" x14ac:dyDescent="0.25">
      <c r="A588" s="6">
        <v>587</v>
      </c>
      <c r="B588" s="6">
        <v>51263661904.761803</v>
      </c>
      <c r="C588" s="2" t="s">
        <v>6</v>
      </c>
      <c r="D588" s="4">
        <f ca="1">IFERROR(__xludf.DUMMYFUNCTION("B588*GOOGLEFINANCE(""CURRENCY:USDINR"")"),3875532839999.99)</f>
        <v>3875532839999.9902</v>
      </c>
      <c r="E588" s="3"/>
    </row>
    <row r="589" spans="1:5" x14ac:dyDescent="0.25">
      <c r="A589" s="6">
        <v>588</v>
      </c>
      <c r="B589" s="6">
        <v>51390847619.047501</v>
      </c>
      <c r="C589" s="2" t="s">
        <v>6</v>
      </c>
      <c r="D589" s="4">
        <f ca="1">IFERROR(__xludf.DUMMYFUNCTION("B589*GOOGLEFINANCE(""CURRENCY:USDINR"")"),3885148079999.99)</f>
        <v>3885148079999.9902</v>
      </c>
      <c r="E589" s="3"/>
    </row>
    <row r="590" spans="1:5" x14ac:dyDescent="0.25">
      <c r="A590" s="6">
        <v>589</v>
      </c>
      <c r="B590" s="6">
        <v>51518033333.333199</v>
      </c>
      <c r="C590" s="2" t="s">
        <v>6</v>
      </c>
      <c r="D590" s="4">
        <f ca="1">IFERROR(__xludf.DUMMYFUNCTION("B590*GOOGLEFINANCE(""CURRENCY:USDINR"")"),3894763319999.98)</f>
        <v>3894763319999.98</v>
      </c>
      <c r="E590" s="3"/>
    </row>
    <row r="591" spans="1:5" x14ac:dyDescent="0.25">
      <c r="A591" s="6">
        <v>590</v>
      </c>
      <c r="B591" s="6">
        <v>51645219047.618896</v>
      </c>
      <c r="C591" s="2" t="s">
        <v>6</v>
      </c>
      <c r="D591" s="4">
        <f ca="1">IFERROR(__xludf.DUMMYFUNCTION("B591*GOOGLEFINANCE(""CURRENCY:USDINR"")"),3904378559999.98)</f>
        <v>3904378559999.98</v>
      </c>
      <c r="E591" s="3"/>
    </row>
    <row r="592" spans="1:5" x14ac:dyDescent="0.25">
      <c r="A592" s="6">
        <v>591</v>
      </c>
      <c r="B592" s="6">
        <v>51772404761.904701</v>
      </c>
      <c r="C592" s="2" t="s">
        <v>6</v>
      </c>
      <c r="D592" s="4">
        <f ca="1">IFERROR(__xludf.DUMMYFUNCTION("B592*GOOGLEFINANCE(""CURRENCY:USDINR"")"),3913993799999.99)</f>
        <v>3913993799999.9902</v>
      </c>
      <c r="E592" s="3"/>
    </row>
    <row r="593" spans="1:5" x14ac:dyDescent="0.25">
      <c r="A593" s="6">
        <v>592</v>
      </c>
      <c r="B593" s="6">
        <v>51899590476.190399</v>
      </c>
      <c r="C593" s="2" t="s">
        <v>6</v>
      </c>
      <c r="D593" s="4">
        <f ca="1">IFERROR(__xludf.DUMMYFUNCTION("B593*GOOGLEFINANCE(""CURRENCY:USDINR"")"),3923609039999.99)</f>
        <v>3923609039999.9902</v>
      </c>
      <c r="E593" s="3"/>
    </row>
    <row r="594" spans="1:5" x14ac:dyDescent="0.25">
      <c r="A594" s="6">
        <v>593</v>
      </c>
      <c r="B594" s="6">
        <v>52026776190.476097</v>
      </c>
      <c r="C594" s="2" t="s">
        <v>6</v>
      </c>
      <c r="D594" s="4">
        <f ca="1">IFERROR(__xludf.DUMMYFUNCTION("B594*GOOGLEFINANCE(""CURRENCY:USDINR"")"),3933224279999.99)</f>
        <v>3933224279999.9902</v>
      </c>
      <c r="E594" s="3"/>
    </row>
    <row r="595" spans="1:5" x14ac:dyDescent="0.25">
      <c r="A595" s="6">
        <v>594</v>
      </c>
      <c r="B595" s="6">
        <v>52153961904.761803</v>
      </c>
      <c r="C595" s="2" t="s">
        <v>6</v>
      </c>
      <c r="D595" s="4">
        <f ca="1">IFERROR(__xludf.DUMMYFUNCTION("B595*GOOGLEFINANCE(""CURRENCY:USDINR"")"),3942839519999.99)</f>
        <v>3942839519999.9902</v>
      </c>
      <c r="E595" s="3"/>
    </row>
    <row r="596" spans="1:5" x14ac:dyDescent="0.25">
      <c r="A596" s="6">
        <v>595</v>
      </c>
      <c r="B596" s="6">
        <v>52281147619.047501</v>
      </c>
      <c r="C596" s="2" t="s">
        <v>6</v>
      </c>
      <c r="D596" s="4">
        <f ca="1">IFERROR(__xludf.DUMMYFUNCTION("B596*GOOGLEFINANCE(""CURRENCY:USDINR"")"),3952454759999.99)</f>
        <v>3952454759999.9902</v>
      </c>
      <c r="E596" s="3"/>
    </row>
    <row r="597" spans="1:5" x14ac:dyDescent="0.25">
      <c r="A597" s="6">
        <v>596</v>
      </c>
      <c r="B597" s="6">
        <v>52408333333.333199</v>
      </c>
      <c r="C597" s="2" t="s">
        <v>6</v>
      </c>
      <c r="D597" s="4">
        <f ca="1">IFERROR(__xludf.DUMMYFUNCTION("B597*GOOGLEFINANCE(""CURRENCY:USDINR"")"),3962069999999.98)</f>
        <v>3962069999999.98</v>
      </c>
      <c r="E597" s="3"/>
    </row>
    <row r="598" spans="1:5" x14ac:dyDescent="0.25">
      <c r="A598" s="6">
        <v>597</v>
      </c>
      <c r="B598" s="6">
        <v>52535519047.618896</v>
      </c>
      <c r="C598" s="2" t="s">
        <v>6</v>
      </c>
      <c r="D598" s="4">
        <f ca="1">IFERROR(__xludf.DUMMYFUNCTION("B598*GOOGLEFINANCE(""CURRENCY:USDINR"")"),3971685239999.98)</f>
        <v>3971685239999.98</v>
      </c>
      <c r="E598" s="3"/>
    </row>
    <row r="599" spans="1:5" x14ac:dyDescent="0.25">
      <c r="A599" s="6">
        <v>598</v>
      </c>
      <c r="B599" s="6">
        <v>52662704761.904701</v>
      </c>
      <c r="C599" s="2" t="s">
        <v>6</v>
      </c>
      <c r="D599" s="4">
        <f ca="1">IFERROR(__xludf.DUMMYFUNCTION("B599*GOOGLEFINANCE(""CURRENCY:USDINR"")"),3981300479999.99)</f>
        <v>3981300479999.9902</v>
      </c>
      <c r="E599" s="3"/>
    </row>
    <row r="600" spans="1:5" x14ac:dyDescent="0.25">
      <c r="A600" s="6">
        <v>599</v>
      </c>
      <c r="B600" s="6">
        <v>52789890476.190399</v>
      </c>
      <c r="C600" s="2" t="s">
        <v>6</v>
      </c>
      <c r="D600" s="4">
        <f ca="1">IFERROR(__xludf.DUMMYFUNCTION("B600*GOOGLEFINANCE(""CURRENCY:USDINR"")"),3990915719999.99)</f>
        <v>3990915719999.9902</v>
      </c>
      <c r="E600" s="3"/>
    </row>
    <row r="601" spans="1:5" x14ac:dyDescent="0.25">
      <c r="A601" s="6">
        <v>600</v>
      </c>
      <c r="B601" s="6">
        <v>52917076190.476097</v>
      </c>
      <c r="C601" s="2" t="s">
        <v>6</v>
      </c>
      <c r="D601" s="4">
        <f ca="1">IFERROR(__xludf.DUMMYFUNCTION("B601*GOOGLEFINANCE(""CURRENCY:USDINR"")"),4000530959999.99)</f>
        <v>4000530959999.9902</v>
      </c>
      <c r="E601" s="3"/>
    </row>
    <row r="602" spans="1:5" x14ac:dyDescent="0.25">
      <c r="A602" s="6">
        <v>601</v>
      </c>
      <c r="B602" s="6">
        <v>53044261904.761803</v>
      </c>
      <c r="C602" s="2" t="s">
        <v>6</v>
      </c>
      <c r="D602" s="4">
        <f ca="1">IFERROR(__xludf.DUMMYFUNCTION("B602*GOOGLEFINANCE(""CURRENCY:USDINR"")"),4010146199999.99)</f>
        <v>4010146199999.9902</v>
      </c>
      <c r="E602" s="3"/>
    </row>
    <row r="603" spans="1:5" x14ac:dyDescent="0.25">
      <c r="A603" s="6">
        <v>602</v>
      </c>
      <c r="B603" s="6">
        <v>53171447619.047501</v>
      </c>
      <c r="C603" s="2" t="s">
        <v>6</v>
      </c>
      <c r="D603" s="4">
        <f ca="1">IFERROR(__xludf.DUMMYFUNCTION("B603*GOOGLEFINANCE(""CURRENCY:USDINR"")"),4019761439999.99)</f>
        <v>4019761439999.9902</v>
      </c>
      <c r="E603" s="3"/>
    </row>
    <row r="604" spans="1:5" x14ac:dyDescent="0.25">
      <c r="A604" s="6">
        <v>603</v>
      </c>
      <c r="B604" s="6">
        <v>53298633333.333199</v>
      </c>
      <c r="C604" s="2" t="s">
        <v>6</v>
      </c>
      <c r="D604" s="4">
        <f ca="1">IFERROR(__xludf.DUMMYFUNCTION("B604*GOOGLEFINANCE(""CURRENCY:USDINR"")"),4029376679999.98)</f>
        <v>4029376679999.98</v>
      </c>
      <c r="E604" s="3"/>
    </row>
    <row r="605" spans="1:5" x14ac:dyDescent="0.25">
      <c r="A605" s="6">
        <v>604</v>
      </c>
      <c r="B605" s="6">
        <v>53425819047.618896</v>
      </c>
      <c r="C605" s="2" t="s">
        <v>6</v>
      </c>
      <c r="D605" s="4">
        <f ca="1">IFERROR(__xludf.DUMMYFUNCTION("B605*GOOGLEFINANCE(""CURRENCY:USDINR"")"),4038991919999.98)</f>
        <v>4038991919999.98</v>
      </c>
      <c r="E605" s="3"/>
    </row>
    <row r="606" spans="1:5" x14ac:dyDescent="0.25">
      <c r="A606" s="6">
        <v>605</v>
      </c>
      <c r="B606" s="6">
        <v>53553004761.904701</v>
      </c>
      <c r="C606" s="2" t="s">
        <v>6</v>
      </c>
      <c r="D606" s="4">
        <f ca="1">IFERROR(__xludf.DUMMYFUNCTION("B606*GOOGLEFINANCE(""CURRENCY:USDINR"")"),4048607159999.99)</f>
        <v>4048607159999.9902</v>
      </c>
      <c r="E606" s="3"/>
    </row>
    <row r="607" spans="1:5" x14ac:dyDescent="0.25">
      <c r="A607" s="6">
        <v>606</v>
      </c>
      <c r="B607" s="6">
        <v>53680190476.190399</v>
      </c>
      <c r="C607" s="2" t="s">
        <v>6</v>
      </c>
      <c r="D607" s="4">
        <f ca="1">IFERROR(__xludf.DUMMYFUNCTION("B607*GOOGLEFINANCE(""CURRENCY:USDINR"")"),4058222399999.99)</f>
        <v>4058222399999.9902</v>
      </c>
      <c r="E607" s="3"/>
    </row>
    <row r="608" spans="1:5" x14ac:dyDescent="0.25">
      <c r="A608" s="6">
        <v>607</v>
      </c>
      <c r="B608" s="6">
        <v>53807376190.476097</v>
      </c>
      <c r="C608" s="2" t="s">
        <v>6</v>
      </c>
      <c r="D608" s="4">
        <f ca="1">IFERROR(__xludf.DUMMYFUNCTION("B608*GOOGLEFINANCE(""CURRENCY:USDINR"")"),4067837639999.99)</f>
        <v>4067837639999.9902</v>
      </c>
      <c r="E608" s="3"/>
    </row>
    <row r="609" spans="1:5" x14ac:dyDescent="0.25">
      <c r="A609" s="6">
        <v>608</v>
      </c>
      <c r="B609" s="6">
        <v>53934561904.761803</v>
      </c>
      <c r="C609" s="2" t="s">
        <v>6</v>
      </c>
      <c r="D609" s="4">
        <f ca="1">IFERROR(__xludf.DUMMYFUNCTION("B609*GOOGLEFINANCE(""CURRENCY:USDINR"")"),4077452879999.99)</f>
        <v>4077452879999.9902</v>
      </c>
      <c r="E609" s="3"/>
    </row>
    <row r="610" spans="1:5" x14ac:dyDescent="0.25">
      <c r="A610" s="6">
        <v>609</v>
      </c>
      <c r="B610" s="6">
        <v>54061747619.047501</v>
      </c>
      <c r="C610" s="2" t="s">
        <v>6</v>
      </c>
      <c r="D610" s="4">
        <f ca="1">IFERROR(__xludf.DUMMYFUNCTION("B610*GOOGLEFINANCE(""CURRENCY:USDINR"")"),4087068119999.99)</f>
        <v>4087068119999.9902</v>
      </c>
      <c r="E610" s="3"/>
    </row>
    <row r="611" spans="1:5" x14ac:dyDescent="0.25">
      <c r="A611" s="6">
        <v>610</v>
      </c>
      <c r="B611" s="6">
        <v>54188933333.333199</v>
      </c>
      <c r="C611" s="2" t="s">
        <v>6</v>
      </c>
      <c r="D611" s="4">
        <f ca="1">IFERROR(__xludf.DUMMYFUNCTION("B611*GOOGLEFINANCE(""CURRENCY:USDINR"")"),4096683359999.98)</f>
        <v>4096683359999.98</v>
      </c>
      <c r="E611" s="3"/>
    </row>
    <row r="612" spans="1:5" x14ac:dyDescent="0.25">
      <c r="A612" s="6">
        <v>611</v>
      </c>
      <c r="B612" s="6">
        <v>54316119047.618896</v>
      </c>
      <c r="C612" s="2" t="s">
        <v>6</v>
      </c>
      <c r="D612" s="4">
        <f ca="1">IFERROR(__xludf.DUMMYFUNCTION("B612*GOOGLEFINANCE(""CURRENCY:USDINR"")"),4106298599999.98)</f>
        <v>4106298599999.98</v>
      </c>
      <c r="E612" s="3"/>
    </row>
    <row r="613" spans="1:5" x14ac:dyDescent="0.25">
      <c r="A613" s="6">
        <v>612</v>
      </c>
      <c r="B613" s="6">
        <v>54443304761.904602</v>
      </c>
      <c r="C613" s="2" t="s">
        <v>6</v>
      </c>
      <c r="D613" s="4">
        <f ca="1">IFERROR(__xludf.DUMMYFUNCTION("B613*GOOGLEFINANCE(""CURRENCY:USDINR"")"),4115913839999.98)</f>
        <v>4115913839999.98</v>
      </c>
      <c r="E613" s="3"/>
    </row>
    <row r="614" spans="1:5" x14ac:dyDescent="0.25">
      <c r="A614" s="6">
        <v>613</v>
      </c>
      <c r="B614" s="6">
        <v>54570490476.190399</v>
      </c>
      <c r="C614" s="2" t="s">
        <v>6</v>
      </c>
      <c r="D614" s="4">
        <f ca="1">IFERROR(__xludf.DUMMYFUNCTION("B614*GOOGLEFINANCE(""CURRENCY:USDINR"")"),4125529079999.99)</f>
        <v>4125529079999.9902</v>
      </c>
      <c r="E614" s="3"/>
    </row>
    <row r="615" spans="1:5" x14ac:dyDescent="0.25">
      <c r="A615" s="6">
        <v>614</v>
      </c>
      <c r="B615" s="6">
        <v>54697676190.476097</v>
      </c>
      <c r="C615" s="2" t="s">
        <v>6</v>
      </c>
      <c r="D615" s="4">
        <f ca="1">IFERROR(__xludf.DUMMYFUNCTION("B615*GOOGLEFINANCE(""CURRENCY:USDINR"")"),4135144319999.99)</f>
        <v>4135144319999.9902</v>
      </c>
      <c r="E615" s="3"/>
    </row>
    <row r="616" spans="1:5" x14ac:dyDescent="0.25">
      <c r="A616" s="6">
        <v>615</v>
      </c>
      <c r="B616" s="6">
        <v>54824861904.761803</v>
      </c>
      <c r="C616" s="2" t="s">
        <v>6</v>
      </c>
      <c r="D616" s="4">
        <f ca="1">IFERROR(__xludf.DUMMYFUNCTION("B616*GOOGLEFINANCE(""CURRENCY:USDINR"")"),4144759559999.99)</f>
        <v>4144759559999.9902</v>
      </c>
      <c r="E616" s="3"/>
    </row>
    <row r="617" spans="1:5" x14ac:dyDescent="0.25">
      <c r="A617" s="6">
        <v>616</v>
      </c>
      <c r="B617" s="6">
        <v>54952047619.047501</v>
      </c>
      <c r="C617" s="2" t="s">
        <v>6</v>
      </c>
      <c r="D617" s="4">
        <f ca="1">IFERROR(__xludf.DUMMYFUNCTION("B617*GOOGLEFINANCE(""CURRENCY:USDINR"")"),4154374799999.99)</f>
        <v>4154374799999.9902</v>
      </c>
      <c r="E617" s="3"/>
    </row>
    <row r="618" spans="1:5" x14ac:dyDescent="0.25">
      <c r="A618" s="6">
        <v>617</v>
      </c>
      <c r="B618" s="6">
        <v>55079233333.333199</v>
      </c>
      <c r="C618" s="2" t="s">
        <v>6</v>
      </c>
      <c r="D618" s="4">
        <f ca="1">IFERROR(__xludf.DUMMYFUNCTION("B618*GOOGLEFINANCE(""CURRENCY:USDINR"")"),4163990039999.98)</f>
        <v>4163990039999.98</v>
      </c>
      <c r="E618" s="3"/>
    </row>
    <row r="619" spans="1:5" x14ac:dyDescent="0.25">
      <c r="A619" s="6">
        <v>618</v>
      </c>
      <c r="B619" s="6">
        <v>55206419047.618896</v>
      </c>
      <c r="C619" s="2" t="s">
        <v>6</v>
      </c>
      <c r="D619" s="4">
        <f ca="1">IFERROR(__xludf.DUMMYFUNCTION("B619*GOOGLEFINANCE(""CURRENCY:USDINR"")"),4173605279999.98)</f>
        <v>4173605279999.98</v>
      </c>
      <c r="E619" s="3"/>
    </row>
    <row r="620" spans="1:5" x14ac:dyDescent="0.25">
      <c r="A620" s="6">
        <v>619</v>
      </c>
      <c r="B620" s="6">
        <v>55333604761.904602</v>
      </c>
      <c r="C620" s="2" t="s">
        <v>6</v>
      </c>
      <c r="D620" s="4">
        <f ca="1">IFERROR(__xludf.DUMMYFUNCTION("B620*GOOGLEFINANCE(""CURRENCY:USDINR"")"),4183220519999.98)</f>
        <v>4183220519999.98</v>
      </c>
      <c r="E620" s="3"/>
    </row>
    <row r="621" spans="1:5" x14ac:dyDescent="0.25">
      <c r="A621" s="6">
        <v>620</v>
      </c>
      <c r="B621" s="6">
        <v>55460790476.190399</v>
      </c>
      <c r="C621" s="2" t="s">
        <v>6</v>
      </c>
      <c r="D621" s="4">
        <f ca="1">IFERROR(__xludf.DUMMYFUNCTION("B621*GOOGLEFINANCE(""CURRENCY:USDINR"")"),4192835759999.99)</f>
        <v>4192835759999.9902</v>
      </c>
      <c r="E621" s="3"/>
    </row>
    <row r="622" spans="1:5" x14ac:dyDescent="0.25">
      <c r="A622" s="6">
        <v>621</v>
      </c>
      <c r="B622" s="6">
        <v>55587976190.476097</v>
      </c>
      <c r="C622" s="2" t="s">
        <v>6</v>
      </c>
      <c r="D622" s="4">
        <f ca="1">IFERROR(__xludf.DUMMYFUNCTION("B622*GOOGLEFINANCE(""CURRENCY:USDINR"")"),4202450999999.99)</f>
        <v>4202450999999.9902</v>
      </c>
      <c r="E622" s="3"/>
    </row>
    <row r="623" spans="1:5" x14ac:dyDescent="0.25">
      <c r="A623" s="6">
        <v>622</v>
      </c>
      <c r="B623" s="6">
        <v>55715161904.761803</v>
      </c>
      <c r="C623" s="2" t="s">
        <v>6</v>
      </c>
      <c r="D623" s="4">
        <f ca="1">IFERROR(__xludf.DUMMYFUNCTION("B623*GOOGLEFINANCE(""CURRENCY:USDINR"")"),4212066239999.99)</f>
        <v>4212066239999.9902</v>
      </c>
      <c r="E623" s="3"/>
    </row>
    <row r="624" spans="1:5" x14ac:dyDescent="0.25">
      <c r="A624" s="6">
        <v>623</v>
      </c>
      <c r="B624" s="6">
        <v>55842347619.047501</v>
      </c>
      <c r="C624" s="2" t="s">
        <v>6</v>
      </c>
      <c r="D624" s="4">
        <f ca="1">IFERROR(__xludf.DUMMYFUNCTION("B624*GOOGLEFINANCE(""CURRENCY:USDINR"")"),4221681479999.99)</f>
        <v>4221681479999.9902</v>
      </c>
      <c r="E624" s="3"/>
    </row>
    <row r="625" spans="1:5" x14ac:dyDescent="0.25">
      <c r="A625" s="6">
        <v>624</v>
      </c>
      <c r="B625" s="6">
        <v>55969533333.333199</v>
      </c>
      <c r="C625" s="2" t="s">
        <v>6</v>
      </c>
      <c r="D625" s="4">
        <f ca="1">IFERROR(__xludf.DUMMYFUNCTION("B625*GOOGLEFINANCE(""CURRENCY:USDINR"")"),4231296719999.98)</f>
        <v>4231296719999.98</v>
      </c>
      <c r="E625" s="3"/>
    </row>
    <row r="626" spans="1:5" x14ac:dyDescent="0.25">
      <c r="A626" s="6">
        <v>625</v>
      </c>
      <c r="B626" s="6">
        <v>56096719047.618896</v>
      </c>
      <c r="C626" s="2" t="s">
        <v>6</v>
      </c>
      <c r="D626" s="4">
        <f ca="1">IFERROR(__xludf.DUMMYFUNCTION("B626*GOOGLEFINANCE(""CURRENCY:USDINR"")"),4240911959999.98)</f>
        <v>4240911959999.98</v>
      </c>
      <c r="E626" s="3"/>
    </row>
    <row r="627" spans="1:5" x14ac:dyDescent="0.25">
      <c r="A627" s="6">
        <v>626</v>
      </c>
      <c r="B627" s="6">
        <v>56223904761.904602</v>
      </c>
      <c r="C627" s="2" t="s">
        <v>6</v>
      </c>
      <c r="D627" s="4">
        <f ca="1">IFERROR(__xludf.DUMMYFUNCTION("B627*GOOGLEFINANCE(""CURRENCY:USDINR"")"),4250527199999.98)</f>
        <v>4250527199999.98</v>
      </c>
      <c r="E627" s="3"/>
    </row>
    <row r="628" spans="1:5" x14ac:dyDescent="0.25">
      <c r="A628" s="6">
        <v>627</v>
      </c>
      <c r="B628" s="6">
        <v>56351090476.190399</v>
      </c>
      <c r="C628" s="2" t="s">
        <v>6</v>
      </c>
      <c r="D628" s="4">
        <f ca="1">IFERROR(__xludf.DUMMYFUNCTION("B628*GOOGLEFINANCE(""CURRENCY:USDINR"")"),4260142439999.99)</f>
        <v>4260142439999.9902</v>
      </c>
      <c r="E628" s="3"/>
    </row>
    <row r="629" spans="1:5" x14ac:dyDescent="0.25">
      <c r="A629" s="6">
        <v>628</v>
      </c>
      <c r="B629" s="6">
        <v>56478276190.476097</v>
      </c>
      <c r="C629" s="2" t="s">
        <v>6</v>
      </c>
      <c r="D629" s="4">
        <f ca="1">IFERROR(__xludf.DUMMYFUNCTION("B629*GOOGLEFINANCE(""CURRENCY:USDINR"")"),4269757679999.99)</f>
        <v>4269757679999.9902</v>
      </c>
      <c r="E629" s="3"/>
    </row>
    <row r="630" spans="1:5" x14ac:dyDescent="0.25">
      <c r="A630" s="6">
        <v>629</v>
      </c>
      <c r="B630" s="6">
        <v>56605461904.761803</v>
      </c>
      <c r="C630" s="2" t="s">
        <v>6</v>
      </c>
      <c r="D630" s="4">
        <f ca="1">IFERROR(__xludf.DUMMYFUNCTION("B630*GOOGLEFINANCE(""CURRENCY:USDINR"")"),4279372919999.99)</f>
        <v>4279372919999.9902</v>
      </c>
      <c r="E630" s="3"/>
    </row>
    <row r="631" spans="1:5" x14ac:dyDescent="0.25">
      <c r="A631" s="6">
        <v>630</v>
      </c>
      <c r="B631" s="6">
        <v>56732647619.047501</v>
      </c>
      <c r="C631" s="2" t="s">
        <v>6</v>
      </c>
      <c r="D631" s="4">
        <f ca="1">IFERROR(__xludf.DUMMYFUNCTION("B631*GOOGLEFINANCE(""CURRENCY:USDINR"")"),4288988159999.99)</f>
        <v>4288988159999.9902</v>
      </c>
      <c r="E631" s="3"/>
    </row>
    <row r="632" spans="1:5" x14ac:dyDescent="0.25">
      <c r="A632" s="6">
        <v>631</v>
      </c>
      <c r="B632" s="6">
        <v>56859833333.333199</v>
      </c>
      <c r="C632" s="2" t="s">
        <v>6</v>
      </c>
      <c r="D632" s="4">
        <f ca="1">IFERROR(__xludf.DUMMYFUNCTION("B632*GOOGLEFINANCE(""CURRENCY:USDINR"")"),4298603399999.98)</f>
        <v>4298603399999.98</v>
      </c>
      <c r="E632" s="3"/>
    </row>
    <row r="633" spans="1:5" x14ac:dyDescent="0.25">
      <c r="A633" s="6">
        <v>632</v>
      </c>
      <c r="B633" s="6">
        <v>56987019047.618896</v>
      </c>
      <c r="C633" s="2" t="s">
        <v>6</v>
      </c>
      <c r="D633" s="4">
        <f ca="1">IFERROR(__xludf.DUMMYFUNCTION("B633*GOOGLEFINANCE(""CURRENCY:USDINR"")"),4308218639999.98)</f>
        <v>4308218639999.98</v>
      </c>
      <c r="E633" s="3"/>
    </row>
    <row r="634" spans="1:5" x14ac:dyDescent="0.25">
      <c r="A634" s="6">
        <v>633</v>
      </c>
      <c r="B634" s="6">
        <v>57114204761.904602</v>
      </c>
      <c r="C634" s="2" t="s">
        <v>6</v>
      </c>
      <c r="D634" s="4">
        <f ca="1">IFERROR(__xludf.DUMMYFUNCTION("B634*GOOGLEFINANCE(""CURRENCY:USDINR"")"),4317833879999.98)</f>
        <v>4317833879999.98</v>
      </c>
      <c r="E634" s="3"/>
    </row>
    <row r="635" spans="1:5" x14ac:dyDescent="0.25">
      <c r="A635" s="6">
        <v>634</v>
      </c>
      <c r="B635" s="6">
        <v>57241390476.190399</v>
      </c>
      <c r="C635" s="2" t="s">
        <v>6</v>
      </c>
      <c r="D635" s="4">
        <f ca="1">IFERROR(__xludf.DUMMYFUNCTION("B635*GOOGLEFINANCE(""CURRENCY:USDINR"")"),4327449119999.99)</f>
        <v>4327449119999.9902</v>
      </c>
      <c r="E635" s="3"/>
    </row>
    <row r="636" spans="1:5" x14ac:dyDescent="0.25">
      <c r="A636" s="6">
        <v>635</v>
      </c>
      <c r="B636" s="6">
        <v>57368576190.476097</v>
      </c>
      <c r="C636" s="2" t="s">
        <v>6</v>
      </c>
      <c r="D636" s="4">
        <f ca="1">IFERROR(__xludf.DUMMYFUNCTION("B636*GOOGLEFINANCE(""CURRENCY:USDINR"")"),4337064359999.99)</f>
        <v>4337064359999.9902</v>
      </c>
      <c r="E636" s="3"/>
    </row>
    <row r="637" spans="1:5" x14ac:dyDescent="0.25">
      <c r="A637" s="6">
        <v>636</v>
      </c>
      <c r="B637" s="6">
        <v>57495761904.761803</v>
      </c>
      <c r="C637" s="2" t="s">
        <v>6</v>
      </c>
      <c r="D637" s="4">
        <f ca="1">IFERROR(__xludf.DUMMYFUNCTION("B637*GOOGLEFINANCE(""CURRENCY:USDINR"")"),4346679599999.99)</f>
        <v>4346679599999.9902</v>
      </c>
      <c r="E637" s="3"/>
    </row>
    <row r="638" spans="1:5" x14ac:dyDescent="0.25">
      <c r="A638" s="6">
        <v>637</v>
      </c>
      <c r="B638" s="6">
        <v>57622947619.047501</v>
      </c>
      <c r="C638" s="2" t="s">
        <v>6</v>
      </c>
      <c r="D638" s="4">
        <f ca="1">IFERROR(__xludf.DUMMYFUNCTION("B638*GOOGLEFINANCE(""CURRENCY:USDINR"")"),4356294839999.99)</f>
        <v>4356294839999.9902</v>
      </c>
      <c r="E638" s="3"/>
    </row>
    <row r="639" spans="1:5" x14ac:dyDescent="0.25">
      <c r="A639" s="6">
        <v>638</v>
      </c>
      <c r="B639" s="6">
        <v>57750133333.333199</v>
      </c>
      <c r="C639" s="2" t="s">
        <v>6</v>
      </c>
      <c r="D639" s="4">
        <f ca="1">IFERROR(__xludf.DUMMYFUNCTION("B639*GOOGLEFINANCE(""CURRENCY:USDINR"")"),4365910079999.98)</f>
        <v>4365910079999.98</v>
      </c>
      <c r="E639" s="3"/>
    </row>
    <row r="640" spans="1:5" x14ac:dyDescent="0.25">
      <c r="A640" s="6">
        <v>639</v>
      </c>
      <c r="B640" s="6">
        <v>57877319047.618896</v>
      </c>
      <c r="C640" s="2" t="s">
        <v>6</v>
      </c>
      <c r="D640" s="4">
        <f ca="1">IFERROR(__xludf.DUMMYFUNCTION("B640*GOOGLEFINANCE(""CURRENCY:USDINR"")"),4375525319999.98)</f>
        <v>4375525319999.98</v>
      </c>
      <c r="E640" s="3"/>
    </row>
    <row r="641" spans="1:5" x14ac:dyDescent="0.25">
      <c r="A641" s="6">
        <v>640</v>
      </c>
      <c r="B641" s="6">
        <v>58004504761.904602</v>
      </c>
      <c r="C641" s="2" t="s">
        <v>6</v>
      </c>
      <c r="D641" s="4">
        <f ca="1">IFERROR(__xludf.DUMMYFUNCTION("B641*GOOGLEFINANCE(""CURRENCY:USDINR"")"),4385140559999.98)</f>
        <v>4385140559999.98</v>
      </c>
      <c r="E641" s="3"/>
    </row>
    <row r="642" spans="1:5" x14ac:dyDescent="0.25">
      <c r="A642" s="6">
        <v>641</v>
      </c>
      <c r="B642" s="6">
        <v>58131690476.190399</v>
      </c>
      <c r="C642" s="2" t="s">
        <v>6</v>
      </c>
      <c r="D642" s="4">
        <f ca="1">IFERROR(__xludf.DUMMYFUNCTION("B642*GOOGLEFINANCE(""CURRENCY:USDINR"")"),4394755799999.99)</f>
        <v>4394755799999.9902</v>
      </c>
      <c r="E642" s="3"/>
    </row>
    <row r="643" spans="1:5" x14ac:dyDescent="0.25">
      <c r="A643" s="6">
        <v>642</v>
      </c>
      <c r="B643" s="6">
        <v>58258876190.476097</v>
      </c>
      <c r="C643" s="2" t="s">
        <v>6</v>
      </c>
      <c r="D643" s="4">
        <f ca="1">IFERROR(__xludf.DUMMYFUNCTION("B643*GOOGLEFINANCE(""CURRENCY:USDINR"")"),4404371039999.99)</f>
        <v>4404371039999.9902</v>
      </c>
      <c r="E643" s="3"/>
    </row>
    <row r="644" spans="1:5" x14ac:dyDescent="0.25">
      <c r="A644" s="6">
        <v>643</v>
      </c>
      <c r="B644" s="6">
        <v>58386061904.761803</v>
      </c>
      <c r="C644" s="2" t="s">
        <v>6</v>
      </c>
      <c r="D644" s="4">
        <f ca="1">IFERROR(__xludf.DUMMYFUNCTION("B644*GOOGLEFINANCE(""CURRENCY:USDINR"")"),4413986279999.99)</f>
        <v>4413986279999.9902</v>
      </c>
      <c r="E644" s="3"/>
    </row>
    <row r="645" spans="1:5" x14ac:dyDescent="0.25">
      <c r="A645" s="6">
        <v>644</v>
      </c>
      <c r="B645" s="6">
        <v>58513247619.047501</v>
      </c>
      <c r="C645" s="2" t="s">
        <v>6</v>
      </c>
      <c r="D645" s="4">
        <f ca="1">IFERROR(__xludf.DUMMYFUNCTION("B645*GOOGLEFINANCE(""CURRENCY:USDINR"")"),4423601519999.99)</f>
        <v>4423601519999.9902</v>
      </c>
      <c r="E645" s="3"/>
    </row>
    <row r="646" spans="1:5" x14ac:dyDescent="0.25">
      <c r="A646" s="6">
        <v>645</v>
      </c>
      <c r="B646" s="6">
        <v>58640433333.333199</v>
      </c>
      <c r="C646" s="2" t="s">
        <v>6</v>
      </c>
      <c r="D646" s="4">
        <f ca="1">IFERROR(__xludf.DUMMYFUNCTION("B646*GOOGLEFINANCE(""CURRENCY:USDINR"")"),4433216759999.98)</f>
        <v>4433216759999.9805</v>
      </c>
      <c r="E646" s="3"/>
    </row>
    <row r="647" spans="1:5" x14ac:dyDescent="0.25">
      <c r="A647" s="6">
        <v>646</v>
      </c>
      <c r="B647" s="6">
        <v>58767619047.618896</v>
      </c>
      <c r="C647" s="2" t="s">
        <v>6</v>
      </c>
      <c r="D647" s="4">
        <f ca="1">IFERROR(__xludf.DUMMYFUNCTION("B647*GOOGLEFINANCE(""CURRENCY:USDINR"")"),4442831999999.98)</f>
        <v>4442831999999.9805</v>
      </c>
      <c r="E647" s="3"/>
    </row>
    <row r="648" spans="1:5" x14ac:dyDescent="0.25">
      <c r="A648" s="6">
        <v>647</v>
      </c>
      <c r="B648" s="6">
        <v>58894804761.904602</v>
      </c>
      <c r="C648" s="2" t="s">
        <v>6</v>
      </c>
      <c r="D648" s="4">
        <f ca="1">IFERROR(__xludf.DUMMYFUNCTION("B648*GOOGLEFINANCE(""CURRENCY:USDINR"")"),4452447239999.98)</f>
        <v>4452447239999.9805</v>
      </c>
      <c r="E648" s="3"/>
    </row>
    <row r="649" spans="1:5" x14ac:dyDescent="0.25">
      <c r="A649" s="6">
        <v>648</v>
      </c>
      <c r="B649" s="6">
        <v>59021990476.190399</v>
      </c>
      <c r="C649" s="2" t="s">
        <v>6</v>
      </c>
      <c r="D649" s="4">
        <f ca="1">IFERROR(__xludf.DUMMYFUNCTION("B649*GOOGLEFINANCE(""CURRENCY:USDINR"")"),4462062479999.99)</f>
        <v>4462062479999.9902</v>
      </c>
      <c r="E649" s="3"/>
    </row>
    <row r="650" spans="1:5" x14ac:dyDescent="0.25">
      <c r="A650" s="6">
        <v>649</v>
      </c>
      <c r="B650" s="6">
        <v>59149176190.476097</v>
      </c>
      <c r="C650" s="2" t="s">
        <v>6</v>
      </c>
      <c r="D650" s="4">
        <f ca="1">IFERROR(__xludf.DUMMYFUNCTION("B650*GOOGLEFINANCE(""CURRENCY:USDINR"")"),4471677719999.99)</f>
        <v>4471677719999.9902</v>
      </c>
      <c r="E650" s="3"/>
    </row>
    <row r="651" spans="1:5" x14ac:dyDescent="0.25">
      <c r="A651" s="6">
        <v>650</v>
      </c>
      <c r="B651" s="6">
        <v>59276361904.761803</v>
      </c>
      <c r="C651" s="2" t="s">
        <v>6</v>
      </c>
      <c r="D651" s="4">
        <f ca="1">IFERROR(__xludf.DUMMYFUNCTION("B651*GOOGLEFINANCE(""CURRENCY:USDINR"")"),4481292959999.99)</f>
        <v>4481292959999.9902</v>
      </c>
      <c r="E651" s="3"/>
    </row>
    <row r="652" spans="1:5" x14ac:dyDescent="0.25">
      <c r="A652" s="6">
        <v>651</v>
      </c>
      <c r="B652" s="6">
        <v>59403547619.047501</v>
      </c>
      <c r="C652" s="2" t="s">
        <v>6</v>
      </c>
      <c r="D652" s="4">
        <f ca="1">IFERROR(__xludf.DUMMYFUNCTION("B652*GOOGLEFINANCE(""CURRENCY:USDINR"")"),4490908199999.99)</f>
        <v>4490908199999.9902</v>
      </c>
      <c r="E652" s="3"/>
    </row>
    <row r="653" spans="1:5" x14ac:dyDescent="0.25">
      <c r="A653" s="6">
        <v>652</v>
      </c>
      <c r="B653" s="6">
        <v>59530733333.333199</v>
      </c>
      <c r="C653" s="2" t="s">
        <v>6</v>
      </c>
      <c r="D653" s="4">
        <f ca="1">IFERROR(__xludf.DUMMYFUNCTION("B653*GOOGLEFINANCE(""CURRENCY:USDINR"")"),4500523439999.98)</f>
        <v>4500523439999.9805</v>
      </c>
      <c r="E653" s="3"/>
    </row>
    <row r="654" spans="1:5" x14ac:dyDescent="0.25">
      <c r="A654" s="6">
        <v>653</v>
      </c>
      <c r="B654" s="6">
        <v>59657919047.618896</v>
      </c>
      <c r="C654" s="2" t="s">
        <v>6</v>
      </c>
      <c r="D654" s="4">
        <f ca="1">IFERROR(__xludf.DUMMYFUNCTION("B654*GOOGLEFINANCE(""CURRENCY:USDINR"")"),4510138679999.98)</f>
        <v>4510138679999.9805</v>
      </c>
      <c r="E654" s="3"/>
    </row>
    <row r="655" spans="1:5" x14ac:dyDescent="0.25">
      <c r="A655" s="6">
        <v>654</v>
      </c>
      <c r="B655" s="6">
        <v>59785104761.904602</v>
      </c>
      <c r="C655" s="2" t="s">
        <v>6</v>
      </c>
      <c r="D655" s="4">
        <f ca="1">IFERROR(__xludf.DUMMYFUNCTION("B655*GOOGLEFINANCE(""CURRENCY:USDINR"")"),4519753919999.98)</f>
        <v>4519753919999.9805</v>
      </c>
      <c r="E655" s="3"/>
    </row>
    <row r="656" spans="1:5" x14ac:dyDescent="0.25">
      <c r="A656" s="6">
        <v>655</v>
      </c>
      <c r="B656" s="6">
        <v>59912290476.190399</v>
      </c>
      <c r="C656" s="2" t="s">
        <v>6</v>
      </c>
      <c r="D656" s="4">
        <f ca="1">IFERROR(__xludf.DUMMYFUNCTION("B656*GOOGLEFINANCE(""CURRENCY:USDINR"")"),4529369159999.99)</f>
        <v>4529369159999.9902</v>
      </c>
      <c r="E656" s="3"/>
    </row>
    <row r="657" spans="1:5" x14ac:dyDescent="0.25">
      <c r="A657" s="6">
        <v>656</v>
      </c>
      <c r="B657" s="6">
        <v>60039476190.476097</v>
      </c>
      <c r="C657" s="2" t="s">
        <v>6</v>
      </c>
      <c r="D657" s="4">
        <f ca="1">IFERROR(__xludf.DUMMYFUNCTION("B657*GOOGLEFINANCE(""CURRENCY:USDINR"")"),4538984399999.99)</f>
        <v>4538984399999.9902</v>
      </c>
      <c r="E657" s="3"/>
    </row>
    <row r="658" spans="1:5" x14ac:dyDescent="0.25">
      <c r="A658" s="6">
        <v>657</v>
      </c>
      <c r="B658" s="6">
        <v>60166661904.761803</v>
      </c>
      <c r="C658" s="2" t="s">
        <v>6</v>
      </c>
      <c r="D658" s="4">
        <f ca="1">IFERROR(__xludf.DUMMYFUNCTION("B658*GOOGLEFINANCE(""CURRENCY:USDINR"")"),4548599639999.99)</f>
        <v>4548599639999.9902</v>
      </c>
      <c r="E658" s="3"/>
    </row>
    <row r="659" spans="1:5" x14ac:dyDescent="0.25">
      <c r="A659" s="6">
        <v>658</v>
      </c>
      <c r="B659" s="6">
        <v>60293847619.047501</v>
      </c>
      <c r="C659" s="2" t="s">
        <v>6</v>
      </c>
      <c r="D659" s="4">
        <f ca="1">IFERROR(__xludf.DUMMYFUNCTION("B659*GOOGLEFINANCE(""CURRENCY:USDINR"")"),4558214879999.99)</f>
        <v>4558214879999.9902</v>
      </c>
      <c r="E659" s="3"/>
    </row>
    <row r="660" spans="1:5" x14ac:dyDescent="0.25">
      <c r="A660" s="6">
        <v>659</v>
      </c>
      <c r="B660" s="6">
        <v>60421033333.333199</v>
      </c>
      <c r="C660" s="2" t="s">
        <v>6</v>
      </c>
      <c r="D660" s="4">
        <f ca="1">IFERROR(__xludf.DUMMYFUNCTION("B660*GOOGLEFINANCE(""CURRENCY:USDINR"")"),4567830119999.98)</f>
        <v>4567830119999.9805</v>
      </c>
      <c r="E660" s="3"/>
    </row>
    <row r="661" spans="1:5" x14ac:dyDescent="0.25">
      <c r="A661" s="6">
        <v>660</v>
      </c>
      <c r="B661" s="6">
        <v>60548219047.618896</v>
      </c>
      <c r="C661" s="2" t="s">
        <v>6</v>
      </c>
      <c r="D661" s="4">
        <f ca="1">IFERROR(__xludf.DUMMYFUNCTION("B661*GOOGLEFINANCE(""CURRENCY:USDINR"")"),4577445359999.98)</f>
        <v>4577445359999.9805</v>
      </c>
      <c r="E661" s="3"/>
    </row>
    <row r="662" spans="1:5" x14ac:dyDescent="0.25">
      <c r="A662" s="6">
        <v>661</v>
      </c>
      <c r="B662" s="6">
        <v>60675404761.904602</v>
      </c>
      <c r="C662" s="2" t="s">
        <v>6</v>
      </c>
      <c r="D662" s="4">
        <f ca="1">IFERROR(__xludf.DUMMYFUNCTION("B662*GOOGLEFINANCE(""CURRENCY:USDINR"")"),4587060599999.98)</f>
        <v>4587060599999.9805</v>
      </c>
      <c r="E662" s="3"/>
    </row>
    <row r="663" spans="1:5" x14ac:dyDescent="0.25">
      <c r="A663" s="6">
        <v>662</v>
      </c>
      <c r="B663" s="6">
        <v>60802590476.190399</v>
      </c>
      <c r="C663" s="2" t="s">
        <v>6</v>
      </c>
      <c r="D663" s="4">
        <f ca="1">IFERROR(__xludf.DUMMYFUNCTION("B663*GOOGLEFINANCE(""CURRENCY:USDINR"")"),4596675839999.99)</f>
        <v>4596675839999.9902</v>
      </c>
      <c r="E663" s="3"/>
    </row>
    <row r="664" spans="1:5" x14ac:dyDescent="0.25">
      <c r="A664" s="6">
        <v>663</v>
      </c>
      <c r="B664" s="6">
        <v>60929776190.476097</v>
      </c>
      <c r="C664" s="2" t="s">
        <v>6</v>
      </c>
      <c r="D664" s="4">
        <f ca="1">IFERROR(__xludf.DUMMYFUNCTION("B664*GOOGLEFINANCE(""CURRENCY:USDINR"")"),4606291079999.99)</f>
        <v>4606291079999.9902</v>
      </c>
      <c r="E664" s="3"/>
    </row>
    <row r="665" spans="1:5" x14ac:dyDescent="0.25">
      <c r="A665" s="6">
        <v>664</v>
      </c>
      <c r="B665" s="6">
        <v>61056961904.761803</v>
      </c>
      <c r="C665" s="2" t="s">
        <v>6</v>
      </c>
      <c r="D665" s="4">
        <f ca="1">IFERROR(__xludf.DUMMYFUNCTION("B665*GOOGLEFINANCE(""CURRENCY:USDINR"")"),4615906319999.99)</f>
        <v>4615906319999.9902</v>
      </c>
      <c r="E665" s="3"/>
    </row>
    <row r="666" spans="1:5" x14ac:dyDescent="0.25">
      <c r="A666" s="6">
        <v>665</v>
      </c>
      <c r="B666" s="6">
        <v>61184147619.047501</v>
      </c>
      <c r="C666" s="2" t="s">
        <v>6</v>
      </c>
      <c r="D666" s="4">
        <f ca="1">IFERROR(__xludf.DUMMYFUNCTION("B666*GOOGLEFINANCE(""CURRENCY:USDINR"")"),4625521559999.99)</f>
        <v>4625521559999.9902</v>
      </c>
      <c r="E666" s="3"/>
    </row>
    <row r="667" spans="1:5" x14ac:dyDescent="0.25">
      <c r="A667" s="6">
        <v>666</v>
      </c>
      <c r="B667" s="6">
        <v>61311333333.333199</v>
      </c>
      <c r="C667" s="2" t="s">
        <v>6</v>
      </c>
      <c r="D667" s="4">
        <f ca="1">IFERROR(__xludf.DUMMYFUNCTION("B667*GOOGLEFINANCE(""CURRENCY:USDINR"")"),4635136799999.98)</f>
        <v>4635136799999.9805</v>
      </c>
      <c r="E667" s="3"/>
    </row>
    <row r="668" spans="1:5" x14ac:dyDescent="0.25">
      <c r="A668" s="6">
        <v>667</v>
      </c>
      <c r="B668" s="6">
        <v>61438519047.618896</v>
      </c>
      <c r="C668" s="2" t="s">
        <v>6</v>
      </c>
      <c r="D668" s="4">
        <f ca="1">IFERROR(__xludf.DUMMYFUNCTION("B668*GOOGLEFINANCE(""CURRENCY:USDINR"")"),4644752039999.98)</f>
        <v>4644752039999.9805</v>
      </c>
      <c r="E668" s="3"/>
    </row>
    <row r="669" spans="1:5" x14ac:dyDescent="0.25">
      <c r="A669" s="6">
        <v>668</v>
      </c>
      <c r="B669" s="6">
        <v>61565704761.904602</v>
      </c>
      <c r="C669" s="2" t="s">
        <v>6</v>
      </c>
      <c r="D669" s="4">
        <f ca="1">IFERROR(__xludf.DUMMYFUNCTION("B669*GOOGLEFINANCE(""CURRENCY:USDINR"")"),4654367279999.98)</f>
        <v>4654367279999.9805</v>
      </c>
      <c r="E669" s="3"/>
    </row>
    <row r="670" spans="1:5" x14ac:dyDescent="0.25">
      <c r="A670" s="6">
        <v>669</v>
      </c>
      <c r="B670" s="6">
        <v>61692890476.1903</v>
      </c>
      <c r="C670" s="2" t="s">
        <v>6</v>
      </c>
      <c r="D670" s="4">
        <f ca="1">IFERROR(__xludf.DUMMYFUNCTION("B670*GOOGLEFINANCE(""CURRENCY:USDINR"")"),4663982519999.98)</f>
        <v>4663982519999.9805</v>
      </c>
      <c r="E670" s="3"/>
    </row>
    <row r="671" spans="1:5" x14ac:dyDescent="0.25">
      <c r="A671" s="6">
        <v>670</v>
      </c>
      <c r="B671" s="6">
        <v>61820076190.476097</v>
      </c>
      <c r="C671" s="2" t="s">
        <v>6</v>
      </c>
      <c r="D671" s="4">
        <f ca="1">IFERROR(__xludf.DUMMYFUNCTION("B671*GOOGLEFINANCE(""CURRENCY:USDINR"")"),4673597759999.99)</f>
        <v>4673597759999.9902</v>
      </c>
      <c r="E671" s="3"/>
    </row>
    <row r="672" spans="1:5" x14ac:dyDescent="0.25">
      <c r="A672" s="6">
        <v>671</v>
      </c>
      <c r="B672" s="6">
        <v>61947261904.761803</v>
      </c>
      <c r="C672" s="2" t="s">
        <v>6</v>
      </c>
      <c r="D672" s="4">
        <f ca="1">IFERROR(__xludf.DUMMYFUNCTION("B672*GOOGLEFINANCE(""CURRENCY:USDINR"")"),4683212999999.99)</f>
        <v>4683212999999.9902</v>
      </c>
      <c r="E672" s="3"/>
    </row>
    <row r="673" spans="1:5" x14ac:dyDescent="0.25">
      <c r="A673" s="6">
        <v>672</v>
      </c>
      <c r="B673" s="6">
        <v>62074447619.047501</v>
      </c>
      <c r="C673" s="2" t="s">
        <v>6</v>
      </c>
      <c r="D673" s="4">
        <f ca="1">IFERROR(__xludf.DUMMYFUNCTION("B673*GOOGLEFINANCE(""CURRENCY:USDINR"")"),4692828239999.99)</f>
        <v>4692828239999.9902</v>
      </c>
      <c r="E673" s="3"/>
    </row>
    <row r="674" spans="1:5" x14ac:dyDescent="0.25">
      <c r="A674" s="6">
        <v>673</v>
      </c>
      <c r="B674" s="6">
        <v>62201633333.333199</v>
      </c>
      <c r="C674" s="2" t="s">
        <v>6</v>
      </c>
      <c r="D674" s="4">
        <f ca="1">IFERROR(__xludf.DUMMYFUNCTION("B674*GOOGLEFINANCE(""CURRENCY:USDINR"")"),4702443479999.98)</f>
        <v>4702443479999.9805</v>
      </c>
      <c r="E674" s="3"/>
    </row>
    <row r="675" spans="1:5" x14ac:dyDescent="0.25">
      <c r="A675" s="6">
        <v>674</v>
      </c>
      <c r="B675" s="6">
        <v>62328819047.618896</v>
      </c>
      <c r="C675" s="2" t="s">
        <v>6</v>
      </c>
      <c r="D675" s="4">
        <f ca="1">IFERROR(__xludf.DUMMYFUNCTION("B675*GOOGLEFINANCE(""CURRENCY:USDINR"")"),4712058719999.98)</f>
        <v>4712058719999.9805</v>
      </c>
      <c r="E675" s="3"/>
    </row>
    <row r="676" spans="1:5" x14ac:dyDescent="0.25">
      <c r="A676" s="6">
        <v>675</v>
      </c>
      <c r="B676" s="6">
        <v>62456004761.904602</v>
      </c>
      <c r="C676" s="2" t="s">
        <v>6</v>
      </c>
      <c r="D676" s="4">
        <f ca="1">IFERROR(__xludf.DUMMYFUNCTION("B676*GOOGLEFINANCE(""CURRENCY:USDINR"")"),4721673959999.98)</f>
        <v>4721673959999.9805</v>
      </c>
      <c r="E676" s="3"/>
    </row>
    <row r="677" spans="1:5" x14ac:dyDescent="0.25">
      <c r="A677" s="6">
        <v>676</v>
      </c>
      <c r="B677" s="6">
        <v>62583190476.1903</v>
      </c>
      <c r="C677" s="2" t="s">
        <v>6</v>
      </c>
      <c r="D677" s="4">
        <f ca="1">IFERROR(__xludf.DUMMYFUNCTION("B677*GOOGLEFINANCE(""CURRENCY:USDINR"")"),4731289199999.98)</f>
        <v>4731289199999.9805</v>
      </c>
      <c r="E677" s="3"/>
    </row>
    <row r="678" spans="1:5" x14ac:dyDescent="0.25">
      <c r="A678" s="6">
        <v>677</v>
      </c>
      <c r="B678" s="6">
        <v>62710376190.476097</v>
      </c>
      <c r="C678" s="2" t="s">
        <v>6</v>
      </c>
      <c r="D678" s="4">
        <f ca="1">IFERROR(__xludf.DUMMYFUNCTION("B678*GOOGLEFINANCE(""CURRENCY:USDINR"")"),4740904439999.99)</f>
        <v>4740904439999.9902</v>
      </c>
      <c r="E678" s="3"/>
    </row>
    <row r="679" spans="1:5" x14ac:dyDescent="0.25">
      <c r="A679" s="6">
        <v>678</v>
      </c>
      <c r="B679" s="6">
        <v>62837561904.761803</v>
      </c>
      <c r="C679" s="2" t="s">
        <v>6</v>
      </c>
      <c r="D679" s="4">
        <f ca="1">IFERROR(__xludf.DUMMYFUNCTION("B679*GOOGLEFINANCE(""CURRENCY:USDINR"")"),4750519679999.99)</f>
        <v>4750519679999.9902</v>
      </c>
      <c r="E679" s="3"/>
    </row>
    <row r="680" spans="1:5" x14ac:dyDescent="0.25">
      <c r="A680" s="6">
        <v>679</v>
      </c>
      <c r="B680" s="6">
        <v>62964747619.047501</v>
      </c>
      <c r="C680" s="2" t="s">
        <v>6</v>
      </c>
      <c r="D680" s="4">
        <f ca="1">IFERROR(__xludf.DUMMYFUNCTION("B680*GOOGLEFINANCE(""CURRENCY:USDINR"")"),4760134919999.99)</f>
        <v>4760134919999.9902</v>
      </c>
      <c r="E680" s="3"/>
    </row>
    <row r="681" spans="1:5" x14ac:dyDescent="0.25">
      <c r="A681" s="6">
        <v>680</v>
      </c>
      <c r="B681" s="6">
        <v>63091933333.333199</v>
      </c>
      <c r="C681" s="2" t="s">
        <v>6</v>
      </c>
      <c r="D681" s="4">
        <f ca="1">IFERROR(__xludf.DUMMYFUNCTION("B681*GOOGLEFINANCE(""CURRENCY:USDINR"")"),4769750159999.98)</f>
        <v>4769750159999.9805</v>
      </c>
      <c r="E681" s="3"/>
    </row>
    <row r="682" spans="1:5" x14ac:dyDescent="0.25">
      <c r="A682" s="6">
        <v>681</v>
      </c>
      <c r="B682" s="6">
        <v>63219119047.618896</v>
      </c>
      <c r="C682" s="2" t="s">
        <v>6</v>
      </c>
      <c r="D682" s="4">
        <f ca="1">IFERROR(__xludf.DUMMYFUNCTION("B682*GOOGLEFINANCE(""CURRENCY:USDINR"")"),4779365399999.98)</f>
        <v>4779365399999.9805</v>
      </c>
      <c r="E682" s="3"/>
    </row>
    <row r="683" spans="1:5" x14ac:dyDescent="0.25">
      <c r="A683" s="6">
        <v>682</v>
      </c>
      <c r="B683" s="6">
        <v>63346304761.904602</v>
      </c>
      <c r="C683" s="2" t="s">
        <v>6</v>
      </c>
      <c r="D683" s="4">
        <f ca="1">IFERROR(__xludf.DUMMYFUNCTION("B683*GOOGLEFINANCE(""CURRENCY:USDINR"")"),4788980639999.98)</f>
        <v>4788980639999.9805</v>
      </c>
      <c r="E683" s="3"/>
    </row>
    <row r="684" spans="1:5" x14ac:dyDescent="0.25">
      <c r="A684" s="6">
        <v>683</v>
      </c>
      <c r="B684" s="6">
        <v>63473490476.1903</v>
      </c>
      <c r="C684" s="2" t="s">
        <v>6</v>
      </c>
      <c r="D684" s="4">
        <f ca="1">IFERROR(__xludf.DUMMYFUNCTION("B684*GOOGLEFINANCE(""CURRENCY:USDINR"")"),4798595879999.98)</f>
        <v>4798595879999.9805</v>
      </c>
      <c r="E684" s="3"/>
    </row>
    <row r="685" spans="1:5" x14ac:dyDescent="0.25">
      <c r="A685" s="6">
        <v>684</v>
      </c>
      <c r="B685" s="6">
        <v>63600676190.476097</v>
      </c>
      <c r="C685" s="2" t="s">
        <v>6</v>
      </c>
      <c r="D685" s="4">
        <f ca="1">IFERROR(__xludf.DUMMYFUNCTION("B685*GOOGLEFINANCE(""CURRENCY:USDINR"")"),4808211119999.99)</f>
        <v>4808211119999.9902</v>
      </c>
      <c r="E685" s="3"/>
    </row>
    <row r="686" spans="1:5" x14ac:dyDescent="0.25">
      <c r="A686" s="6">
        <v>685</v>
      </c>
      <c r="B686" s="6">
        <v>63727861904.761803</v>
      </c>
      <c r="C686" s="2" t="s">
        <v>6</v>
      </c>
      <c r="D686" s="4">
        <f ca="1">IFERROR(__xludf.DUMMYFUNCTION("B686*GOOGLEFINANCE(""CURRENCY:USDINR"")"),4817826359999.99)</f>
        <v>4817826359999.9902</v>
      </c>
      <c r="E686" s="3"/>
    </row>
    <row r="687" spans="1:5" x14ac:dyDescent="0.25">
      <c r="A687" s="6">
        <v>686</v>
      </c>
      <c r="B687" s="6">
        <v>63855047619.047501</v>
      </c>
      <c r="C687" s="2" t="s">
        <v>6</v>
      </c>
      <c r="D687" s="4">
        <f ca="1">IFERROR(__xludf.DUMMYFUNCTION("B687*GOOGLEFINANCE(""CURRENCY:USDINR"")"),4827441599999.99)</f>
        <v>4827441599999.9902</v>
      </c>
      <c r="E687" s="3"/>
    </row>
    <row r="688" spans="1:5" x14ac:dyDescent="0.25">
      <c r="A688" s="6">
        <v>687</v>
      </c>
      <c r="B688" s="6">
        <v>63982233333.333199</v>
      </c>
      <c r="C688" s="2" t="s">
        <v>6</v>
      </c>
      <c r="D688" s="4">
        <f ca="1">IFERROR(__xludf.DUMMYFUNCTION("B688*GOOGLEFINANCE(""CURRENCY:USDINR"")"),4837056839999.98)</f>
        <v>4837056839999.9805</v>
      </c>
      <c r="E688" s="3"/>
    </row>
    <row r="689" spans="1:5" x14ac:dyDescent="0.25">
      <c r="A689" s="6">
        <v>688</v>
      </c>
      <c r="B689" s="6">
        <v>64109419047.618896</v>
      </c>
      <c r="C689" s="2" t="s">
        <v>6</v>
      </c>
      <c r="D689" s="4">
        <f ca="1">IFERROR(__xludf.DUMMYFUNCTION("B689*GOOGLEFINANCE(""CURRENCY:USDINR"")"),4846672079999.98)</f>
        <v>4846672079999.9805</v>
      </c>
      <c r="E689" s="3"/>
    </row>
    <row r="690" spans="1:5" x14ac:dyDescent="0.25">
      <c r="A690" s="6">
        <v>689</v>
      </c>
      <c r="B690" s="6">
        <v>64236604761.904602</v>
      </c>
      <c r="C690" s="2" t="s">
        <v>6</v>
      </c>
      <c r="D690" s="4">
        <f ca="1">IFERROR(__xludf.DUMMYFUNCTION("B690*GOOGLEFINANCE(""CURRENCY:USDINR"")"),4856287319999.98)</f>
        <v>4856287319999.9805</v>
      </c>
      <c r="E690" s="3"/>
    </row>
    <row r="691" spans="1:5" x14ac:dyDescent="0.25">
      <c r="A691" s="6">
        <v>690</v>
      </c>
      <c r="B691" s="6">
        <v>64363790476.1903</v>
      </c>
      <c r="C691" s="2" t="s">
        <v>6</v>
      </c>
      <c r="D691" s="4">
        <f ca="1">IFERROR(__xludf.DUMMYFUNCTION("B691*GOOGLEFINANCE(""CURRENCY:USDINR"")"),4865902559999.98)</f>
        <v>4865902559999.9805</v>
      </c>
      <c r="E691" s="3"/>
    </row>
    <row r="692" spans="1:5" x14ac:dyDescent="0.25">
      <c r="A692" s="6">
        <v>691</v>
      </c>
      <c r="B692" s="6">
        <v>64490976190.476097</v>
      </c>
      <c r="C692" s="2" t="s">
        <v>6</v>
      </c>
      <c r="D692" s="4">
        <f ca="1">IFERROR(__xludf.DUMMYFUNCTION("B692*GOOGLEFINANCE(""CURRENCY:USDINR"")"),4875517799999.99)</f>
        <v>4875517799999.9902</v>
      </c>
      <c r="E692" s="3"/>
    </row>
    <row r="693" spans="1:5" x14ac:dyDescent="0.25">
      <c r="A693" s="6">
        <v>692</v>
      </c>
      <c r="B693" s="6">
        <v>64618161904.761803</v>
      </c>
      <c r="C693" s="2" t="s">
        <v>6</v>
      </c>
      <c r="D693" s="4">
        <f ca="1">IFERROR(__xludf.DUMMYFUNCTION("B693*GOOGLEFINANCE(""CURRENCY:USDINR"")"),4885133039999.99)</f>
        <v>4885133039999.9902</v>
      </c>
      <c r="E693" s="3"/>
    </row>
    <row r="694" spans="1:5" x14ac:dyDescent="0.25">
      <c r="A694" s="6">
        <v>693</v>
      </c>
      <c r="B694" s="6">
        <v>64745347619.047501</v>
      </c>
      <c r="C694" s="2" t="s">
        <v>6</v>
      </c>
      <c r="D694" s="4">
        <f ca="1">IFERROR(__xludf.DUMMYFUNCTION("B694*GOOGLEFINANCE(""CURRENCY:USDINR"")"),4894748279999.99)</f>
        <v>4894748279999.9902</v>
      </c>
      <c r="E694" s="3"/>
    </row>
    <row r="695" spans="1:5" x14ac:dyDescent="0.25">
      <c r="A695" s="6">
        <v>694</v>
      </c>
      <c r="B695" s="6">
        <v>64872533333.333199</v>
      </c>
      <c r="C695" s="2" t="s">
        <v>6</v>
      </c>
      <c r="D695" s="4">
        <f ca="1">IFERROR(__xludf.DUMMYFUNCTION("B695*GOOGLEFINANCE(""CURRENCY:USDINR"")"),4904363519999.98)</f>
        <v>4904363519999.9805</v>
      </c>
      <c r="E695" s="3"/>
    </row>
    <row r="696" spans="1:5" x14ac:dyDescent="0.25">
      <c r="A696" s="6">
        <v>695</v>
      </c>
      <c r="B696" s="6">
        <v>64999719047.618896</v>
      </c>
      <c r="C696" s="2" t="s">
        <v>6</v>
      </c>
      <c r="D696" s="4">
        <f ca="1">IFERROR(__xludf.DUMMYFUNCTION("B696*GOOGLEFINANCE(""CURRENCY:USDINR"")"),4913978759999.98)</f>
        <v>4913978759999.9805</v>
      </c>
      <c r="E696" s="3"/>
    </row>
    <row r="697" spans="1:5" x14ac:dyDescent="0.25">
      <c r="A697" s="6">
        <v>696</v>
      </c>
      <c r="B697" s="6">
        <v>65126904761.904602</v>
      </c>
      <c r="C697" s="2" t="s">
        <v>6</v>
      </c>
      <c r="D697" s="4">
        <f ca="1">IFERROR(__xludf.DUMMYFUNCTION("B697*GOOGLEFINANCE(""CURRENCY:USDINR"")"),4923593999999.98)</f>
        <v>4923593999999.9805</v>
      </c>
      <c r="E697" s="3"/>
    </row>
    <row r="698" spans="1:5" x14ac:dyDescent="0.25">
      <c r="A698" s="6">
        <v>697</v>
      </c>
      <c r="B698" s="6">
        <v>65254090476.1903</v>
      </c>
      <c r="C698" s="2" t="s">
        <v>6</v>
      </c>
      <c r="D698" s="4">
        <f ca="1">IFERROR(__xludf.DUMMYFUNCTION("B698*GOOGLEFINANCE(""CURRENCY:USDINR"")"),4933209239999.98)</f>
        <v>4933209239999.9805</v>
      </c>
      <c r="E698" s="3"/>
    </row>
    <row r="699" spans="1:5" x14ac:dyDescent="0.25">
      <c r="A699" s="6">
        <v>698</v>
      </c>
      <c r="B699" s="6">
        <v>65381276190.475998</v>
      </c>
      <c r="C699" s="2" t="s">
        <v>6</v>
      </c>
      <c r="D699" s="4">
        <f ca="1">IFERROR(__xludf.DUMMYFUNCTION("B699*GOOGLEFINANCE(""CURRENCY:USDINR"")"),4942824479999.98)</f>
        <v>4942824479999.9805</v>
      </c>
      <c r="E699" s="3"/>
    </row>
    <row r="700" spans="1:5" x14ac:dyDescent="0.25">
      <c r="A700" s="6">
        <v>699</v>
      </c>
      <c r="B700" s="6">
        <v>65508461904.761803</v>
      </c>
      <c r="C700" s="2" t="s">
        <v>6</v>
      </c>
      <c r="D700" s="4">
        <f ca="1">IFERROR(__xludf.DUMMYFUNCTION("B700*GOOGLEFINANCE(""CURRENCY:USDINR"")"),4952439719999.99)</f>
        <v>4952439719999.9902</v>
      </c>
      <c r="E700" s="3"/>
    </row>
    <row r="701" spans="1:5" x14ac:dyDescent="0.25">
      <c r="A701" s="6">
        <v>700</v>
      </c>
      <c r="B701" s="6">
        <v>65635647619.047501</v>
      </c>
      <c r="C701" s="2" t="s">
        <v>6</v>
      </c>
      <c r="D701" s="4">
        <f ca="1">IFERROR(__xludf.DUMMYFUNCTION("B701*GOOGLEFINANCE(""CURRENCY:USDINR"")"),4962054959999.99)</f>
        <v>4962054959999.9902</v>
      </c>
      <c r="E701" s="3"/>
    </row>
    <row r="702" spans="1:5" x14ac:dyDescent="0.25">
      <c r="A702" s="6">
        <v>701</v>
      </c>
      <c r="B702" s="6">
        <v>65762833333.333199</v>
      </c>
      <c r="C702" s="2" t="s">
        <v>6</v>
      </c>
      <c r="D702" s="4">
        <f ca="1">IFERROR(__xludf.DUMMYFUNCTION("B702*GOOGLEFINANCE(""CURRENCY:USDINR"")"),4971670199999.98)</f>
        <v>4971670199999.9805</v>
      </c>
      <c r="E702" s="3"/>
    </row>
    <row r="703" spans="1:5" x14ac:dyDescent="0.25">
      <c r="A703" s="6">
        <v>702</v>
      </c>
      <c r="B703" s="6">
        <v>65890019047.618896</v>
      </c>
      <c r="C703" s="2" t="s">
        <v>6</v>
      </c>
      <c r="D703" s="4">
        <f ca="1">IFERROR(__xludf.DUMMYFUNCTION("B703*GOOGLEFINANCE(""CURRENCY:USDINR"")"),4981285439999.98)</f>
        <v>4981285439999.9805</v>
      </c>
      <c r="E703" s="3"/>
    </row>
    <row r="704" spans="1:5" x14ac:dyDescent="0.25">
      <c r="A704" s="6">
        <v>703</v>
      </c>
      <c r="B704" s="6">
        <v>66017204761.904602</v>
      </c>
      <c r="C704" s="2" t="s">
        <v>6</v>
      </c>
      <c r="D704" s="4">
        <f ca="1">IFERROR(__xludf.DUMMYFUNCTION("B704*GOOGLEFINANCE(""CURRENCY:USDINR"")"),4990900679999.98)</f>
        <v>4990900679999.9805</v>
      </c>
      <c r="E704" s="3"/>
    </row>
    <row r="705" spans="1:5" x14ac:dyDescent="0.25">
      <c r="A705" s="6">
        <v>704</v>
      </c>
      <c r="B705" s="6">
        <v>66144390476.1903</v>
      </c>
      <c r="C705" s="2" t="s">
        <v>6</v>
      </c>
      <c r="D705" s="4">
        <f ca="1">IFERROR(__xludf.DUMMYFUNCTION("B705*GOOGLEFINANCE(""CURRENCY:USDINR"")"),5000515919999.98)</f>
        <v>5000515919999.9805</v>
      </c>
      <c r="E705" s="3"/>
    </row>
    <row r="706" spans="1:5" x14ac:dyDescent="0.25">
      <c r="A706" s="6">
        <v>705</v>
      </c>
      <c r="B706" s="6">
        <v>66271576190.475998</v>
      </c>
      <c r="C706" s="2" t="s">
        <v>6</v>
      </c>
      <c r="D706" s="4">
        <f ca="1">IFERROR(__xludf.DUMMYFUNCTION("B706*GOOGLEFINANCE(""CURRENCY:USDINR"")"),5010131159999.98)</f>
        <v>5010131159999.9805</v>
      </c>
      <c r="E706" s="3"/>
    </row>
    <row r="707" spans="1:5" x14ac:dyDescent="0.25">
      <c r="A707" s="6">
        <v>706</v>
      </c>
      <c r="B707" s="6">
        <v>66398761904.761803</v>
      </c>
      <c r="C707" s="2" t="s">
        <v>6</v>
      </c>
      <c r="D707" s="4">
        <f ca="1">IFERROR(__xludf.DUMMYFUNCTION("B707*GOOGLEFINANCE(""CURRENCY:USDINR"")"),5019746399999.99)</f>
        <v>5019746399999.9902</v>
      </c>
      <c r="E707" s="3"/>
    </row>
    <row r="708" spans="1:5" x14ac:dyDescent="0.25">
      <c r="A708" s="6">
        <v>707</v>
      </c>
      <c r="B708" s="6">
        <v>66525947619.047501</v>
      </c>
      <c r="C708" s="2" t="s">
        <v>6</v>
      </c>
      <c r="D708" s="4">
        <f ca="1">IFERROR(__xludf.DUMMYFUNCTION("B708*GOOGLEFINANCE(""CURRENCY:USDINR"")"),5029361639999.99)</f>
        <v>5029361639999.9902</v>
      </c>
      <c r="E708" s="3"/>
    </row>
    <row r="709" spans="1:5" x14ac:dyDescent="0.25">
      <c r="A709" s="6">
        <v>708</v>
      </c>
      <c r="B709" s="6">
        <v>66653133333.333199</v>
      </c>
      <c r="C709" s="2" t="s">
        <v>6</v>
      </c>
      <c r="D709" s="4">
        <f ca="1">IFERROR(__xludf.DUMMYFUNCTION("B709*GOOGLEFINANCE(""CURRENCY:USDINR"")"),5038976879999.98)</f>
        <v>5038976879999.9805</v>
      </c>
      <c r="E709" s="3"/>
    </row>
    <row r="710" spans="1:5" x14ac:dyDescent="0.25">
      <c r="A710" s="6">
        <v>709</v>
      </c>
      <c r="B710" s="6">
        <v>66780319047.618896</v>
      </c>
      <c r="C710" s="2" t="s">
        <v>6</v>
      </c>
      <c r="D710" s="4">
        <f ca="1">IFERROR(__xludf.DUMMYFUNCTION("B710*GOOGLEFINANCE(""CURRENCY:USDINR"")"),5048592119999.98)</f>
        <v>5048592119999.9805</v>
      </c>
      <c r="E710" s="3"/>
    </row>
    <row r="711" spans="1:5" x14ac:dyDescent="0.25">
      <c r="A711" s="6">
        <v>710</v>
      </c>
      <c r="B711" s="6">
        <v>66907504761.904602</v>
      </c>
      <c r="C711" s="2" t="s">
        <v>6</v>
      </c>
      <c r="D711" s="4">
        <f ca="1">IFERROR(__xludf.DUMMYFUNCTION("B711*GOOGLEFINANCE(""CURRENCY:USDINR"")"),5058207359999.98)</f>
        <v>5058207359999.9805</v>
      </c>
      <c r="E711" s="3"/>
    </row>
    <row r="712" spans="1:5" x14ac:dyDescent="0.25">
      <c r="A712" s="6">
        <v>711</v>
      </c>
      <c r="B712" s="6">
        <v>67034690476.1903</v>
      </c>
      <c r="C712" s="2" t="s">
        <v>6</v>
      </c>
      <c r="D712" s="4">
        <f ca="1">IFERROR(__xludf.DUMMYFUNCTION("B712*GOOGLEFINANCE(""CURRENCY:USDINR"")"),5067822599999.98)</f>
        <v>5067822599999.9805</v>
      </c>
      <c r="E712" s="3"/>
    </row>
    <row r="713" spans="1:5" x14ac:dyDescent="0.25">
      <c r="A713" s="6">
        <v>712</v>
      </c>
      <c r="B713" s="6">
        <v>67161876190.475998</v>
      </c>
      <c r="C713" s="2" t="s">
        <v>6</v>
      </c>
      <c r="D713" s="4">
        <f ca="1">IFERROR(__xludf.DUMMYFUNCTION("B713*GOOGLEFINANCE(""CURRENCY:USDINR"")"),5077437839999.98)</f>
        <v>5077437839999.9805</v>
      </c>
      <c r="E713" s="3"/>
    </row>
    <row r="714" spans="1:5" x14ac:dyDescent="0.25">
      <c r="A714" s="6">
        <v>713</v>
      </c>
      <c r="B714" s="6">
        <v>67289061904.761803</v>
      </c>
      <c r="C714" s="2" t="s">
        <v>6</v>
      </c>
      <c r="D714" s="4">
        <f ca="1">IFERROR(__xludf.DUMMYFUNCTION("B714*GOOGLEFINANCE(""CURRENCY:USDINR"")"),5087053079999.99)</f>
        <v>5087053079999.9902</v>
      </c>
      <c r="E714" s="3"/>
    </row>
    <row r="715" spans="1:5" x14ac:dyDescent="0.25">
      <c r="A715" s="6">
        <v>714</v>
      </c>
      <c r="B715" s="6">
        <v>67416247619.047501</v>
      </c>
      <c r="C715" s="2" t="s">
        <v>6</v>
      </c>
      <c r="D715" s="4">
        <f ca="1">IFERROR(__xludf.DUMMYFUNCTION("B715*GOOGLEFINANCE(""CURRENCY:USDINR"")"),5096668319999.99)</f>
        <v>5096668319999.9902</v>
      </c>
      <c r="E715" s="3"/>
    </row>
    <row r="716" spans="1:5" x14ac:dyDescent="0.25">
      <c r="A716" s="6">
        <v>715</v>
      </c>
      <c r="B716" s="6">
        <v>67543433333.333199</v>
      </c>
      <c r="C716" s="2" t="s">
        <v>6</v>
      </c>
      <c r="D716" s="4">
        <f ca="1">IFERROR(__xludf.DUMMYFUNCTION("B716*GOOGLEFINANCE(""CURRENCY:USDINR"")"),5106283559999.98)</f>
        <v>5106283559999.9805</v>
      </c>
      <c r="E716" s="3"/>
    </row>
    <row r="717" spans="1:5" x14ac:dyDescent="0.25">
      <c r="A717" s="6">
        <v>716</v>
      </c>
      <c r="B717" s="6">
        <v>67670619047.618896</v>
      </c>
      <c r="C717" s="2" t="s">
        <v>6</v>
      </c>
      <c r="D717" s="4">
        <f ca="1">IFERROR(__xludf.DUMMYFUNCTION("B717*GOOGLEFINANCE(""CURRENCY:USDINR"")"),5115898799999.98)</f>
        <v>5115898799999.9805</v>
      </c>
      <c r="E717" s="3"/>
    </row>
    <row r="718" spans="1:5" x14ac:dyDescent="0.25">
      <c r="A718" s="6">
        <v>717</v>
      </c>
      <c r="B718" s="6">
        <v>67797804761.904602</v>
      </c>
      <c r="C718" s="2" t="s">
        <v>6</v>
      </c>
      <c r="D718" s="4">
        <f ca="1">IFERROR(__xludf.DUMMYFUNCTION("B718*GOOGLEFINANCE(""CURRENCY:USDINR"")"),5125514039999.98)</f>
        <v>5125514039999.9805</v>
      </c>
      <c r="E718" s="3"/>
    </row>
    <row r="719" spans="1:5" x14ac:dyDescent="0.25">
      <c r="A719" s="6">
        <v>718</v>
      </c>
      <c r="B719" s="6">
        <v>67924990476.1903</v>
      </c>
      <c r="C719" s="2" t="s">
        <v>6</v>
      </c>
      <c r="D719" s="4">
        <f ca="1">IFERROR(__xludf.DUMMYFUNCTION("B719*GOOGLEFINANCE(""CURRENCY:USDINR"")"),5135129279999.98)</f>
        <v>5135129279999.9805</v>
      </c>
      <c r="E719" s="3"/>
    </row>
    <row r="720" spans="1:5" x14ac:dyDescent="0.25">
      <c r="A720" s="6">
        <v>719</v>
      </c>
      <c r="B720" s="6">
        <v>68052176190.475998</v>
      </c>
      <c r="C720" s="2" t="s">
        <v>6</v>
      </c>
      <c r="D720" s="4">
        <f ca="1">IFERROR(__xludf.DUMMYFUNCTION("B720*GOOGLEFINANCE(""CURRENCY:USDINR"")"),5144744519999.98)</f>
        <v>5144744519999.9805</v>
      </c>
      <c r="E720" s="3"/>
    </row>
    <row r="721" spans="1:5" x14ac:dyDescent="0.25">
      <c r="A721" s="6">
        <v>720</v>
      </c>
      <c r="B721" s="6">
        <v>68179361904.761803</v>
      </c>
      <c r="C721" s="2" t="s">
        <v>6</v>
      </c>
      <c r="D721" s="4">
        <f ca="1">IFERROR(__xludf.DUMMYFUNCTION("B721*GOOGLEFINANCE(""CURRENCY:USDINR"")"),5154359759999.99)</f>
        <v>5154359759999.9902</v>
      </c>
      <c r="E721" s="3"/>
    </row>
    <row r="722" spans="1:5" x14ac:dyDescent="0.25">
      <c r="A722" s="6">
        <v>721</v>
      </c>
      <c r="B722" s="6">
        <v>68306547619.047501</v>
      </c>
      <c r="C722" s="2" t="s">
        <v>6</v>
      </c>
      <c r="D722" s="4">
        <f ca="1">IFERROR(__xludf.DUMMYFUNCTION("B722*GOOGLEFINANCE(""CURRENCY:USDINR"")"),5163974999999.99)</f>
        <v>5163974999999.9902</v>
      </c>
      <c r="E722" s="3"/>
    </row>
    <row r="723" spans="1:5" x14ac:dyDescent="0.25">
      <c r="A723" s="6">
        <v>722</v>
      </c>
      <c r="B723" s="6">
        <v>68433733333.333199</v>
      </c>
      <c r="C723" s="2" t="s">
        <v>6</v>
      </c>
      <c r="D723" s="4">
        <f ca="1">IFERROR(__xludf.DUMMYFUNCTION("B723*GOOGLEFINANCE(""CURRENCY:USDINR"")"),5173590239999.98)</f>
        <v>5173590239999.9805</v>
      </c>
      <c r="E723" s="3"/>
    </row>
    <row r="724" spans="1:5" x14ac:dyDescent="0.25">
      <c r="A724" s="6">
        <v>723</v>
      </c>
      <c r="B724" s="6">
        <v>68560919047.618896</v>
      </c>
      <c r="C724" s="2" t="s">
        <v>6</v>
      </c>
      <c r="D724" s="4">
        <f ca="1">IFERROR(__xludf.DUMMYFUNCTION("B724*GOOGLEFINANCE(""CURRENCY:USDINR"")"),5183205479999.98)</f>
        <v>5183205479999.9805</v>
      </c>
      <c r="E724" s="3"/>
    </row>
    <row r="725" spans="1:5" x14ac:dyDescent="0.25">
      <c r="A725" s="6">
        <v>724</v>
      </c>
      <c r="B725" s="6">
        <v>68688104761.904602</v>
      </c>
      <c r="C725" s="2" t="s">
        <v>6</v>
      </c>
      <c r="D725" s="4">
        <f ca="1">IFERROR(__xludf.DUMMYFUNCTION("B725*GOOGLEFINANCE(""CURRENCY:USDINR"")"),5192820719999.98)</f>
        <v>5192820719999.9805</v>
      </c>
      <c r="E725" s="3"/>
    </row>
    <row r="726" spans="1:5" x14ac:dyDescent="0.25">
      <c r="A726" s="6">
        <v>725</v>
      </c>
      <c r="B726" s="6">
        <v>68815290476.190308</v>
      </c>
      <c r="C726" s="2" t="s">
        <v>6</v>
      </c>
      <c r="D726" s="4">
        <f ca="1">IFERROR(__xludf.DUMMYFUNCTION("B726*GOOGLEFINANCE(""CURRENCY:USDINR"")"),5202435959999.98)</f>
        <v>5202435959999.9805</v>
      </c>
      <c r="E726" s="3"/>
    </row>
    <row r="727" spans="1:5" x14ac:dyDescent="0.25">
      <c r="A727" s="6">
        <v>726</v>
      </c>
      <c r="B727" s="6">
        <v>68942476190.475998</v>
      </c>
      <c r="C727" s="2" t="s">
        <v>6</v>
      </c>
      <c r="D727" s="4">
        <f ca="1">IFERROR(__xludf.DUMMYFUNCTION("B727*GOOGLEFINANCE(""CURRENCY:USDINR"")"),5212051199999.98)</f>
        <v>5212051199999.9805</v>
      </c>
      <c r="E727" s="3"/>
    </row>
    <row r="728" spans="1:5" x14ac:dyDescent="0.25">
      <c r="A728" s="6">
        <v>727</v>
      </c>
      <c r="B728" s="6">
        <v>69069661904.761795</v>
      </c>
      <c r="C728" s="2" t="s">
        <v>6</v>
      </c>
      <c r="D728" s="4">
        <f ca="1">IFERROR(__xludf.DUMMYFUNCTION("B728*GOOGLEFINANCE(""CURRENCY:USDINR"")"),5221666439999.99)</f>
        <v>5221666439999.9902</v>
      </c>
      <c r="E728" s="3"/>
    </row>
    <row r="729" spans="1:5" x14ac:dyDescent="0.25">
      <c r="A729" s="6">
        <v>728</v>
      </c>
      <c r="B729" s="6">
        <v>69196847619.047501</v>
      </c>
      <c r="C729" s="2" t="s">
        <v>6</v>
      </c>
      <c r="D729" s="4">
        <f ca="1">IFERROR(__xludf.DUMMYFUNCTION("B729*GOOGLEFINANCE(""CURRENCY:USDINR"")"),5231281679999.99)</f>
        <v>5231281679999.9902</v>
      </c>
      <c r="E729" s="3"/>
    </row>
    <row r="730" spans="1:5" x14ac:dyDescent="0.25">
      <c r="A730" s="6">
        <v>729</v>
      </c>
      <c r="B730" s="6">
        <v>69324033333.333206</v>
      </c>
      <c r="C730" s="2" t="s">
        <v>6</v>
      </c>
      <c r="D730" s="4">
        <f ca="1">IFERROR(__xludf.DUMMYFUNCTION("B730*GOOGLEFINANCE(""CURRENCY:USDINR"")"),5240896919999.99)</f>
        <v>5240896919999.9902</v>
      </c>
      <c r="E730" s="3"/>
    </row>
    <row r="731" spans="1:5" x14ac:dyDescent="0.25">
      <c r="A731" s="6">
        <v>730</v>
      </c>
      <c r="B731" s="6">
        <v>69451219047.618896</v>
      </c>
      <c r="C731" s="2" t="s">
        <v>6</v>
      </c>
      <c r="D731" s="4">
        <f ca="1">IFERROR(__xludf.DUMMYFUNCTION("B731*GOOGLEFINANCE(""CURRENCY:USDINR"")"),5250512159999.98)</f>
        <v>5250512159999.9805</v>
      </c>
      <c r="E731" s="3"/>
    </row>
    <row r="732" spans="1:5" x14ac:dyDescent="0.25">
      <c r="A732" s="6">
        <v>731</v>
      </c>
      <c r="B732" s="6">
        <v>69578404761.904602</v>
      </c>
      <c r="C732" s="2" t="s">
        <v>6</v>
      </c>
      <c r="D732" s="4">
        <f ca="1">IFERROR(__xludf.DUMMYFUNCTION("B732*GOOGLEFINANCE(""CURRENCY:USDINR"")"),5260127399999.98)</f>
        <v>5260127399999.9805</v>
      </c>
      <c r="E732" s="3"/>
    </row>
    <row r="733" spans="1:5" x14ac:dyDescent="0.25">
      <c r="A733" s="6">
        <v>732</v>
      </c>
      <c r="B733" s="6">
        <v>69705590476.190308</v>
      </c>
      <c r="C733" s="2" t="s">
        <v>6</v>
      </c>
      <c r="D733" s="4">
        <f ca="1">IFERROR(__xludf.DUMMYFUNCTION("B733*GOOGLEFINANCE(""CURRENCY:USDINR"")"),5269742639999.98)</f>
        <v>5269742639999.9805</v>
      </c>
      <c r="E733" s="3"/>
    </row>
    <row r="734" spans="1:5" x14ac:dyDescent="0.25">
      <c r="A734" s="6">
        <v>733</v>
      </c>
      <c r="B734" s="6">
        <v>69832776190.475998</v>
      </c>
      <c r="C734" s="2" t="s">
        <v>6</v>
      </c>
      <c r="D734" s="4">
        <f ca="1">IFERROR(__xludf.DUMMYFUNCTION("B734*GOOGLEFINANCE(""CURRENCY:USDINR"")"),5279357879999.98)</f>
        <v>5279357879999.9805</v>
      </c>
      <c r="E734" s="3"/>
    </row>
    <row r="735" spans="1:5" x14ac:dyDescent="0.25">
      <c r="A735" s="6">
        <v>734</v>
      </c>
      <c r="B735" s="6">
        <v>69959961904.761795</v>
      </c>
      <c r="C735" s="2" t="s">
        <v>6</v>
      </c>
      <c r="D735" s="4">
        <f ca="1">IFERROR(__xludf.DUMMYFUNCTION("B735*GOOGLEFINANCE(""CURRENCY:USDINR"")"),5288973119999.99)</f>
        <v>5288973119999.9902</v>
      </c>
      <c r="E735" s="3"/>
    </row>
    <row r="736" spans="1:5" x14ac:dyDescent="0.25">
      <c r="A736" s="6">
        <v>735</v>
      </c>
      <c r="B736" s="6">
        <v>70087147619.047501</v>
      </c>
      <c r="C736" s="2" t="s">
        <v>6</v>
      </c>
      <c r="D736" s="4">
        <f ca="1">IFERROR(__xludf.DUMMYFUNCTION("B736*GOOGLEFINANCE(""CURRENCY:USDINR"")"),5298588359999.99)</f>
        <v>5298588359999.9902</v>
      </c>
      <c r="E736" s="3"/>
    </row>
    <row r="737" spans="1:5" x14ac:dyDescent="0.25">
      <c r="A737" s="6">
        <v>736</v>
      </c>
      <c r="B737" s="6">
        <v>70214333333.333206</v>
      </c>
      <c r="C737" s="2" t="s">
        <v>6</v>
      </c>
      <c r="D737" s="4">
        <f ca="1">IFERROR(__xludf.DUMMYFUNCTION("B737*GOOGLEFINANCE(""CURRENCY:USDINR"")"),5308203599999.99)</f>
        <v>5308203599999.9902</v>
      </c>
      <c r="E737" s="3"/>
    </row>
    <row r="738" spans="1:5" x14ac:dyDescent="0.25">
      <c r="A738" s="6">
        <v>737</v>
      </c>
      <c r="B738" s="6">
        <v>70341519047.618896</v>
      </c>
      <c r="C738" s="2" t="s">
        <v>6</v>
      </c>
      <c r="D738" s="4">
        <f ca="1">IFERROR(__xludf.DUMMYFUNCTION("B738*GOOGLEFINANCE(""CURRENCY:USDINR"")"),5317818839999.98)</f>
        <v>5317818839999.9805</v>
      </c>
      <c r="E738" s="3"/>
    </row>
    <row r="739" spans="1:5" x14ac:dyDescent="0.25">
      <c r="A739" s="6">
        <v>738</v>
      </c>
      <c r="B739" s="6">
        <v>70468704761.904602</v>
      </c>
      <c r="C739" s="2" t="s">
        <v>6</v>
      </c>
      <c r="D739" s="4">
        <f ca="1">IFERROR(__xludf.DUMMYFUNCTION("B739*GOOGLEFINANCE(""CURRENCY:USDINR"")"),5327434079999.98)</f>
        <v>5327434079999.9805</v>
      </c>
      <c r="E739" s="3"/>
    </row>
    <row r="740" spans="1:5" x14ac:dyDescent="0.25">
      <c r="A740" s="6">
        <v>739</v>
      </c>
      <c r="B740" s="6">
        <v>70595890476.190308</v>
      </c>
      <c r="C740" s="2" t="s">
        <v>6</v>
      </c>
      <c r="D740" s="4">
        <f ca="1">IFERROR(__xludf.DUMMYFUNCTION("B740*GOOGLEFINANCE(""CURRENCY:USDINR"")"),5337049319999.98)</f>
        <v>5337049319999.9805</v>
      </c>
      <c r="E740" s="3"/>
    </row>
    <row r="741" spans="1:5" x14ac:dyDescent="0.25">
      <c r="A741" s="6">
        <v>740</v>
      </c>
      <c r="B741" s="6">
        <v>70723076190.475998</v>
      </c>
      <c r="C741" s="2" t="s">
        <v>6</v>
      </c>
      <c r="D741" s="4">
        <f ca="1">IFERROR(__xludf.DUMMYFUNCTION("B741*GOOGLEFINANCE(""CURRENCY:USDINR"")"),5346664559999.98)</f>
        <v>5346664559999.9805</v>
      </c>
      <c r="E741" s="3"/>
    </row>
    <row r="742" spans="1:5" x14ac:dyDescent="0.25">
      <c r="A742" s="6">
        <v>741</v>
      </c>
      <c r="B742" s="6">
        <v>70850261904.761795</v>
      </c>
      <c r="C742" s="2" t="s">
        <v>6</v>
      </c>
      <c r="D742" s="4">
        <f ca="1">IFERROR(__xludf.DUMMYFUNCTION("B742*GOOGLEFINANCE(""CURRENCY:USDINR"")"),5356279799999.99)</f>
        <v>5356279799999.9902</v>
      </c>
      <c r="E742" s="3"/>
    </row>
    <row r="743" spans="1:5" x14ac:dyDescent="0.25">
      <c r="A743" s="6">
        <v>742</v>
      </c>
      <c r="B743" s="6">
        <v>70977447619.047501</v>
      </c>
      <c r="C743" s="2" t="s">
        <v>6</v>
      </c>
      <c r="D743" s="4">
        <f ca="1">IFERROR(__xludf.DUMMYFUNCTION("B743*GOOGLEFINANCE(""CURRENCY:USDINR"")"),5365895039999.99)</f>
        <v>5365895039999.9902</v>
      </c>
      <c r="E743" s="3"/>
    </row>
    <row r="744" spans="1:5" x14ac:dyDescent="0.25">
      <c r="A744" s="6">
        <v>743</v>
      </c>
      <c r="B744" s="6">
        <v>71104633333.333206</v>
      </c>
      <c r="C744" s="2" t="s">
        <v>6</v>
      </c>
      <c r="D744" s="4">
        <f ca="1">IFERROR(__xludf.DUMMYFUNCTION("B744*GOOGLEFINANCE(""CURRENCY:USDINR"")"),5375510279999.99)</f>
        <v>5375510279999.9902</v>
      </c>
      <c r="E744" s="3"/>
    </row>
    <row r="745" spans="1:5" x14ac:dyDescent="0.25">
      <c r="A745" s="6">
        <v>744</v>
      </c>
      <c r="B745" s="6">
        <v>71231819047.618896</v>
      </c>
      <c r="C745" s="2" t="s">
        <v>6</v>
      </c>
      <c r="D745" s="4">
        <f ca="1">IFERROR(__xludf.DUMMYFUNCTION("B745*GOOGLEFINANCE(""CURRENCY:USDINR"")"),5385125519999.98)</f>
        <v>5385125519999.9805</v>
      </c>
      <c r="E745" s="3"/>
    </row>
    <row r="746" spans="1:5" x14ac:dyDescent="0.25">
      <c r="A746" s="6">
        <v>745</v>
      </c>
      <c r="B746" s="6">
        <v>71359004761.904602</v>
      </c>
      <c r="C746" s="2" t="s">
        <v>6</v>
      </c>
      <c r="D746" s="4">
        <f ca="1">IFERROR(__xludf.DUMMYFUNCTION("B746*GOOGLEFINANCE(""CURRENCY:USDINR"")"),5394740759999.98)</f>
        <v>5394740759999.9805</v>
      </c>
      <c r="E746" s="3"/>
    </row>
    <row r="747" spans="1:5" x14ac:dyDescent="0.25">
      <c r="A747" s="6">
        <v>746</v>
      </c>
      <c r="B747" s="6">
        <v>71486190476.190308</v>
      </c>
      <c r="C747" s="2" t="s">
        <v>6</v>
      </c>
      <c r="D747" s="4">
        <f ca="1">IFERROR(__xludf.DUMMYFUNCTION("B747*GOOGLEFINANCE(""CURRENCY:USDINR"")"),5404355999999.98)</f>
        <v>5404355999999.9805</v>
      </c>
      <c r="E747" s="3"/>
    </row>
    <row r="748" spans="1:5" x14ac:dyDescent="0.25">
      <c r="A748" s="6">
        <v>747</v>
      </c>
      <c r="B748" s="6">
        <v>71613376190.475998</v>
      </c>
      <c r="C748" s="2" t="s">
        <v>6</v>
      </c>
      <c r="D748" s="4">
        <f ca="1">IFERROR(__xludf.DUMMYFUNCTION("B748*GOOGLEFINANCE(""CURRENCY:USDINR"")"),5413971239999.98)</f>
        <v>5413971239999.9805</v>
      </c>
      <c r="E748" s="3"/>
    </row>
    <row r="749" spans="1:5" x14ac:dyDescent="0.25">
      <c r="A749" s="6">
        <v>748</v>
      </c>
      <c r="B749" s="6">
        <v>71740561904.761795</v>
      </c>
      <c r="C749" s="2" t="s">
        <v>6</v>
      </c>
      <c r="D749" s="4">
        <f ca="1">IFERROR(__xludf.DUMMYFUNCTION("B749*GOOGLEFINANCE(""CURRENCY:USDINR"")"),5423586479999.99)</f>
        <v>5423586479999.9902</v>
      </c>
      <c r="E749" s="3"/>
    </row>
    <row r="750" spans="1:5" x14ac:dyDescent="0.25">
      <c r="A750" s="6">
        <v>749</v>
      </c>
      <c r="B750" s="6">
        <v>71867747619.047501</v>
      </c>
      <c r="C750" s="2" t="s">
        <v>6</v>
      </c>
      <c r="D750" s="4">
        <f ca="1">IFERROR(__xludf.DUMMYFUNCTION("B750*GOOGLEFINANCE(""CURRENCY:USDINR"")"),5433201719999.99)</f>
        <v>5433201719999.9902</v>
      </c>
      <c r="E750" s="3"/>
    </row>
    <row r="751" spans="1:5" x14ac:dyDescent="0.25">
      <c r="A751" s="6">
        <v>750</v>
      </c>
      <c r="B751" s="6">
        <v>71994933333.333206</v>
      </c>
      <c r="C751" s="2" t="s">
        <v>6</v>
      </c>
      <c r="D751" s="4">
        <f ca="1">IFERROR(__xludf.DUMMYFUNCTION("B751*GOOGLEFINANCE(""CURRENCY:USDINR"")"),5442816959999.99)</f>
        <v>5442816959999.9902</v>
      </c>
      <c r="E751" s="3"/>
    </row>
    <row r="752" spans="1:5" x14ac:dyDescent="0.25">
      <c r="A752" s="6">
        <v>751</v>
      </c>
      <c r="B752" s="6">
        <v>72122119047.618896</v>
      </c>
      <c r="C752" s="2" t="s">
        <v>6</v>
      </c>
      <c r="D752" s="4">
        <f ca="1">IFERROR(__xludf.DUMMYFUNCTION("B752*GOOGLEFINANCE(""CURRENCY:USDINR"")"),5452432199999.98)</f>
        <v>5452432199999.9805</v>
      </c>
      <c r="E752" s="3"/>
    </row>
    <row r="753" spans="1:5" x14ac:dyDescent="0.25">
      <c r="A753" s="6">
        <v>752</v>
      </c>
      <c r="B753" s="6">
        <v>72249304761.904602</v>
      </c>
      <c r="C753" s="2" t="s">
        <v>6</v>
      </c>
      <c r="D753" s="4">
        <f ca="1">IFERROR(__xludf.DUMMYFUNCTION("B753*GOOGLEFINANCE(""CURRENCY:USDINR"")"),5462047439999.98)</f>
        <v>5462047439999.9805</v>
      </c>
      <c r="E753" s="3"/>
    </row>
    <row r="754" spans="1:5" x14ac:dyDescent="0.25">
      <c r="A754" s="6">
        <v>753</v>
      </c>
      <c r="B754" s="6">
        <v>72376490476.190308</v>
      </c>
      <c r="C754" s="2" t="s">
        <v>6</v>
      </c>
      <c r="D754" s="4">
        <f ca="1">IFERROR(__xludf.DUMMYFUNCTION("B754*GOOGLEFINANCE(""CURRENCY:USDINR"")"),5471662679999.98)</f>
        <v>5471662679999.9805</v>
      </c>
      <c r="E754" s="3"/>
    </row>
    <row r="755" spans="1:5" x14ac:dyDescent="0.25">
      <c r="A755" s="6">
        <v>754</v>
      </c>
      <c r="B755" s="6">
        <v>72503676190.475998</v>
      </c>
      <c r="C755" s="2" t="s">
        <v>6</v>
      </c>
      <c r="D755" s="4">
        <f ca="1">IFERROR(__xludf.DUMMYFUNCTION("B755*GOOGLEFINANCE(""CURRENCY:USDINR"")"),5481277919999.98)</f>
        <v>5481277919999.9805</v>
      </c>
      <c r="E755" s="3"/>
    </row>
    <row r="756" spans="1:5" x14ac:dyDescent="0.25">
      <c r="A756" s="6">
        <v>755</v>
      </c>
      <c r="B756" s="6">
        <v>72630861904.761795</v>
      </c>
      <c r="C756" s="2" t="s">
        <v>6</v>
      </c>
      <c r="D756" s="4">
        <f ca="1">IFERROR(__xludf.DUMMYFUNCTION("B756*GOOGLEFINANCE(""CURRENCY:USDINR"")"),5490893159999.99)</f>
        <v>5490893159999.9902</v>
      </c>
      <c r="E756" s="3"/>
    </row>
    <row r="757" spans="1:5" x14ac:dyDescent="0.25">
      <c r="A757" s="6">
        <v>756</v>
      </c>
      <c r="B757" s="6">
        <v>72758047619.047501</v>
      </c>
      <c r="C757" s="2" t="s">
        <v>6</v>
      </c>
      <c r="D757" s="4">
        <f ca="1">IFERROR(__xludf.DUMMYFUNCTION("B757*GOOGLEFINANCE(""CURRENCY:USDINR"")"),5500508399999.99)</f>
        <v>5500508399999.9902</v>
      </c>
      <c r="E757" s="3"/>
    </row>
    <row r="758" spans="1:5" x14ac:dyDescent="0.25">
      <c r="A758" s="6">
        <v>757</v>
      </c>
      <c r="B758" s="6">
        <v>72885233333.333206</v>
      </c>
      <c r="C758" s="2" t="s">
        <v>6</v>
      </c>
      <c r="D758" s="4">
        <f ca="1">IFERROR(__xludf.DUMMYFUNCTION("B758*GOOGLEFINANCE(""CURRENCY:USDINR"")"),5510123639999.99)</f>
        <v>5510123639999.9902</v>
      </c>
      <c r="E758" s="3"/>
    </row>
    <row r="759" spans="1:5" x14ac:dyDescent="0.25">
      <c r="A759" s="6">
        <v>758</v>
      </c>
      <c r="B759" s="6">
        <v>73012419047.618896</v>
      </c>
      <c r="C759" s="2" t="s">
        <v>6</v>
      </c>
      <c r="D759" s="4">
        <f ca="1">IFERROR(__xludf.DUMMYFUNCTION("B759*GOOGLEFINANCE(""CURRENCY:USDINR"")"),5519738879999.98)</f>
        <v>5519738879999.9805</v>
      </c>
      <c r="E759" s="3"/>
    </row>
    <row r="760" spans="1:5" x14ac:dyDescent="0.25">
      <c r="A760" s="6">
        <v>759</v>
      </c>
      <c r="B760" s="6">
        <v>73139604761.904602</v>
      </c>
      <c r="C760" s="2" t="s">
        <v>6</v>
      </c>
      <c r="D760" s="4">
        <f ca="1">IFERROR(__xludf.DUMMYFUNCTION("B760*GOOGLEFINANCE(""CURRENCY:USDINR"")"),5529354119999.98)</f>
        <v>5529354119999.9805</v>
      </c>
      <c r="E760" s="3"/>
    </row>
    <row r="761" spans="1:5" x14ac:dyDescent="0.25">
      <c r="A761" s="6">
        <v>760</v>
      </c>
      <c r="B761" s="6">
        <v>73266790476.190308</v>
      </c>
      <c r="C761" s="2" t="s">
        <v>6</v>
      </c>
      <c r="D761" s="4">
        <f ca="1">IFERROR(__xludf.DUMMYFUNCTION("B761*GOOGLEFINANCE(""CURRENCY:USDINR"")"),5538969359999.98)</f>
        <v>5538969359999.9805</v>
      </c>
      <c r="E761" s="3"/>
    </row>
    <row r="762" spans="1:5" x14ac:dyDescent="0.25">
      <c r="A762" s="6">
        <v>761</v>
      </c>
      <c r="B762" s="6">
        <v>73393976190.475998</v>
      </c>
      <c r="C762" s="2" t="s">
        <v>6</v>
      </c>
      <c r="D762" s="4">
        <f ca="1">IFERROR(__xludf.DUMMYFUNCTION("B762*GOOGLEFINANCE(""CURRENCY:USDINR"")"),5548584599999.98)</f>
        <v>5548584599999.9805</v>
      </c>
      <c r="E762" s="3"/>
    </row>
    <row r="763" spans="1:5" x14ac:dyDescent="0.25">
      <c r="A763" s="6">
        <v>762</v>
      </c>
      <c r="B763" s="6">
        <v>73521161904.761795</v>
      </c>
      <c r="C763" s="2" t="s">
        <v>6</v>
      </c>
      <c r="D763" s="4">
        <f ca="1">IFERROR(__xludf.DUMMYFUNCTION("B763*GOOGLEFINANCE(""CURRENCY:USDINR"")"),5558199839999.99)</f>
        <v>5558199839999.9902</v>
      </c>
      <c r="E763" s="3"/>
    </row>
    <row r="764" spans="1:5" x14ac:dyDescent="0.25">
      <c r="A764" s="6">
        <v>763</v>
      </c>
      <c r="B764" s="6">
        <v>73648347619.047501</v>
      </c>
      <c r="C764" s="2" t="s">
        <v>6</v>
      </c>
      <c r="D764" s="4">
        <f ca="1">IFERROR(__xludf.DUMMYFUNCTION("B764*GOOGLEFINANCE(""CURRENCY:USDINR"")"),5567815079999.99)</f>
        <v>5567815079999.9902</v>
      </c>
      <c r="E764" s="3"/>
    </row>
    <row r="765" spans="1:5" x14ac:dyDescent="0.25">
      <c r="A765" s="6">
        <v>764</v>
      </c>
      <c r="B765" s="6">
        <v>73775533333.333206</v>
      </c>
      <c r="C765" s="2" t="s">
        <v>6</v>
      </c>
      <c r="D765" s="4">
        <f ca="1">IFERROR(__xludf.DUMMYFUNCTION("B765*GOOGLEFINANCE(""CURRENCY:USDINR"")"),5577430319999.99)</f>
        <v>5577430319999.9902</v>
      </c>
      <c r="E765" s="3"/>
    </row>
    <row r="766" spans="1:5" x14ac:dyDescent="0.25">
      <c r="A766" s="6">
        <v>765</v>
      </c>
      <c r="B766" s="6">
        <v>73902719047.618896</v>
      </c>
      <c r="C766" s="2" t="s">
        <v>6</v>
      </c>
      <c r="D766" s="4">
        <f ca="1">IFERROR(__xludf.DUMMYFUNCTION("B766*GOOGLEFINANCE(""CURRENCY:USDINR"")"),5587045559999.98)</f>
        <v>5587045559999.9805</v>
      </c>
      <c r="E766" s="3"/>
    </row>
    <row r="767" spans="1:5" x14ac:dyDescent="0.25">
      <c r="A767" s="6">
        <v>766</v>
      </c>
      <c r="B767" s="6">
        <v>74029904761.904602</v>
      </c>
      <c r="C767" s="2" t="s">
        <v>6</v>
      </c>
      <c r="D767" s="4">
        <f ca="1">IFERROR(__xludf.DUMMYFUNCTION("B767*GOOGLEFINANCE(""CURRENCY:USDINR"")"),5596660799999.98)</f>
        <v>5596660799999.9805</v>
      </c>
      <c r="E767" s="3"/>
    </row>
    <row r="768" spans="1:5" x14ac:dyDescent="0.25">
      <c r="A768" s="6">
        <v>767</v>
      </c>
      <c r="B768" s="6">
        <v>74157090476.190308</v>
      </c>
      <c r="C768" s="2" t="s">
        <v>6</v>
      </c>
      <c r="D768" s="4">
        <f ca="1">IFERROR(__xludf.DUMMYFUNCTION("B768*GOOGLEFINANCE(""CURRENCY:USDINR"")"),5606276039999.98)</f>
        <v>5606276039999.9805</v>
      </c>
      <c r="E768" s="3"/>
    </row>
    <row r="769" spans="1:5" x14ac:dyDescent="0.25">
      <c r="A769" s="6">
        <v>768</v>
      </c>
      <c r="B769" s="6">
        <v>74284276190.475998</v>
      </c>
      <c r="C769" s="2" t="s">
        <v>6</v>
      </c>
      <c r="D769" s="4">
        <f ca="1">IFERROR(__xludf.DUMMYFUNCTION("B769*GOOGLEFINANCE(""CURRENCY:USDINR"")"),5615891279999.98)</f>
        <v>5615891279999.9805</v>
      </c>
      <c r="E769" s="3"/>
    </row>
    <row r="770" spans="1:5" x14ac:dyDescent="0.25">
      <c r="A770" s="6">
        <v>769</v>
      </c>
      <c r="B770" s="6">
        <v>74411461904.761795</v>
      </c>
      <c r="C770" s="2" t="s">
        <v>6</v>
      </c>
      <c r="D770" s="4">
        <f ca="1">IFERROR(__xludf.DUMMYFUNCTION("B770*GOOGLEFINANCE(""CURRENCY:USDINR"")"),5625506519999.99)</f>
        <v>5625506519999.9902</v>
      </c>
      <c r="E770" s="3"/>
    </row>
    <row r="771" spans="1:5" x14ac:dyDescent="0.25">
      <c r="A771" s="6">
        <v>770</v>
      </c>
      <c r="B771" s="6">
        <v>74538647619.047501</v>
      </c>
      <c r="C771" s="2" t="s">
        <v>6</v>
      </c>
      <c r="D771" s="4">
        <f ca="1">IFERROR(__xludf.DUMMYFUNCTION("B771*GOOGLEFINANCE(""CURRENCY:USDINR"")"),5635121759999.99)</f>
        <v>5635121759999.9902</v>
      </c>
      <c r="E771" s="3"/>
    </row>
    <row r="772" spans="1:5" x14ac:dyDescent="0.25">
      <c r="A772" s="6">
        <v>771</v>
      </c>
      <c r="B772" s="6">
        <v>74665833333.333206</v>
      </c>
      <c r="C772" s="2" t="s">
        <v>6</v>
      </c>
      <c r="D772" s="4">
        <f ca="1">IFERROR(__xludf.DUMMYFUNCTION("B772*GOOGLEFINANCE(""CURRENCY:USDINR"")"),5644736999999.99)</f>
        <v>5644736999999.9902</v>
      </c>
      <c r="E772" s="3"/>
    </row>
    <row r="773" spans="1:5" x14ac:dyDescent="0.25">
      <c r="A773" s="6">
        <v>772</v>
      </c>
      <c r="B773" s="6">
        <v>74793019047.618896</v>
      </c>
      <c r="C773" s="2" t="s">
        <v>6</v>
      </c>
      <c r="D773" s="4">
        <f ca="1">IFERROR(__xludf.DUMMYFUNCTION("B773*GOOGLEFINANCE(""CURRENCY:USDINR"")"),5654352239999.98)</f>
        <v>5654352239999.9805</v>
      </c>
      <c r="E773" s="3"/>
    </row>
    <row r="774" spans="1:5" x14ac:dyDescent="0.25">
      <c r="A774" s="6">
        <v>773</v>
      </c>
      <c r="B774" s="6">
        <v>74920204761.904602</v>
      </c>
      <c r="C774" s="2" t="s">
        <v>6</v>
      </c>
      <c r="D774" s="4">
        <f ca="1">IFERROR(__xludf.DUMMYFUNCTION("B774*GOOGLEFINANCE(""CURRENCY:USDINR"")"),5663967479999.98)</f>
        <v>5663967479999.9805</v>
      </c>
      <c r="E774" s="3"/>
    </row>
    <row r="775" spans="1:5" x14ac:dyDescent="0.25">
      <c r="A775" s="6">
        <v>774</v>
      </c>
      <c r="B775" s="6">
        <v>75047390476.190308</v>
      </c>
      <c r="C775" s="2" t="s">
        <v>6</v>
      </c>
      <c r="D775" s="4">
        <f ca="1">IFERROR(__xludf.DUMMYFUNCTION("B775*GOOGLEFINANCE(""CURRENCY:USDINR"")"),5673582719999.98)</f>
        <v>5673582719999.9805</v>
      </c>
      <c r="E775" s="3"/>
    </row>
    <row r="776" spans="1:5" x14ac:dyDescent="0.25">
      <c r="A776" s="6">
        <v>775</v>
      </c>
      <c r="B776" s="6">
        <v>75174576190.475998</v>
      </c>
      <c r="C776" s="2" t="s">
        <v>6</v>
      </c>
      <c r="D776" s="4">
        <f ca="1">IFERROR(__xludf.DUMMYFUNCTION("B776*GOOGLEFINANCE(""CURRENCY:USDINR"")"),5683197959999.98)</f>
        <v>5683197959999.9805</v>
      </c>
      <c r="E776" s="3"/>
    </row>
    <row r="777" spans="1:5" x14ac:dyDescent="0.25">
      <c r="A777" s="6">
        <v>776</v>
      </c>
      <c r="B777" s="6">
        <v>75301761904.761795</v>
      </c>
      <c r="C777" s="2" t="s">
        <v>6</v>
      </c>
      <c r="D777" s="4">
        <f ca="1">IFERROR(__xludf.DUMMYFUNCTION("B777*GOOGLEFINANCE(""CURRENCY:USDINR"")"),5692813199999.99)</f>
        <v>5692813199999.9902</v>
      </c>
      <c r="E777" s="3"/>
    </row>
    <row r="778" spans="1:5" x14ac:dyDescent="0.25">
      <c r="A778" s="6">
        <v>777</v>
      </c>
      <c r="B778" s="6">
        <v>75428947619.047501</v>
      </c>
      <c r="C778" s="2" t="s">
        <v>6</v>
      </c>
      <c r="D778" s="4">
        <f ca="1">IFERROR(__xludf.DUMMYFUNCTION("B778*GOOGLEFINANCE(""CURRENCY:USDINR"")"),5702428439999.99)</f>
        <v>5702428439999.9902</v>
      </c>
      <c r="E778" s="3"/>
    </row>
    <row r="779" spans="1:5" x14ac:dyDescent="0.25">
      <c r="A779" s="6">
        <v>778</v>
      </c>
      <c r="B779" s="6">
        <v>75556133333.333206</v>
      </c>
      <c r="C779" s="2" t="s">
        <v>6</v>
      </c>
      <c r="D779" s="4">
        <f ca="1">IFERROR(__xludf.DUMMYFUNCTION("B779*GOOGLEFINANCE(""CURRENCY:USDINR"")"),5712043679999.99)</f>
        <v>5712043679999.9902</v>
      </c>
      <c r="E779" s="3"/>
    </row>
    <row r="780" spans="1:5" x14ac:dyDescent="0.25">
      <c r="A780" s="6">
        <v>779</v>
      </c>
      <c r="B780" s="6">
        <v>75683319047.618896</v>
      </c>
      <c r="C780" s="2" t="s">
        <v>6</v>
      </c>
      <c r="D780" s="4">
        <f ca="1">IFERROR(__xludf.DUMMYFUNCTION("B780*GOOGLEFINANCE(""CURRENCY:USDINR"")"),5721658919999.98)</f>
        <v>5721658919999.9805</v>
      </c>
      <c r="E780" s="3"/>
    </row>
    <row r="781" spans="1:5" x14ac:dyDescent="0.25">
      <c r="A781" s="6">
        <v>780</v>
      </c>
      <c r="B781" s="6">
        <v>75810504761.904602</v>
      </c>
      <c r="C781" s="2" t="s">
        <v>6</v>
      </c>
      <c r="D781" s="4">
        <f ca="1">IFERROR(__xludf.DUMMYFUNCTION("B781*GOOGLEFINANCE(""CURRENCY:USDINR"")"),5731274159999.98)</f>
        <v>5731274159999.9805</v>
      </c>
      <c r="E781" s="3"/>
    </row>
    <row r="782" spans="1:5" x14ac:dyDescent="0.25">
      <c r="A782" s="6">
        <v>781</v>
      </c>
      <c r="B782" s="6">
        <v>75937690476.190308</v>
      </c>
      <c r="C782" s="2" t="s">
        <v>6</v>
      </c>
      <c r="D782" s="4">
        <f ca="1">IFERROR(__xludf.DUMMYFUNCTION("B782*GOOGLEFINANCE(""CURRENCY:USDINR"")"),5740889399999.98)</f>
        <v>5740889399999.9805</v>
      </c>
      <c r="E782" s="3"/>
    </row>
    <row r="783" spans="1:5" x14ac:dyDescent="0.25">
      <c r="A783" s="6">
        <v>782</v>
      </c>
      <c r="B783" s="6">
        <v>76064876190.475998</v>
      </c>
      <c r="C783" s="2" t="s">
        <v>6</v>
      </c>
      <c r="D783" s="4">
        <f ca="1">IFERROR(__xludf.DUMMYFUNCTION("B783*GOOGLEFINANCE(""CURRENCY:USDINR"")"),5750504639999.98)</f>
        <v>5750504639999.9805</v>
      </c>
      <c r="E783" s="3"/>
    </row>
    <row r="784" spans="1:5" x14ac:dyDescent="0.25">
      <c r="A784" s="6">
        <v>783</v>
      </c>
      <c r="B784" s="6">
        <v>76192061904.761795</v>
      </c>
      <c r="C784" s="2" t="s">
        <v>6</v>
      </c>
      <c r="D784" s="4">
        <f ca="1">IFERROR(__xludf.DUMMYFUNCTION("B784*GOOGLEFINANCE(""CURRENCY:USDINR"")"),5760119879999.99)</f>
        <v>5760119879999.9902</v>
      </c>
      <c r="E784" s="3"/>
    </row>
    <row r="785" spans="1:5" x14ac:dyDescent="0.25">
      <c r="A785" s="6">
        <v>784</v>
      </c>
      <c r="B785" s="6">
        <v>76319247619.047501</v>
      </c>
      <c r="C785" s="2" t="s">
        <v>6</v>
      </c>
      <c r="D785" s="4">
        <f ca="1">IFERROR(__xludf.DUMMYFUNCTION("B785*GOOGLEFINANCE(""CURRENCY:USDINR"")"),5769735119999.99)</f>
        <v>5769735119999.9902</v>
      </c>
      <c r="E785" s="3"/>
    </row>
    <row r="786" spans="1:5" x14ac:dyDescent="0.25">
      <c r="A786" s="6">
        <v>785</v>
      </c>
      <c r="B786" s="6">
        <v>76446433333.333206</v>
      </c>
      <c r="C786" s="2" t="s">
        <v>6</v>
      </c>
      <c r="D786" s="4">
        <f ca="1">IFERROR(__xludf.DUMMYFUNCTION("B786*GOOGLEFINANCE(""CURRENCY:USDINR"")"),5779350359999.99)</f>
        <v>5779350359999.9902</v>
      </c>
      <c r="E786" s="3"/>
    </row>
    <row r="787" spans="1:5" x14ac:dyDescent="0.25">
      <c r="A787" s="6">
        <v>786</v>
      </c>
      <c r="B787" s="6">
        <v>76573619047.618896</v>
      </c>
      <c r="C787" s="2" t="s">
        <v>6</v>
      </c>
      <c r="D787" s="4">
        <f ca="1">IFERROR(__xludf.DUMMYFUNCTION("B787*GOOGLEFINANCE(""CURRENCY:USDINR"")"),5788965599999.98)</f>
        <v>5788965599999.9805</v>
      </c>
      <c r="E787" s="3"/>
    </row>
    <row r="788" spans="1:5" x14ac:dyDescent="0.25">
      <c r="A788" s="6">
        <v>787</v>
      </c>
      <c r="B788" s="6">
        <v>76700804761.904602</v>
      </c>
      <c r="C788" s="2" t="s">
        <v>6</v>
      </c>
      <c r="D788" s="4">
        <f ca="1">IFERROR(__xludf.DUMMYFUNCTION("B788*GOOGLEFINANCE(""CURRENCY:USDINR"")"),5798580839999.98)</f>
        <v>5798580839999.9805</v>
      </c>
      <c r="E788" s="3"/>
    </row>
    <row r="789" spans="1:5" x14ac:dyDescent="0.25">
      <c r="A789" s="6">
        <v>788</v>
      </c>
      <c r="B789" s="6">
        <v>76827990476.190308</v>
      </c>
      <c r="C789" s="2" t="s">
        <v>6</v>
      </c>
      <c r="D789" s="4">
        <f ca="1">IFERROR(__xludf.DUMMYFUNCTION("B789*GOOGLEFINANCE(""CURRENCY:USDINR"")"),5808196079999.98)</f>
        <v>5808196079999.9805</v>
      </c>
      <c r="E789" s="3"/>
    </row>
    <row r="790" spans="1:5" x14ac:dyDescent="0.25">
      <c r="A790" s="6">
        <v>789</v>
      </c>
      <c r="B790" s="6">
        <v>76955176190.475998</v>
      </c>
      <c r="C790" s="2" t="s">
        <v>6</v>
      </c>
      <c r="D790" s="4">
        <f ca="1">IFERROR(__xludf.DUMMYFUNCTION("B790*GOOGLEFINANCE(""CURRENCY:USDINR"")"),5817811319999.98)</f>
        <v>5817811319999.9805</v>
      </c>
      <c r="E790" s="3"/>
    </row>
    <row r="791" spans="1:5" x14ac:dyDescent="0.25">
      <c r="A791" s="6">
        <v>790</v>
      </c>
      <c r="B791" s="6">
        <v>77082361904.761795</v>
      </c>
      <c r="C791" s="2" t="s">
        <v>6</v>
      </c>
      <c r="D791" s="4">
        <f ca="1">IFERROR(__xludf.DUMMYFUNCTION("B791*GOOGLEFINANCE(""CURRENCY:USDINR"")"),5827426559999.99)</f>
        <v>5827426559999.9902</v>
      </c>
      <c r="E791" s="3"/>
    </row>
    <row r="792" spans="1:5" x14ac:dyDescent="0.25">
      <c r="A792" s="6">
        <v>791</v>
      </c>
      <c r="B792" s="6">
        <v>77209547619.047501</v>
      </c>
      <c r="C792" s="2" t="s">
        <v>6</v>
      </c>
      <c r="D792" s="4">
        <f ca="1">IFERROR(__xludf.DUMMYFUNCTION("B792*GOOGLEFINANCE(""CURRENCY:USDINR"")"),5837041799999.99)</f>
        <v>5837041799999.9902</v>
      </c>
      <c r="E792" s="3"/>
    </row>
    <row r="793" spans="1:5" x14ac:dyDescent="0.25">
      <c r="A793" s="6">
        <v>792</v>
      </c>
      <c r="B793" s="6">
        <v>77336733333.333206</v>
      </c>
      <c r="C793" s="2" t="s">
        <v>6</v>
      </c>
      <c r="D793" s="4">
        <f ca="1">IFERROR(__xludf.DUMMYFUNCTION("B793*GOOGLEFINANCE(""CURRENCY:USDINR"")"),5846657039999.99)</f>
        <v>5846657039999.9902</v>
      </c>
      <c r="E793" s="3"/>
    </row>
    <row r="794" spans="1:5" x14ac:dyDescent="0.25">
      <c r="A794" s="6">
        <v>793</v>
      </c>
      <c r="B794" s="6">
        <v>77463919047.618896</v>
      </c>
      <c r="C794" s="2" t="s">
        <v>6</v>
      </c>
      <c r="D794" s="4">
        <f ca="1">IFERROR(__xludf.DUMMYFUNCTION("B794*GOOGLEFINANCE(""CURRENCY:USDINR"")"),5856272279999.98)</f>
        <v>5856272279999.9805</v>
      </c>
      <c r="E794" s="3"/>
    </row>
    <row r="795" spans="1:5" x14ac:dyDescent="0.25">
      <c r="A795" s="6">
        <v>794</v>
      </c>
      <c r="B795" s="6">
        <v>77591104761.904602</v>
      </c>
      <c r="C795" s="2" t="s">
        <v>6</v>
      </c>
      <c r="D795" s="4">
        <f ca="1">IFERROR(__xludf.DUMMYFUNCTION("B795*GOOGLEFINANCE(""CURRENCY:USDINR"")"),5865887519999.98)</f>
        <v>5865887519999.9805</v>
      </c>
      <c r="E795" s="3"/>
    </row>
    <row r="796" spans="1:5" x14ac:dyDescent="0.25">
      <c r="A796" s="6">
        <v>795</v>
      </c>
      <c r="B796" s="6">
        <v>77718290476.190308</v>
      </c>
      <c r="C796" s="2" t="s">
        <v>6</v>
      </c>
      <c r="D796" s="4">
        <f ca="1">IFERROR(__xludf.DUMMYFUNCTION("B796*GOOGLEFINANCE(""CURRENCY:USDINR"")"),5875502759999.98)</f>
        <v>5875502759999.9805</v>
      </c>
      <c r="E796" s="3"/>
    </row>
    <row r="797" spans="1:5" x14ac:dyDescent="0.25">
      <c r="A797" s="6">
        <v>796</v>
      </c>
      <c r="B797" s="6">
        <v>77845476190.475998</v>
      </c>
      <c r="C797" s="2" t="s">
        <v>6</v>
      </c>
      <c r="D797" s="4">
        <f ca="1">IFERROR(__xludf.DUMMYFUNCTION("B797*GOOGLEFINANCE(""CURRENCY:USDINR"")"),5885117999999.98)</f>
        <v>5885117999999.9805</v>
      </c>
      <c r="E797" s="3"/>
    </row>
    <row r="798" spans="1:5" x14ac:dyDescent="0.25">
      <c r="A798" s="6">
        <v>797</v>
      </c>
      <c r="B798" s="6">
        <v>77972661904.761703</v>
      </c>
      <c r="C798" s="2" t="s">
        <v>6</v>
      </c>
      <c r="D798" s="4">
        <f ca="1">IFERROR(__xludf.DUMMYFUNCTION("B798*GOOGLEFINANCE(""CURRENCY:USDINR"")"),5894733239999.98)</f>
        <v>5894733239999.9805</v>
      </c>
      <c r="E798" s="3"/>
    </row>
    <row r="799" spans="1:5" x14ac:dyDescent="0.25">
      <c r="A799" s="6">
        <v>798</v>
      </c>
      <c r="B799" s="6">
        <v>78099847619.047501</v>
      </c>
      <c r="C799" s="2" t="s">
        <v>6</v>
      </c>
      <c r="D799" s="4">
        <f ca="1">IFERROR(__xludf.DUMMYFUNCTION("B799*GOOGLEFINANCE(""CURRENCY:USDINR"")"),5904348479999.99)</f>
        <v>5904348479999.9902</v>
      </c>
      <c r="E799" s="3"/>
    </row>
    <row r="800" spans="1:5" x14ac:dyDescent="0.25">
      <c r="A800" s="6">
        <v>799</v>
      </c>
      <c r="B800" s="6">
        <v>78227033333.333206</v>
      </c>
      <c r="C800" s="2" t="s">
        <v>6</v>
      </c>
      <c r="D800" s="4">
        <f ca="1">IFERROR(__xludf.DUMMYFUNCTION("B800*GOOGLEFINANCE(""CURRENCY:USDINR"")"),5913963719999.99)</f>
        <v>5913963719999.9902</v>
      </c>
      <c r="E800" s="3"/>
    </row>
    <row r="801" spans="1:5" x14ac:dyDescent="0.25">
      <c r="A801" s="6">
        <v>800</v>
      </c>
      <c r="B801" s="6">
        <v>78354219047.618896</v>
      </c>
      <c r="C801" s="2" t="s">
        <v>6</v>
      </c>
      <c r="D801" s="4">
        <f ca="1">IFERROR(__xludf.DUMMYFUNCTION("B801*GOOGLEFINANCE(""CURRENCY:USDINR"")"),5923578959999.98)</f>
        <v>5923578959999.9805</v>
      </c>
      <c r="E801" s="3"/>
    </row>
    <row r="802" spans="1:5" x14ac:dyDescent="0.25">
      <c r="A802" s="6">
        <v>801</v>
      </c>
      <c r="B802" s="6">
        <v>78481404761.904602</v>
      </c>
      <c r="C802" s="2" t="s">
        <v>6</v>
      </c>
      <c r="D802" s="4">
        <f ca="1">IFERROR(__xludf.DUMMYFUNCTION("B802*GOOGLEFINANCE(""CURRENCY:USDINR"")"),5933194199999.98)</f>
        <v>5933194199999.9805</v>
      </c>
      <c r="E802" s="3"/>
    </row>
    <row r="803" spans="1:5" x14ac:dyDescent="0.25">
      <c r="A803" s="6">
        <v>802</v>
      </c>
      <c r="B803" s="6">
        <v>78608590476.190308</v>
      </c>
      <c r="C803" s="2" t="s">
        <v>6</v>
      </c>
      <c r="D803" s="4">
        <f ca="1">IFERROR(__xludf.DUMMYFUNCTION("B803*GOOGLEFINANCE(""CURRENCY:USDINR"")"),5942809439999.98)</f>
        <v>5942809439999.9805</v>
      </c>
      <c r="E803" s="3"/>
    </row>
    <row r="804" spans="1:5" x14ac:dyDescent="0.25">
      <c r="A804" s="6">
        <v>803</v>
      </c>
      <c r="B804" s="6">
        <v>78735776190.475998</v>
      </c>
      <c r="C804" s="2" t="s">
        <v>6</v>
      </c>
      <c r="D804" s="4">
        <f ca="1">IFERROR(__xludf.DUMMYFUNCTION("B804*GOOGLEFINANCE(""CURRENCY:USDINR"")"),5952424679999.98)</f>
        <v>5952424679999.9805</v>
      </c>
      <c r="E804" s="3"/>
    </row>
    <row r="805" spans="1:5" x14ac:dyDescent="0.25">
      <c r="A805" s="6">
        <v>804</v>
      </c>
      <c r="B805" s="6">
        <v>78862961904.761703</v>
      </c>
      <c r="C805" s="2" t="s">
        <v>6</v>
      </c>
      <c r="D805" s="4">
        <f ca="1">IFERROR(__xludf.DUMMYFUNCTION("B805*GOOGLEFINANCE(""CURRENCY:USDINR"")"),5962039919999.98)</f>
        <v>5962039919999.9805</v>
      </c>
      <c r="E805" s="3"/>
    </row>
    <row r="806" spans="1:5" x14ac:dyDescent="0.25">
      <c r="A806" s="6">
        <v>805</v>
      </c>
      <c r="B806" s="6">
        <v>78990147619.047501</v>
      </c>
      <c r="C806" s="2" t="s">
        <v>6</v>
      </c>
      <c r="D806" s="4">
        <f ca="1">IFERROR(__xludf.DUMMYFUNCTION("B806*GOOGLEFINANCE(""CURRENCY:USDINR"")"),5971655159999.99)</f>
        <v>5971655159999.9902</v>
      </c>
      <c r="E806" s="3"/>
    </row>
    <row r="807" spans="1:5" x14ac:dyDescent="0.25">
      <c r="A807" s="6">
        <v>806</v>
      </c>
      <c r="B807" s="6">
        <v>79117333333.333206</v>
      </c>
      <c r="C807" s="2" t="s">
        <v>6</v>
      </c>
      <c r="D807" s="4">
        <f ca="1">IFERROR(__xludf.DUMMYFUNCTION("B807*GOOGLEFINANCE(""CURRENCY:USDINR"")"),5981270399999.99)</f>
        <v>5981270399999.9902</v>
      </c>
      <c r="E807" s="3"/>
    </row>
    <row r="808" spans="1:5" x14ac:dyDescent="0.25">
      <c r="A808" s="6">
        <v>807</v>
      </c>
      <c r="B808" s="6">
        <v>79244519047.618896</v>
      </c>
      <c r="C808" s="2" t="s">
        <v>6</v>
      </c>
      <c r="D808" s="4">
        <f ca="1">IFERROR(__xludf.DUMMYFUNCTION("B808*GOOGLEFINANCE(""CURRENCY:USDINR"")"),5990885639999.98)</f>
        <v>5990885639999.9805</v>
      </c>
      <c r="E808" s="3"/>
    </row>
    <row r="809" spans="1:5" x14ac:dyDescent="0.25">
      <c r="A809" s="6">
        <v>808</v>
      </c>
      <c r="B809" s="6">
        <v>79371704761.904602</v>
      </c>
      <c r="C809" s="2" t="s">
        <v>6</v>
      </c>
      <c r="D809" s="4">
        <f ca="1">IFERROR(__xludf.DUMMYFUNCTION("B809*GOOGLEFINANCE(""CURRENCY:USDINR"")"),6000500879999.98)</f>
        <v>6000500879999.9805</v>
      </c>
      <c r="E809" s="3"/>
    </row>
    <row r="810" spans="1:5" x14ac:dyDescent="0.25">
      <c r="A810" s="6">
        <v>809</v>
      </c>
      <c r="B810" s="6">
        <v>79498890476.190308</v>
      </c>
      <c r="C810" s="2" t="s">
        <v>6</v>
      </c>
      <c r="D810" s="4">
        <f ca="1">IFERROR(__xludf.DUMMYFUNCTION("B810*GOOGLEFINANCE(""CURRENCY:USDINR"")"),6010116119999.98)</f>
        <v>6010116119999.9805</v>
      </c>
      <c r="E810" s="3"/>
    </row>
    <row r="811" spans="1:5" x14ac:dyDescent="0.25">
      <c r="A811" s="6">
        <v>810</v>
      </c>
      <c r="B811" s="6">
        <v>79626076190.475998</v>
      </c>
      <c r="C811" s="2" t="s">
        <v>6</v>
      </c>
      <c r="D811" s="4">
        <f ca="1">IFERROR(__xludf.DUMMYFUNCTION("B811*GOOGLEFINANCE(""CURRENCY:USDINR"")"),6019731359999.98)</f>
        <v>6019731359999.9805</v>
      </c>
      <c r="E811" s="3"/>
    </row>
    <row r="812" spans="1:5" x14ac:dyDescent="0.25">
      <c r="A812" s="6">
        <v>811</v>
      </c>
      <c r="B812" s="6">
        <v>79753261904.761703</v>
      </c>
      <c r="C812" s="2" t="s">
        <v>6</v>
      </c>
      <c r="D812" s="4">
        <f ca="1">IFERROR(__xludf.DUMMYFUNCTION("B812*GOOGLEFINANCE(""CURRENCY:USDINR"")"),6029346599999.98)</f>
        <v>6029346599999.9805</v>
      </c>
      <c r="E812" s="3"/>
    </row>
    <row r="813" spans="1:5" x14ac:dyDescent="0.25">
      <c r="A813" s="6">
        <v>812</v>
      </c>
      <c r="B813" s="6">
        <v>79880447619.047501</v>
      </c>
      <c r="C813" s="2" t="s">
        <v>6</v>
      </c>
      <c r="D813" s="4">
        <f ca="1">IFERROR(__xludf.DUMMYFUNCTION("B813*GOOGLEFINANCE(""CURRENCY:USDINR"")"),6038961839999.99)</f>
        <v>6038961839999.9902</v>
      </c>
      <c r="E813" s="3"/>
    </row>
    <row r="814" spans="1:5" x14ac:dyDescent="0.25">
      <c r="A814" s="6">
        <v>813</v>
      </c>
      <c r="B814" s="6">
        <v>80007633333.333206</v>
      </c>
      <c r="C814" s="2" t="s">
        <v>6</v>
      </c>
      <c r="D814" s="4">
        <f ca="1">IFERROR(__xludf.DUMMYFUNCTION("B814*GOOGLEFINANCE(""CURRENCY:USDINR"")"),6048577079999.99)</f>
        <v>6048577079999.9902</v>
      </c>
      <c r="E814" s="3"/>
    </row>
    <row r="815" spans="1:5" x14ac:dyDescent="0.25">
      <c r="A815" s="6">
        <v>814</v>
      </c>
      <c r="B815" s="6">
        <v>80134819047.618896</v>
      </c>
      <c r="C815" s="2" t="s">
        <v>6</v>
      </c>
      <c r="D815" s="4">
        <f ca="1">IFERROR(__xludf.DUMMYFUNCTION("B815*GOOGLEFINANCE(""CURRENCY:USDINR"")"),6058192319999.98)</f>
        <v>6058192319999.9805</v>
      </c>
      <c r="E815" s="3"/>
    </row>
    <row r="816" spans="1:5" x14ac:dyDescent="0.25">
      <c r="A816" s="6">
        <v>815</v>
      </c>
      <c r="B816" s="6">
        <v>80262004761.904602</v>
      </c>
      <c r="C816" s="2" t="s">
        <v>6</v>
      </c>
      <c r="D816" s="4">
        <f ca="1">IFERROR(__xludf.DUMMYFUNCTION("B816*GOOGLEFINANCE(""CURRENCY:USDINR"")"),6067807559999.98)</f>
        <v>6067807559999.9805</v>
      </c>
      <c r="E816" s="3"/>
    </row>
    <row r="817" spans="1:5" x14ac:dyDescent="0.25">
      <c r="A817" s="6">
        <v>816</v>
      </c>
      <c r="B817" s="6">
        <v>80389190476.190308</v>
      </c>
      <c r="C817" s="2" t="s">
        <v>6</v>
      </c>
      <c r="D817" s="4">
        <f ca="1">IFERROR(__xludf.DUMMYFUNCTION("B817*GOOGLEFINANCE(""CURRENCY:USDINR"")"),6077422799999.98)</f>
        <v>6077422799999.9805</v>
      </c>
      <c r="E817" s="3"/>
    </row>
    <row r="818" spans="1:5" x14ac:dyDescent="0.25">
      <c r="A818" s="6">
        <v>817</v>
      </c>
      <c r="B818" s="6">
        <v>80516376190.475998</v>
      </c>
      <c r="C818" s="2" t="s">
        <v>6</v>
      </c>
      <c r="D818" s="4">
        <f ca="1">IFERROR(__xludf.DUMMYFUNCTION("B818*GOOGLEFINANCE(""CURRENCY:USDINR"")"),6087038039999.98)</f>
        <v>6087038039999.9805</v>
      </c>
      <c r="E818" s="3"/>
    </row>
    <row r="819" spans="1:5" x14ac:dyDescent="0.25">
      <c r="A819" s="6">
        <v>818</v>
      </c>
      <c r="B819" s="6">
        <v>80643561904.761703</v>
      </c>
      <c r="C819" s="2" t="s">
        <v>6</v>
      </c>
      <c r="D819" s="4">
        <f ca="1">IFERROR(__xludf.DUMMYFUNCTION("B819*GOOGLEFINANCE(""CURRENCY:USDINR"")"),6096653279999.98)</f>
        <v>6096653279999.9805</v>
      </c>
      <c r="E819" s="3"/>
    </row>
    <row r="820" spans="1:5" x14ac:dyDescent="0.25">
      <c r="A820" s="6">
        <v>819</v>
      </c>
      <c r="B820" s="6">
        <v>80770747619.047501</v>
      </c>
      <c r="C820" s="2" t="s">
        <v>6</v>
      </c>
      <c r="D820" s="4">
        <f ca="1">IFERROR(__xludf.DUMMYFUNCTION("B820*GOOGLEFINANCE(""CURRENCY:USDINR"")"),6106268519999.99)</f>
        <v>6106268519999.9902</v>
      </c>
      <c r="E820" s="3"/>
    </row>
    <row r="821" spans="1:5" x14ac:dyDescent="0.25">
      <c r="A821" s="6">
        <v>820</v>
      </c>
      <c r="B821" s="6">
        <v>80897933333.333206</v>
      </c>
      <c r="C821" s="2" t="s">
        <v>6</v>
      </c>
      <c r="D821" s="4">
        <f ca="1">IFERROR(__xludf.DUMMYFUNCTION("B821*GOOGLEFINANCE(""CURRENCY:USDINR"")"),6115883759999.99)</f>
        <v>6115883759999.9902</v>
      </c>
      <c r="E821" s="3"/>
    </row>
    <row r="822" spans="1:5" x14ac:dyDescent="0.25">
      <c r="A822" s="6">
        <v>821</v>
      </c>
      <c r="B822" s="6">
        <v>81025119047.618896</v>
      </c>
      <c r="C822" s="2" t="s">
        <v>6</v>
      </c>
      <c r="D822" s="4">
        <f ca="1">IFERROR(__xludf.DUMMYFUNCTION("B822*GOOGLEFINANCE(""CURRENCY:USDINR"")"),6125498999999.98)</f>
        <v>6125498999999.9805</v>
      </c>
      <c r="E822" s="3"/>
    </row>
    <row r="823" spans="1:5" x14ac:dyDescent="0.25">
      <c r="A823" s="6">
        <v>822</v>
      </c>
      <c r="B823" s="6">
        <v>81152304761.904602</v>
      </c>
      <c r="C823" s="2" t="s">
        <v>6</v>
      </c>
      <c r="D823" s="4">
        <f ca="1">IFERROR(__xludf.DUMMYFUNCTION("B823*GOOGLEFINANCE(""CURRENCY:USDINR"")"),6135114239999.98)</f>
        <v>6135114239999.9805</v>
      </c>
      <c r="E823" s="3"/>
    </row>
    <row r="824" spans="1:5" x14ac:dyDescent="0.25">
      <c r="A824" s="6">
        <v>823</v>
      </c>
      <c r="B824" s="6">
        <v>81279490476.190308</v>
      </c>
      <c r="C824" s="2" t="s">
        <v>6</v>
      </c>
      <c r="D824" s="4">
        <f ca="1">IFERROR(__xludf.DUMMYFUNCTION("B824*GOOGLEFINANCE(""CURRENCY:USDINR"")"),6144729479999.98)</f>
        <v>6144729479999.9805</v>
      </c>
      <c r="E824" s="3"/>
    </row>
    <row r="825" spans="1:5" x14ac:dyDescent="0.25">
      <c r="A825" s="6">
        <v>824</v>
      </c>
      <c r="B825" s="6">
        <v>81406676190.475998</v>
      </c>
      <c r="C825" s="2" t="s">
        <v>6</v>
      </c>
      <c r="D825" s="4">
        <f ca="1">IFERROR(__xludf.DUMMYFUNCTION("B825*GOOGLEFINANCE(""CURRENCY:USDINR"")"),6154344719999.98)</f>
        <v>6154344719999.9805</v>
      </c>
      <c r="E825" s="3"/>
    </row>
    <row r="826" spans="1:5" x14ac:dyDescent="0.25">
      <c r="A826" s="6">
        <v>825</v>
      </c>
      <c r="B826" s="6">
        <v>81533861904.761703</v>
      </c>
      <c r="C826" s="2" t="s">
        <v>6</v>
      </c>
      <c r="D826" s="4">
        <f ca="1">IFERROR(__xludf.DUMMYFUNCTION("B826*GOOGLEFINANCE(""CURRENCY:USDINR"")"),6163959959999.98)</f>
        <v>6163959959999.9805</v>
      </c>
      <c r="E826" s="3"/>
    </row>
    <row r="827" spans="1:5" x14ac:dyDescent="0.25">
      <c r="A827" s="6">
        <v>826</v>
      </c>
      <c r="B827" s="6">
        <v>81661047619.047501</v>
      </c>
      <c r="C827" s="2" t="s">
        <v>6</v>
      </c>
      <c r="D827" s="4">
        <f ca="1">IFERROR(__xludf.DUMMYFUNCTION("B827*GOOGLEFINANCE(""CURRENCY:USDINR"")"),6173575199999.99)</f>
        <v>6173575199999.9902</v>
      </c>
      <c r="E827" s="3"/>
    </row>
    <row r="828" spans="1:5" x14ac:dyDescent="0.25">
      <c r="A828" s="6">
        <v>827</v>
      </c>
      <c r="B828" s="6">
        <v>81788233333.333206</v>
      </c>
      <c r="C828" s="2" t="s">
        <v>6</v>
      </c>
      <c r="D828" s="4">
        <f ca="1">IFERROR(__xludf.DUMMYFUNCTION("B828*GOOGLEFINANCE(""CURRENCY:USDINR"")"),6183190439999.99)</f>
        <v>6183190439999.9902</v>
      </c>
      <c r="E828" s="3"/>
    </row>
    <row r="829" spans="1:5" x14ac:dyDescent="0.25">
      <c r="A829" s="6">
        <v>828</v>
      </c>
      <c r="B829" s="6">
        <v>81915419047.618896</v>
      </c>
      <c r="C829" s="2" t="s">
        <v>6</v>
      </c>
      <c r="D829" s="4">
        <f ca="1">IFERROR(__xludf.DUMMYFUNCTION("B829*GOOGLEFINANCE(""CURRENCY:USDINR"")"),6192805679999.98)</f>
        <v>6192805679999.9805</v>
      </c>
      <c r="E829" s="3"/>
    </row>
    <row r="830" spans="1:5" x14ac:dyDescent="0.25">
      <c r="A830" s="6">
        <v>829</v>
      </c>
      <c r="B830" s="6">
        <v>82042604761.904602</v>
      </c>
      <c r="C830" s="2" t="s">
        <v>6</v>
      </c>
      <c r="D830" s="4">
        <f ca="1">IFERROR(__xludf.DUMMYFUNCTION("B830*GOOGLEFINANCE(""CURRENCY:USDINR"")"),6202420919999.98)</f>
        <v>6202420919999.9805</v>
      </c>
      <c r="E830" s="3"/>
    </row>
    <row r="831" spans="1:5" x14ac:dyDescent="0.25">
      <c r="A831" s="6">
        <v>830</v>
      </c>
      <c r="B831" s="6">
        <v>82169790476.190308</v>
      </c>
      <c r="C831" s="2" t="s">
        <v>6</v>
      </c>
      <c r="D831" s="4">
        <f ca="1">IFERROR(__xludf.DUMMYFUNCTION("B831*GOOGLEFINANCE(""CURRENCY:USDINR"")"),6212036159999.98)</f>
        <v>6212036159999.9805</v>
      </c>
      <c r="E831" s="3"/>
    </row>
    <row r="832" spans="1:5" x14ac:dyDescent="0.25">
      <c r="A832" s="6">
        <v>831</v>
      </c>
      <c r="B832" s="6">
        <v>82296976190.475998</v>
      </c>
      <c r="C832" s="2" t="s">
        <v>6</v>
      </c>
      <c r="D832" s="4">
        <f ca="1">IFERROR(__xludf.DUMMYFUNCTION("B832*GOOGLEFINANCE(""CURRENCY:USDINR"")"),6221651399999.98)</f>
        <v>6221651399999.9805</v>
      </c>
      <c r="E832" s="3"/>
    </row>
    <row r="833" spans="1:5" x14ac:dyDescent="0.25">
      <c r="A833" s="6">
        <v>832</v>
      </c>
      <c r="B833" s="6">
        <v>82424161904.761703</v>
      </c>
      <c r="C833" s="2" t="s">
        <v>6</v>
      </c>
      <c r="D833" s="4">
        <f ca="1">IFERROR(__xludf.DUMMYFUNCTION("B833*GOOGLEFINANCE(""CURRENCY:USDINR"")"),6231266639999.98)</f>
        <v>6231266639999.9805</v>
      </c>
      <c r="E833" s="3"/>
    </row>
    <row r="834" spans="1:5" x14ac:dyDescent="0.25">
      <c r="A834" s="6">
        <v>833</v>
      </c>
      <c r="B834" s="6">
        <v>82551347619.047394</v>
      </c>
      <c r="C834" s="2" t="s">
        <v>6</v>
      </c>
      <c r="D834" s="4">
        <f ca="1">IFERROR(__xludf.DUMMYFUNCTION("B834*GOOGLEFINANCE(""CURRENCY:USDINR"")"),6240881879999.98)</f>
        <v>6240881879999.9805</v>
      </c>
      <c r="E834" s="3"/>
    </row>
    <row r="835" spans="1:5" x14ac:dyDescent="0.25">
      <c r="A835" s="6">
        <v>834</v>
      </c>
      <c r="B835" s="6">
        <v>82678533333.333206</v>
      </c>
      <c r="C835" s="2" t="s">
        <v>6</v>
      </c>
      <c r="D835" s="4">
        <f ca="1">IFERROR(__xludf.DUMMYFUNCTION("B835*GOOGLEFINANCE(""CURRENCY:USDINR"")"),6250497119999.99)</f>
        <v>6250497119999.9902</v>
      </c>
      <c r="E835" s="3"/>
    </row>
    <row r="836" spans="1:5" x14ac:dyDescent="0.25">
      <c r="A836" s="6">
        <v>835</v>
      </c>
      <c r="B836" s="6">
        <v>82805719047.618896</v>
      </c>
      <c r="C836" s="2" t="s">
        <v>6</v>
      </c>
      <c r="D836" s="4">
        <f ca="1">IFERROR(__xludf.DUMMYFUNCTION("B836*GOOGLEFINANCE(""CURRENCY:USDINR"")"),6260112359999.98)</f>
        <v>6260112359999.9805</v>
      </c>
      <c r="E836" s="3"/>
    </row>
    <row r="837" spans="1:5" x14ac:dyDescent="0.25">
      <c r="A837" s="6">
        <v>836</v>
      </c>
      <c r="B837" s="6">
        <v>82932904761.904602</v>
      </c>
      <c r="C837" s="2" t="s">
        <v>6</v>
      </c>
      <c r="D837" s="4">
        <f ca="1">IFERROR(__xludf.DUMMYFUNCTION("B837*GOOGLEFINANCE(""CURRENCY:USDINR"")"),6269727599999.98)</f>
        <v>6269727599999.9805</v>
      </c>
      <c r="E837" s="3"/>
    </row>
    <row r="838" spans="1:5" x14ac:dyDescent="0.25">
      <c r="A838" s="6">
        <v>837</v>
      </c>
      <c r="B838" s="6">
        <v>83060090476.190308</v>
      </c>
      <c r="C838" s="2" t="s">
        <v>6</v>
      </c>
      <c r="D838" s="4">
        <f ca="1">IFERROR(__xludf.DUMMYFUNCTION("B838*GOOGLEFINANCE(""CURRENCY:USDINR"")"),6279342839999.98)</f>
        <v>6279342839999.9805</v>
      </c>
      <c r="E838" s="3"/>
    </row>
    <row r="839" spans="1:5" x14ac:dyDescent="0.25">
      <c r="A839" s="6">
        <v>838</v>
      </c>
      <c r="B839" s="6">
        <v>83187276190.475998</v>
      </c>
      <c r="C839" s="2" t="s">
        <v>6</v>
      </c>
      <c r="D839" s="4">
        <f ca="1">IFERROR(__xludf.DUMMYFUNCTION("B839*GOOGLEFINANCE(""CURRENCY:USDINR"")"),6288958079999.98)</f>
        <v>6288958079999.9805</v>
      </c>
      <c r="E839" s="3"/>
    </row>
    <row r="840" spans="1:5" x14ac:dyDescent="0.25">
      <c r="A840" s="6">
        <v>839</v>
      </c>
      <c r="B840" s="6">
        <v>83314461904.761703</v>
      </c>
      <c r="C840" s="2" t="s">
        <v>6</v>
      </c>
      <c r="D840" s="4">
        <f ca="1">IFERROR(__xludf.DUMMYFUNCTION("B840*GOOGLEFINANCE(""CURRENCY:USDINR"")"),6298573319999.98)</f>
        <v>6298573319999.9805</v>
      </c>
      <c r="E840" s="3"/>
    </row>
    <row r="841" spans="1:5" x14ac:dyDescent="0.25">
      <c r="A841" s="6">
        <v>840</v>
      </c>
      <c r="B841" s="6">
        <v>83441647619.047394</v>
      </c>
      <c r="C841" s="2" t="s">
        <v>6</v>
      </c>
      <c r="D841" s="4">
        <f ca="1">IFERROR(__xludf.DUMMYFUNCTION("B841*GOOGLEFINANCE(""CURRENCY:USDINR"")"),6308188559999.98)</f>
        <v>6308188559999.9805</v>
      </c>
      <c r="E841" s="3"/>
    </row>
    <row r="842" spans="1:5" x14ac:dyDescent="0.25">
      <c r="A842" s="6">
        <v>841</v>
      </c>
      <c r="B842" s="6">
        <v>83568833333.333206</v>
      </c>
      <c r="C842" s="2" t="s">
        <v>6</v>
      </c>
      <c r="D842" s="4">
        <f ca="1">IFERROR(__xludf.DUMMYFUNCTION("B842*GOOGLEFINANCE(""CURRENCY:USDINR"")"),6317803799999.99)</f>
        <v>6317803799999.9902</v>
      </c>
      <c r="E842" s="3"/>
    </row>
    <row r="843" spans="1:5" x14ac:dyDescent="0.25">
      <c r="A843" s="6">
        <v>842</v>
      </c>
      <c r="B843" s="6">
        <v>83696019047.618896</v>
      </c>
      <c r="C843" s="2" t="s">
        <v>6</v>
      </c>
      <c r="D843" s="4">
        <f ca="1">IFERROR(__xludf.DUMMYFUNCTION("B843*GOOGLEFINANCE(""CURRENCY:USDINR"")"),6327419039999.98)</f>
        <v>6327419039999.9805</v>
      </c>
      <c r="E843" s="3"/>
    </row>
    <row r="844" spans="1:5" x14ac:dyDescent="0.25">
      <c r="A844" s="6">
        <v>843</v>
      </c>
      <c r="B844" s="6">
        <v>83823204761.904602</v>
      </c>
      <c r="C844" s="2" t="s">
        <v>6</v>
      </c>
      <c r="D844" s="4">
        <f ca="1">IFERROR(__xludf.DUMMYFUNCTION("B844*GOOGLEFINANCE(""CURRENCY:USDINR"")"),6337034279999.98)</f>
        <v>6337034279999.9805</v>
      </c>
      <c r="E844" s="3"/>
    </row>
    <row r="845" spans="1:5" x14ac:dyDescent="0.25">
      <c r="A845" s="6">
        <v>844</v>
      </c>
      <c r="B845" s="6">
        <v>83950390476.190308</v>
      </c>
      <c r="C845" s="2" t="s">
        <v>6</v>
      </c>
      <c r="D845" s="4">
        <f ca="1">IFERROR(__xludf.DUMMYFUNCTION("B845*GOOGLEFINANCE(""CURRENCY:USDINR"")"),6346649519999.98)</f>
        <v>6346649519999.9805</v>
      </c>
      <c r="E845" s="3"/>
    </row>
    <row r="846" spans="1:5" x14ac:dyDescent="0.25">
      <c r="A846" s="6">
        <v>845</v>
      </c>
      <c r="B846" s="6">
        <v>84077576190.475998</v>
      </c>
      <c r="C846" s="2" t="s">
        <v>6</v>
      </c>
      <c r="D846" s="4">
        <f ca="1">IFERROR(__xludf.DUMMYFUNCTION("B846*GOOGLEFINANCE(""CURRENCY:USDINR"")"),6356264759999.98)</f>
        <v>6356264759999.9805</v>
      </c>
      <c r="E846" s="3"/>
    </row>
    <row r="847" spans="1:5" x14ac:dyDescent="0.25">
      <c r="A847" s="6">
        <v>846</v>
      </c>
      <c r="B847" s="6">
        <v>84204761904.761703</v>
      </c>
      <c r="C847" s="2" t="s">
        <v>6</v>
      </c>
      <c r="D847" s="4">
        <f ca="1">IFERROR(__xludf.DUMMYFUNCTION("B847*GOOGLEFINANCE(""CURRENCY:USDINR"")"),6365879999999.98)</f>
        <v>6365879999999.9805</v>
      </c>
      <c r="E847" s="3"/>
    </row>
    <row r="848" spans="1:5" x14ac:dyDescent="0.25">
      <c r="A848" s="6">
        <v>847</v>
      </c>
      <c r="B848" s="6">
        <v>84331947619.047394</v>
      </c>
      <c r="C848" s="2" t="s">
        <v>6</v>
      </c>
      <c r="D848" s="4">
        <f ca="1">IFERROR(__xludf.DUMMYFUNCTION("B848*GOOGLEFINANCE(""CURRENCY:USDINR"")"),6375495239999.98)</f>
        <v>6375495239999.9805</v>
      </c>
      <c r="E848" s="3"/>
    </row>
    <row r="849" spans="1:5" x14ac:dyDescent="0.25">
      <c r="A849" s="6">
        <v>848</v>
      </c>
      <c r="B849" s="6">
        <v>84459133333.333206</v>
      </c>
      <c r="C849" s="2" t="s">
        <v>6</v>
      </c>
      <c r="D849" s="4">
        <f ca="1">IFERROR(__xludf.DUMMYFUNCTION("B849*GOOGLEFINANCE(""CURRENCY:USDINR"")"),6385110479999.99)</f>
        <v>6385110479999.9902</v>
      </c>
      <c r="E849" s="3"/>
    </row>
    <row r="850" spans="1:5" x14ac:dyDescent="0.25">
      <c r="A850" s="6">
        <v>849</v>
      </c>
      <c r="B850" s="6">
        <v>84586319047.618896</v>
      </c>
      <c r="C850" s="2" t="s">
        <v>6</v>
      </c>
      <c r="D850" s="4">
        <f ca="1">IFERROR(__xludf.DUMMYFUNCTION("B850*GOOGLEFINANCE(""CURRENCY:USDINR"")"),6394725719999.98)</f>
        <v>6394725719999.9805</v>
      </c>
      <c r="E850" s="3"/>
    </row>
    <row r="851" spans="1:5" x14ac:dyDescent="0.25">
      <c r="A851" s="6">
        <v>850</v>
      </c>
      <c r="B851" s="6">
        <v>84713504761.904602</v>
      </c>
      <c r="C851" s="2" t="s">
        <v>6</v>
      </c>
      <c r="D851" s="4">
        <f ca="1">IFERROR(__xludf.DUMMYFUNCTION("B851*GOOGLEFINANCE(""CURRENCY:USDINR"")"),6404340959999.98)</f>
        <v>6404340959999.9805</v>
      </c>
      <c r="E851" s="3"/>
    </row>
    <row r="852" spans="1:5" x14ac:dyDescent="0.25">
      <c r="A852" s="6">
        <v>851</v>
      </c>
      <c r="B852" s="6">
        <v>84840690476.190308</v>
      </c>
      <c r="C852" s="2" t="s">
        <v>6</v>
      </c>
      <c r="D852" s="4">
        <f ca="1">IFERROR(__xludf.DUMMYFUNCTION("B852*GOOGLEFINANCE(""CURRENCY:USDINR"")"),6413956199999.98)</f>
        <v>6413956199999.9805</v>
      </c>
      <c r="E852" s="3"/>
    </row>
    <row r="853" spans="1:5" x14ac:dyDescent="0.25">
      <c r="A853" s="6">
        <v>852</v>
      </c>
      <c r="B853" s="6">
        <v>84967876190.475998</v>
      </c>
      <c r="C853" s="2" t="s">
        <v>6</v>
      </c>
      <c r="D853" s="4">
        <f ca="1">IFERROR(__xludf.DUMMYFUNCTION("B853*GOOGLEFINANCE(""CURRENCY:USDINR"")"),6423571439999.98)</f>
        <v>6423571439999.9805</v>
      </c>
      <c r="E853" s="3"/>
    </row>
    <row r="854" spans="1:5" x14ac:dyDescent="0.25">
      <c r="A854" s="6">
        <v>853</v>
      </c>
      <c r="B854" s="6">
        <v>85095061904.761703</v>
      </c>
      <c r="C854" s="2" t="s">
        <v>6</v>
      </c>
      <c r="D854" s="4">
        <f ca="1">IFERROR(__xludf.DUMMYFUNCTION("B854*GOOGLEFINANCE(""CURRENCY:USDINR"")"),6433186679999.98)</f>
        <v>6433186679999.9805</v>
      </c>
      <c r="E854" s="3"/>
    </row>
    <row r="855" spans="1:5" x14ac:dyDescent="0.25">
      <c r="A855" s="6">
        <v>854</v>
      </c>
      <c r="B855" s="6">
        <v>85222247619.047394</v>
      </c>
      <c r="C855" s="2" t="s">
        <v>6</v>
      </c>
      <c r="D855" s="4">
        <f ca="1">IFERROR(__xludf.DUMMYFUNCTION("B855*GOOGLEFINANCE(""CURRENCY:USDINR"")"),6442801919999.98)</f>
        <v>6442801919999.9805</v>
      </c>
      <c r="E855" s="3"/>
    </row>
    <row r="856" spans="1:5" x14ac:dyDescent="0.25">
      <c r="A856" s="6">
        <v>855</v>
      </c>
      <c r="B856" s="6">
        <v>85349433333.333206</v>
      </c>
      <c r="C856" s="2" t="s">
        <v>6</v>
      </c>
      <c r="D856" s="4">
        <f ca="1">IFERROR(__xludf.DUMMYFUNCTION("B856*GOOGLEFINANCE(""CURRENCY:USDINR"")"),6452417159999.99)</f>
        <v>6452417159999.9902</v>
      </c>
      <c r="E856" s="3"/>
    </row>
    <row r="857" spans="1:5" x14ac:dyDescent="0.25">
      <c r="A857" s="6">
        <v>856</v>
      </c>
      <c r="B857" s="6">
        <v>85476619047.618896</v>
      </c>
      <c r="C857" s="2" t="s">
        <v>6</v>
      </c>
      <c r="D857" s="4">
        <f ca="1">IFERROR(__xludf.DUMMYFUNCTION("B857*GOOGLEFINANCE(""CURRENCY:USDINR"")"),6462032399999.98)</f>
        <v>6462032399999.9805</v>
      </c>
      <c r="E857" s="3"/>
    </row>
    <row r="858" spans="1:5" x14ac:dyDescent="0.25">
      <c r="A858" s="6">
        <v>857</v>
      </c>
      <c r="B858" s="6">
        <v>85603804761.904602</v>
      </c>
      <c r="C858" s="2" t="s">
        <v>6</v>
      </c>
      <c r="D858" s="4">
        <f ca="1">IFERROR(__xludf.DUMMYFUNCTION("B858*GOOGLEFINANCE(""CURRENCY:USDINR"")"),6471647639999.98)</f>
        <v>6471647639999.9805</v>
      </c>
      <c r="E858" s="3"/>
    </row>
    <row r="859" spans="1:5" x14ac:dyDescent="0.25">
      <c r="A859" s="6">
        <v>858</v>
      </c>
      <c r="B859" s="6">
        <v>85730990476.190308</v>
      </c>
      <c r="C859" s="2" t="s">
        <v>6</v>
      </c>
      <c r="D859" s="4">
        <f ca="1">IFERROR(__xludf.DUMMYFUNCTION("B859*GOOGLEFINANCE(""CURRENCY:USDINR"")"),6481262879999.98)</f>
        <v>6481262879999.9805</v>
      </c>
      <c r="E859" s="3"/>
    </row>
    <row r="860" spans="1:5" x14ac:dyDescent="0.25">
      <c r="A860" s="6">
        <v>859</v>
      </c>
      <c r="B860" s="6">
        <v>85858176190.475998</v>
      </c>
      <c r="C860" s="2" t="s">
        <v>6</v>
      </c>
      <c r="D860" s="4">
        <f ca="1">IFERROR(__xludf.DUMMYFUNCTION("B860*GOOGLEFINANCE(""CURRENCY:USDINR"")"),6490878119999.98)</f>
        <v>6490878119999.9805</v>
      </c>
      <c r="E860" s="3"/>
    </row>
    <row r="861" spans="1:5" x14ac:dyDescent="0.25">
      <c r="A861" s="6">
        <v>860</v>
      </c>
      <c r="B861" s="6">
        <v>85985361904.761703</v>
      </c>
      <c r="C861" s="2" t="s">
        <v>6</v>
      </c>
      <c r="D861" s="4">
        <f ca="1">IFERROR(__xludf.DUMMYFUNCTION("B861*GOOGLEFINANCE(""CURRENCY:USDINR"")"),6500493359999.98)</f>
        <v>6500493359999.9805</v>
      </c>
      <c r="E861" s="3"/>
    </row>
    <row r="862" spans="1:5" x14ac:dyDescent="0.25">
      <c r="A862" s="6">
        <v>861</v>
      </c>
      <c r="B862" s="6">
        <v>86112547619.047394</v>
      </c>
      <c r="C862" s="2" t="s">
        <v>6</v>
      </c>
      <c r="D862" s="4">
        <f ca="1">IFERROR(__xludf.DUMMYFUNCTION("B862*GOOGLEFINANCE(""CURRENCY:USDINR"")"),6510108599999.98)</f>
        <v>6510108599999.9805</v>
      </c>
      <c r="E862" s="3"/>
    </row>
    <row r="863" spans="1:5" x14ac:dyDescent="0.25">
      <c r="A863" s="6">
        <v>862</v>
      </c>
      <c r="B863" s="6">
        <v>86239733333.333206</v>
      </c>
      <c r="C863" s="2" t="s">
        <v>6</v>
      </c>
      <c r="D863" s="4">
        <f ca="1">IFERROR(__xludf.DUMMYFUNCTION("B863*GOOGLEFINANCE(""CURRENCY:USDINR"")"),6519723839999.99)</f>
        <v>6519723839999.9902</v>
      </c>
      <c r="E863" s="3"/>
    </row>
    <row r="864" spans="1:5" x14ac:dyDescent="0.25">
      <c r="A864" s="6">
        <v>863</v>
      </c>
      <c r="B864" s="6">
        <v>86366919047.618896</v>
      </c>
      <c r="C864" s="2" t="s">
        <v>6</v>
      </c>
      <c r="D864" s="4">
        <f ca="1">IFERROR(__xludf.DUMMYFUNCTION("B864*GOOGLEFINANCE(""CURRENCY:USDINR"")"),6529339079999.98)</f>
        <v>6529339079999.9805</v>
      </c>
      <c r="E864" s="3"/>
    </row>
    <row r="865" spans="1:5" x14ac:dyDescent="0.25">
      <c r="A865" s="6">
        <v>864</v>
      </c>
      <c r="B865" s="6">
        <v>86494104761.904602</v>
      </c>
      <c r="C865" s="2" t="s">
        <v>6</v>
      </c>
      <c r="D865" s="4">
        <f ca="1">IFERROR(__xludf.DUMMYFUNCTION("B865*GOOGLEFINANCE(""CURRENCY:USDINR"")"),6538954319999.98)</f>
        <v>6538954319999.9805</v>
      </c>
      <c r="E865" s="3"/>
    </row>
    <row r="866" spans="1:5" x14ac:dyDescent="0.25">
      <c r="A866" s="6">
        <v>865</v>
      </c>
      <c r="B866" s="6">
        <v>86621290476.190308</v>
      </c>
      <c r="C866" s="2" t="s">
        <v>6</v>
      </c>
      <c r="D866" s="4">
        <f ca="1">IFERROR(__xludf.DUMMYFUNCTION("B866*GOOGLEFINANCE(""CURRENCY:USDINR"")"),6548569559999.98)</f>
        <v>6548569559999.9805</v>
      </c>
      <c r="E866" s="3"/>
    </row>
    <row r="867" spans="1:5" x14ac:dyDescent="0.25">
      <c r="A867" s="6">
        <v>866</v>
      </c>
      <c r="B867" s="6">
        <v>86748476190.475998</v>
      </c>
      <c r="C867" s="2" t="s">
        <v>6</v>
      </c>
      <c r="D867" s="4">
        <f ca="1">IFERROR(__xludf.DUMMYFUNCTION("B867*GOOGLEFINANCE(""CURRENCY:USDINR"")"),6558184799999.98)</f>
        <v>6558184799999.9805</v>
      </c>
      <c r="E867" s="3"/>
    </row>
    <row r="868" spans="1:5" x14ac:dyDescent="0.25">
      <c r="A868" s="6">
        <v>867</v>
      </c>
      <c r="B868" s="6">
        <v>86875661904.761703</v>
      </c>
      <c r="C868" s="2" t="s">
        <v>6</v>
      </c>
      <c r="D868" s="4">
        <f ca="1">IFERROR(__xludf.DUMMYFUNCTION("B868*GOOGLEFINANCE(""CURRENCY:USDINR"")"),6567800039999.98)</f>
        <v>6567800039999.9805</v>
      </c>
      <c r="E868" s="3"/>
    </row>
    <row r="869" spans="1:5" x14ac:dyDescent="0.25">
      <c r="A869" s="6">
        <v>868</v>
      </c>
      <c r="B869" s="6">
        <v>87002847619.047394</v>
      </c>
      <c r="C869" s="2" t="s">
        <v>6</v>
      </c>
      <c r="D869" s="4">
        <f ca="1">IFERROR(__xludf.DUMMYFUNCTION("B869*GOOGLEFINANCE(""CURRENCY:USDINR"")"),6577415279999.98)</f>
        <v>6577415279999.9805</v>
      </c>
      <c r="E869" s="3"/>
    </row>
    <row r="870" spans="1:5" x14ac:dyDescent="0.25">
      <c r="A870" s="6">
        <v>869</v>
      </c>
      <c r="B870" s="6">
        <v>87130033333.333206</v>
      </c>
      <c r="C870" s="2" t="s">
        <v>6</v>
      </c>
      <c r="D870" s="4">
        <f ca="1">IFERROR(__xludf.DUMMYFUNCTION("B870*GOOGLEFINANCE(""CURRENCY:USDINR"")"),6587030519999.99)</f>
        <v>6587030519999.9902</v>
      </c>
      <c r="E870" s="3"/>
    </row>
    <row r="871" spans="1:5" x14ac:dyDescent="0.25">
      <c r="A871" s="6">
        <v>870</v>
      </c>
      <c r="B871" s="6">
        <v>87257219047.618896</v>
      </c>
      <c r="C871" s="2" t="s">
        <v>6</v>
      </c>
      <c r="D871" s="4">
        <f ca="1">IFERROR(__xludf.DUMMYFUNCTION("B871*GOOGLEFINANCE(""CURRENCY:USDINR"")"),6596645759999.98)</f>
        <v>6596645759999.9805</v>
      </c>
      <c r="E871" s="3"/>
    </row>
    <row r="872" spans="1:5" x14ac:dyDescent="0.25">
      <c r="A872" s="6">
        <v>871</v>
      </c>
      <c r="B872" s="6">
        <v>87384404761.904602</v>
      </c>
      <c r="C872" s="2" t="s">
        <v>6</v>
      </c>
      <c r="D872" s="4">
        <f ca="1">IFERROR(__xludf.DUMMYFUNCTION("B872*GOOGLEFINANCE(""CURRENCY:USDINR"")"),6606260999999.98)</f>
        <v>6606260999999.9805</v>
      </c>
      <c r="E872" s="3"/>
    </row>
    <row r="873" spans="1:5" x14ac:dyDescent="0.25">
      <c r="A873" s="6">
        <v>872</v>
      </c>
      <c r="B873" s="6">
        <v>87511590476.190308</v>
      </c>
      <c r="C873" s="2" t="s">
        <v>6</v>
      </c>
      <c r="D873" s="4">
        <f ca="1">IFERROR(__xludf.DUMMYFUNCTION("B873*GOOGLEFINANCE(""CURRENCY:USDINR"")"),6615876239999.98)</f>
        <v>6615876239999.9805</v>
      </c>
      <c r="E873" s="3"/>
    </row>
    <row r="874" spans="1:5" x14ac:dyDescent="0.25">
      <c r="A874" s="6">
        <v>873</v>
      </c>
      <c r="B874" s="6">
        <v>87638776190.475998</v>
      </c>
      <c r="C874" s="2" t="s">
        <v>6</v>
      </c>
      <c r="D874" s="4">
        <f ca="1">IFERROR(__xludf.DUMMYFUNCTION("B874*GOOGLEFINANCE(""CURRENCY:USDINR"")"),6625491479999.98)</f>
        <v>6625491479999.9805</v>
      </c>
      <c r="E874" s="3"/>
    </row>
    <row r="875" spans="1:5" x14ac:dyDescent="0.25">
      <c r="A875" s="6">
        <v>874</v>
      </c>
      <c r="B875" s="6">
        <v>87765961904.761703</v>
      </c>
      <c r="C875" s="2" t="s">
        <v>6</v>
      </c>
      <c r="D875" s="4">
        <f ca="1">IFERROR(__xludf.DUMMYFUNCTION("B875*GOOGLEFINANCE(""CURRENCY:USDINR"")"),6635106719999.98)</f>
        <v>6635106719999.9805</v>
      </c>
      <c r="E875" s="3"/>
    </row>
    <row r="876" spans="1:5" x14ac:dyDescent="0.25">
      <c r="A876" s="6">
        <v>875</v>
      </c>
      <c r="B876" s="6">
        <v>87893147619.047394</v>
      </c>
      <c r="C876" s="2" t="s">
        <v>6</v>
      </c>
      <c r="D876" s="4">
        <f ca="1">IFERROR(__xludf.DUMMYFUNCTION("B876*GOOGLEFINANCE(""CURRENCY:USDINR"")"),6644721959999.98)</f>
        <v>6644721959999.9805</v>
      </c>
      <c r="E876" s="3"/>
    </row>
    <row r="877" spans="1:5" x14ac:dyDescent="0.25">
      <c r="A877" s="6">
        <v>876</v>
      </c>
      <c r="B877" s="6">
        <v>88020333333.333206</v>
      </c>
      <c r="C877" s="2" t="s">
        <v>6</v>
      </c>
      <c r="D877" s="4">
        <f ca="1">IFERROR(__xludf.DUMMYFUNCTION("B877*GOOGLEFINANCE(""CURRENCY:USDINR"")"),6654337199999.99)</f>
        <v>6654337199999.9902</v>
      </c>
      <c r="E877" s="3"/>
    </row>
    <row r="878" spans="1:5" x14ac:dyDescent="0.25">
      <c r="A878" s="6">
        <v>877</v>
      </c>
      <c r="B878" s="6">
        <v>88147519047.618896</v>
      </c>
      <c r="C878" s="2" t="s">
        <v>6</v>
      </c>
      <c r="D878" s="4">
        <f ca="1">IFERROR(__xludf.DUMMYFUNCTION("B878*GOOGLEFINANCE(""CURRENCY:USDINR"")"),6663952439999.98)</f>
        <v>6663952439999.9805</v>
      </c>
      <c r="E878" s="3"/>
    </row>
    <row r="879" spans="1:5" x14ac:dyDescent="0.25">
      <c r="A879" s="6">
        <v>878</v>
      </c>
      <c r="B879" s="6">
        <v>88274704761.904602</v>
      </c>
      <c r="C879" s="2" t="s">
        <v>6</v>
      </c>
      <c r="D879" s="4">
        <f ca="1">IFERROR(__xludf.DUMMYFUNCTION("B879*GOOGLEFINANCE(""CURRENCY:USDINR"")"),6673567679999.98)</f>
        <v>6673567679999.9805</v>
      </c>
      <c r="E879" s="3"/>
    </row>
    <row r="880" spans="1:5" x14ac:dyDescent="0.25">
      <c r="A880" s="6">
        <v>879</v>
      </c>
      <c r="B880" s="6">
        <v>88401890476.190308</v>
      </c>
      <c r="C880" s="2" t="s">
        <v>6</v>
      </c>
      <c r="D880" s="4">
        <f ca="1">IFERROR(__xludf.DUMMYFUNCTION("B880*GOOGLEFINANCE(""CURRENCY:USDINR"")"),6683182919999.98)</f>
        <v>6683182919999.9805</v>
      </c>
      <c r="E880" s="3"/>
    </row>
    <row r="881" spans="1:5" x14ac:dyDescent="0.25">
      <c r="A881" s="6">
        <v>880</v>
      </c>
      <c r="B881" s="6">
        <v>88529076190.475998</v>
      </c>
      <c r="C881" s="2" t="s">
        <v>6</v>
      </c>
      <c r="D881" s="4">
        <f ca="1">IFERROR(__xludf.DUMMYFUNCTION("B881*GOOGLEFINANCE(""CURRENCY:USDINR"")"),6692798159999.98)</f>
        <v>6692798159999.9805</v>
      </c>
      <c r="E881" s="3"/>
    </row>
    <row r="882" spans="1:5" x14ac:dyDescent="0.25">
      <c r="A882" s="6">
        <v>881</v>
      </c>
      <c r="B882" s="6">
        <v>88656261904.761703</v>
      </c>
      <c r="C882" s="2" t="s">
        <v>6</v>
      </c>
      <c r="D882" s="4">
        <f ca="1">IFERROR(__xludf.DUMMYFUNCTION("B882*GOOGLEFINANCE(""CURRENCY:USDINR"")"),6702413399999.98)</f>
        <v>6702413399999.9805</v>
      </c>
      <c r="E882" s="3"/>
    </row>
    <row r="883" spans="1:5" x14ac:dyDescent="0.25">
      <c r="A883" s="6">
        <v>882</v>
      </c>
      <c r="B883" s="6">
        <v>88783447619.047394</v>
      </c>
      <c r="C883" s="2" t="s">
        <v>6</v>
      </c>
      <c r="D883" s="4">
        <f ca="1">IFERROR(__xludf.DUMMYFUNCTION("B883*GOOGLEFINANCE(""CURRENCY:USDINR"")"),6712028639999.98)</f>
        <v>6712028639999.9805</v>
      </c>
      <c r="E883" s="3"/>
    </row>
    <row r="884" spans="1:5" x14ac:dyDescent="0.25">
      <c r="A884" s="6">
        <v>883</v>
      </c>
      <c r="B884" s="6">
        <v>88910633333.333206</v>
      </c>
      <c r="C884" s="2" t="s">
        <v>6</v>
      </c>
      <c r="D884" s="4">
        <f ca="1">IFERROR(__xludf.DUMMYFUNCTION("B884*GOOGLEFINANCE(""CURRENCY:USDINR"")"),6721643879999.99)</f>
        <v>6721643879999.9902</v>
      </c>
      <c r="E884" s="3"/>
    </row>
    <row r="885" spans="1:5" x14ac:dyDescent="0.25">
      <c r="A885" s="6">
        <v>884</v>
      </c>
      <c r="B885" s="6">
        <v>89037819047.618896</v>
      </c>
      <c r="C885" s="2" t="s">
        <v>6</v>
      </c>
      <c r="D885" s="4">
        <f ca="1">IFERROR(__xludf.DUMMYFUNCTION("B885*GOOGLEFINANCE(""CURRENCY:USDINR"")"),6731259119999.98)</f>
        <v>6731259119999.9805</v>
      </c>
      <c r="E885" s="3"/>
    </row>
    <row r="886" spans="1:5" x14ac:dyDescent="0.25">
      <c r="A886" s="6">
        <v>885</v>
      </c>
      <c r="B886" s="6">
        <v>89165004761.904602</v>
      </c>
      <c r="C886" s="2" t="s">
        <v>6</v>
      </c>
      <c r="D886" s="4">
        <f ca="1">IFERROR(__xludf.DUMMYFUNCTION("B886*GOOGLEFINANCE(""CURRENCY:USDINR"")"),6740874359999.98)</f>
        <v>6740874359999.9805</v>
      </c>
      <c r="E886" s="3"/>
    </row>
    <row r="887" spans="1:5" x14ac:dyDescent="0.25">
      <c r="A887" s="6">
        <v>886</v>
      </c>
      <c r="B887" s="6">
        <v>89292190476.190308</v>
      </c>
      <c r="C887" s="2" t="s">
        <v>6</v>
      </c>
      <c r="D887" s="4">
        <f ca="1">IFERROR(__xludf.DUMMYFUNCTION("B887*GOOGLEFINANCE(""CURRENCY:USDINR"")"),6750489599999.98)</f>
        <v>6750489599999.9805</v>
      </c>
      <c r="E887" s="3"/>
    </row>
    <row r="888" spans="1:5" x14ac:dyDescent="0.25">
      <c r="A888" s="6">
        <v>887</v>
      </c>
      <c r="B888" s="6">
        <v>89419376190.475998</v>
      </c>
      <c r="C888" s="2" t="s">
        <v>6</v>
      </c>
      <c r="D888" s="4">
        <f ca="1">IFERROR(__xludf.DUMMYFUNCTION("B888*GOOGLEFINANCE(""CURRENCY:USDINR"")"),6760104839999.98)</f>
        <v>6760104839999.9805</v>
      </c>
      <c r="E888" s="3"/>
    </row>
    <row r="889" spans="1:5" x14ac:dyDescent="0.25">
      <c r="A889" s="6">
        <v>888</v>
      </c>
      <c r="B889" s="6">
        <v>89546561904.761703</v>
      </c>
      <c r="C889" s="2" t="s">
        <v>6</v>
      </c>
      <c r="D889" s="4">
        <f ca="1">IFERROR(__xludf.DUMMYFUNCTION("B889*GOOGLEFINANCE(""CURRENCY:USDINR"")"),6769720079999.98)</f>
        <v>6769720079999.9805</v>
      </c>
      <c r="E889" s="3"/>
    </row>
    <row r="890" spans="1:5" x14ac:dyDescent="0.25">
      <c r="A890" s="6">
        <v>889</v>
      </c>
      <c r="B890" s="6">
        <v>89673747619.047394</v>
      </c>
      <c r="C890" s="2" t="s">
        <v>6</v>
      </c>
      <c r="D890" s="4">
        <f ca="1">IFERROR(__xludf.DUMMYFUNCTION("B890*GOOGLEFINANCE(""CURRENCY:USDINR"")"),6779335319999.98)</f>
        <v>6779335319999.9805</v>
      </c>
      <c r="E890" s="3"/>
    </row>
    <row r="891" spans="1:5" x14ac:dyDescent="0.25">
      <c r="A891" s="6">
        <v>890</v>
      </c>
      <c r="B891" s="6">
        <v>89800933333.333206</v>
      </c>
      <c r="C891" s="2" t="s">
        <v>6</v>
      </c>
      <c r="D891" s="4">
        <f ca="1">IFERROR(__xludf.DUMMYFUNCTION("B891*GOOGLEFINANCE(""CURRENCY:USDINR"")"),6788950559999.99)</f>
        <v>6788950559999.9902</v>
      </c>
      <c r="E891" s="3"/>
    </row>
    <row r="892" spans="1:5" x14ac:dyDescent="0.25">
      <c r="A892" s="6">
        <v>891</v>
      </c>
      <c r="B892" s="6">
        <v>89928119047.618896</v>
      </c>
      <c r="C892" s="2" t="s">
        <v>6</v>
      </c>
      <c r="D892" s="4">
        <f ca="1">IFERROR(__xludf.DUMMYFUNCTION("B892*GOOGLEFINANCE(""CURRENCY:USDINR"")"),6798565799999.98)</f>
        <v>6798565799999.9805</v>
      </c>
      <c r="E892" s="3"/>
    </row>
    <row r="893" spans="1:5" x14ac:dyDescent="0.25">
      <c r="A893" s="6">
        <v>892</v>
      </c>
      <c r="B893" s="6">
        <v>90055304761.904602</v>
      </c>
      <c r="C893" s="2" t="s">
        <v>6</v>
      </c>
      <c r="D893" s="4">
        <f ca="1">IFERROR(__xludf.DUMMYFUNCTION("B893*GOOGLEFINANCE(""CURRENCY:USDINR"")"),6808181039999.98)</f>
        <v>6808181039999.9805</v>
      </c>
      <c r="E893" s="3"/>
    </row>
    <row r="894" spans="1:5" x14ac:dyDescent="0.25">
      <c r="A894" s="6">
        <v>893</v>
      </c>
      <c r="B894" s="6">
        <v>90182490476.190308</v>
      </c>
      <c r="C894" s="2" t="s">
        <v>6</v>
      </c>
      <c r="D894" s="4">
        <f ca="1">IFERROR(__xludf.DUMMYFUNCTION("B894*GOOGLEFINANCE(""CURRENCY:USDINR"")"),6817796279999.98)</f>
        <v>6817796279999.9805</v>
      </c>
      <c r="E894" s="3"/>
    </row>
    <row r="895" spans="1:5" x14ac:dyDescent="0.25">
      <c r="A895" s="6">
        <v>894</v>
      </c>
      <c r="B895" s="6">
        <v>90309676190.475998</v>
      </c>
      <c r="C895" s="2" t="s">
        <v>6</v>
      </c>
      <c r="D895" s="4">
        <f ca="1">IFERROR(__xludf.DUMMYFUNCTION("B895*GOOGLEFINANCE(""CURRENCY:USDINR"")"),6827411519999.98)</f>
        <v>6827411519999.9805</v>
      </c>
      <c r="E895" s="3"/>
    </row>
    <row r="896" spans="1:5" x14ac:dyDescent="0.25">
      <c r="A896" s="6">
        <v>895</v>
      </c>
      <c r="B896" s="6">
        <v>90436861904.761703</v>
      </c>
      <c r="C896" s="2" t="s">
        <v>6</v>
      </c>
      <c r="D896" s="4">
        <f ca="1">IFERROR(__xludf.DUMMYFUNCTION("B896*GOOGLEFINANCE(""CURRENCY:USDINR"")"),6837026759999.98)</f>
        <v>6837026759999.9805</v>
      </c>
      <c r="E896" s="3"/>
    </row>
    <row r="897" spans="1:5" x14ac:dyDescent="0.25">
      <c r="A897" s="6">
        <v>896</v>
      </c>
      <c r="B897" s="6">
        <v>90564047619.047394</v>
      </c>
      <c r="C897" s="2" t="s">
        <v>6</v>
      </c>
      <c r="D897" s="4">
        <f ca="1">IFERROR(__xludf.DUMMYFUNCTION("B897*GOOGLEFINANCE(""CURRENCY:USDINR"")"),6846641999999.98)</f>
        <v>6846641999999.9805</v>
      </c>
      <c r="E897" s="3"/>
    </row>
    <row r="898" spans="1:5" x14ac:dyDescent="0.25">
      <c r="A898" s="6">
        <v>897</v>
      </c>
      <c r="B898" s="6">
        <v>90691233333.333206</v>
      </c>
      <c r="C898" s="2" t="s">
        <v>6</v>
      </c>
      <c r="D898" s="4">
        <f ca="1">IFERROR(__xludf.DUMMYFUNCTION("B898*GOOGLEFINANCE(""CURRENCY:USDINR"")"),6856257239999.99)</f>
        <v>6856257239999.9902</v>
      </c>
      <c r="E898" s="3"/>
    </row>
    <row r="899" spans="1:5" x14ac:dyDescent="0.25">
      <c r="A899" s="6">
        <v>898</v>
      </c>
      <c r="B899" s="6">
        <v>90818419047.618896</v>
      </c>
      <c r="C899" s="2" t="s">
        <v>6</v>
      </c>
      <c r="D899" s="4">
        <f ca="1">IFERROR(__xludf.DUMMYFUNCTION("B899*GOOGLEFINANCE(""CURRENCY:USDINR"")"),6865872479999.98)</f>
        <v>6865872479999.9805</v>
      </c>
      <c r="E899" s="3"/>
    </row>
    <row r="900" spans="1:5" x14ac:dyDescent="0.25">
      <c r="A900" s="6">
        <v>899</v>
      </c>
      <c r="B900" s="6">
        <v>90945604761.904602</v>
      </c>
      <c r="C900" s="2" t="s">
        <v>6</v>
      </c>
      <c r="D900" s="4">
        <f ca="1">IFERROR(__xludf.DUMMYFUNCTION("B900*GOOGLEFINANCE(""CURRENCY:USDINR"")"),6875487719999.98)</f>
        <v>6875487719999.9805</v>
      </c>
      <c r="E900" s="3"/>
    </row>
    <row r="901" spans="1:5" x14ac:dyDescent="0.25">
      <c r="A901" s="6">
        <v>900</v>
      </c>
      <c r="B901" s="6">
        <v>91072790476.190308</v>
      </c>
      <c r="C901" s="2" t="s">
        <v>6</v>
      </c>
      <c r="D901" s="4">
        <f ca="1">IFERROR(__xludf.DUMMYFUNCTION("B901*GOOGLEFINANCE(""CURRENCY:USDINR"")"),6885102959999.98)</f>
        <v>6885102959999.9805</v>
      </c>
      <c r="E901" s="3"/>
    </row>
    <row r="902" spans="1:5" x14ac:dyDescent="0.25">
      <c r="A902" s="6">
        <v>901</v>
      </c>
      <c r="B902" s="6">
        <v>91199976190.475998</v>
      </c>
      <c r="C902" s="2" t="s">
        <v>6</v>
      </c>
      <c r="D902" s="4">
        <f ca="1">IFERROR(__xludf.DUMMYFUNCTION("B902*GOOGLEFINANCE(""CURRENCY:USDINR"")"),6894718199999.98)</f>
        <v>6894718199999.9805</v>
      </c>
      <c r="E902" s="3"/>
    </row>
    <row r="903" spans="1:5" x14ac:dyDescent="0.25">
      <c r="A903" s="6">
        <v>902</v>
      </c>
      <c r="B903" s="6">
        <v>91327161904.761703</v>
      </c>
      <c r="C903" s="2" t="s">
        <v>6</v>
      </c>
      <c r="D903" s="4">
        <f ca="1">IFERROR(__xludf.DUMMYFUNCTION("B903*GOOGLEFINANCE(""CURRENCY:USDINR"")"),6904333439999.98)</f>
        <v>6904333439999.9805</v>
      </c>
      <c r="E903" s="3"/>
    </row>
    <row r="904" spans="1:5" x14ac:dyDescent="0.25">
      <c r="A904" s="6">
        <v>903</v>
      </c>
      <c r="B904" s="6">
        <v>91454347619.047394</v>
      </c>
      <c r="C904" s="2" t="s">
        <v>6</v>
      </c>
      <c r="D904" s="4">
        <f ca="1">IFERROR(__xludf.DUMMYFUNCTION("B904*GOOGLEFINANCE(""CURRENCY:USDINR"")"),6913948679999.98)</f>
        <v>6913948679999.9805</v>
      </c>
      <c r="E904" s="3"/>
    </row>
    <row r="905" spans="1:5" x14ac:dyDescent="0.25">
      <c r="A905" s="6">
        <v>904</v>
      </c>
      <c r="B905" s="6">
        <v>91581533333.333099</v>
      </c>
      <c r="C905" s="2" t="s">
        <v>6</v>
      </c>
      <c r="D905" s="4">
        <f ca="1">IFERROR(__xludf.DUMMYFUNCTION("B905*GOOGLEFINANCE(""CURRENCY:USDINR"")"),6923563919999.98)</f>
        <v>6923563919999.9805</v>
      </c>
      <c r="E905" s="3"/>
    </row>
    <row r="906" spans="1:5" x14ac:dyDescent="0.25">
      <c r="A906" s="6">
        <v>905</v>
      </c>
      <c r="B906" s="6">
        <v>91708719047.618896</v>
      </c>
      <c r="C906" s="2" t="s">
        <v>6</v>
      </c>
      <c r="D906" s="4">
        <f ca="1">IFERROR(__xludf.DUMMYFUNCTION("B906*GOOGLEFINANCE(""CURRENCY:USDINR"")"),6933179159999.98)</f>
        <v>6933179159999.9805</v>
      </c>
      <c r="E906" s="3"/>
    </row>
    <row r="907" spans="1:5" x14ac:dyDescent="0.25">
      <c r="A907" s="6">
        <v>906</v>
      </c>
      <c r="B907" s="6">
        <v>91835904761.904602</v>
      </c>
      <c r="C907" s="2" t="s">
        <v>6</v>
      </c>
      <c r="D907" s="4">
        <f ca="1">IFERROR(__xludf.DUMMYFUNCTION("B907*GOOGLEFINANCE(""CURRENCY:USDINR"")"),6942794399999.98)</f>
        <v>6942794399999.9805</v>
      </c>
      <c r="E907" s="3"/>
    </row>
    <row r="908" spans="1:5" x14ac:dyDescent="0.25">
      <c r="A908" s="6">
        <v>907</v>
      </c>
      <c r="B908" s="6">
        <v>91963090476.190308</v>
      </c>
      <c r="C908" s="2" t="s">
        <v>6</v>
      </c>
      <c r="D908" s="4">
        <f ca="1">IFERROR(__xludf.DUMMYFUNCTION("B908*GOOGLEFINANCE(""CURRENCY:USDINR"")"),6952409639999.98)</f>
        <v>6952409639999.9805</v>
      </c>
      <c r="E908" s="3"/>
    </row>
    <row r="909" spans="1:5" x14ac:dyDescent="0.25">
      <c r="A909" s="6">
        <v>908</v>
      </c>
      <c r="B909" s="6">
        <v>92090276190.475998</v>
      </c>
      <c r="C909" s="2" t="s">
        <v>6</v>
      </c>
      <c r="D909" s="4">
        <f ca="1">IFERROR(__xludf.DUMMYFUNCTION("B909*GOOGLEFINANCE(""CURRENCY:USDINR"")"),6962024879999.98)</f>
        <v>6962024879999.9805</v>
      </c>
      <c r="E909" s="3"/>
    </row>
    <row r="910" spans="1:5" x14ac:dyDescent="0.25">
      <c r="A910" s="6">
        <v>909</v>
      </c>
      <c r="B910" s="6">
        <v>92217461904.761703</v>
      </c>
      <c r="C910" s="2" t="s">
        <v>6</v>
      </c>
      <c r="D910" s="4">
        <f ca="1">IFERROR(__xludf.DUMMYFUNCTION("B910*GOOGLEFINANCE(""CURRENCY:USDINR"")"),6971640119999.98)</f>
        <v>6971640119999.9805</v>
      </c>
      <c r="E910" s="3"/>
    </row>
    <row r="911" spans="1:5" x14ac:dyDescent="0.25">
      <c r="A911" s="6">
        <v>910</v>
      </c>
      <c r="B911" s="6">
        <v>92344647619.047394</v>
      </c>
      <c r="C911" s="2" t="s">
        <v>6</v>
      </c>
      <c r="D911" s="4">
        <f ca="1">IFERROR(__xludf.DUMMYFUNCTION("B911*GOOGLEFINANCE(""CURRENCY:USDINR"")"),6981255359999.98)</f>
        <v>6981255359999.9805</v>
      </c>
      <c r="E911" s="3"/>
    </row>
    <row r="912" spans="1:5" x14ac:dyDescent="0.25">
      <c r="A912" s="6">
        <v>911</v>
      </c>
      <c r="B912" s="6">
        <v>92471833333.333099</v>
      </c>
      <c r="C912" s="2" t="s">
        <v>6</v>
      </c>
      <c r="D912" s="4">
        <f ca="1">IFERROR(__xludf.DUMMYFUNCTION("B912*GOOGLEFINANCE(""CURRENCY:USDINR"")"),6990870599999.98)</f>
        <v>6990870599999.9805</v>
      </c>
      <c r="E912" s="3"/>
    </row>
    <row r="913" spans="1:5" x14ac:dyDescent="0.25">
      <c r="A913" s="6">
        <v>912</v>
      </c>
      <c r="B913" s="6">
        <v>92599019047.618896</v>
      </c>
      <c r="C913" s="2" t="s">
        <v>6</v>
      </c>
      <c r="D913" s="4">
        <f ca="1">IFERROR(__xludf.DUMMYFUNCTION("B913*GOOGLEFINANCE(""CURRENCY:USDINR"")"),7000485839999.98)</f>
        <v>7000485839999.9805</v>
      </c>
      <c r="E913" s="3"/>
    </row>
    <row r="914" spans="1:5" x14ac:dyDescent="0.25">
      <c r="A914" s="6">
        <v>913</v>
      </c>
      <c r="B914" s="6">
        <v>92726204761.904602</v>
      </c>
      <c r="C914" s="2" t="s">
        <v>6</v>
      </c>
      <c r="D914" s="4">
        <f ca="1">IFERROR(__xludf.DUMMYFUNCTION("B914*GOOGLEFINANCE(""CURRENCY:USDINR"")"),7010101079999.98)</f>
        <v>7010101079999.9805</v>
      </c>
      <c r="E914" s="3"/>
    </row>
    <row r="915" spans="1:5" x14ac:dyDescent="0.25">
      <c r="A915" s="6">
        <v>914</v>
      </c>
      <c r="B915" s="6">
        <v>92853390476.190308</v>
      </c>
      <c r="C915" s="2" t="s">
        <v>6</v>
      </c>
      <c r="D915" s="4">
        <f ca="1">IFERROR(__xludf.DUMMYFUNCTION("B915*GOOGLEFINANCE(""CURRENCY:USDINR"")"),7019716319999.98)</f>
        <v>7019716319999.9805</v>
      </c>
      <c r="E915" s="3"/>
    </row>
    <row r="916" spans="1:5" x14ac:dyDescent="0.25">
      <c r="A916" s="6">
        <v>915</v>
      </c>
      <c r="B916" s="6">
        <v>92980576190.475998</v>
      </c>
      <c r="C916" s="2" t="s">
        <v>6</v>
      </c>
      <c r="D916" s="4">
        <f ca="1">IFERROR(__xludf.DUMMYFUNCTION("B916*GOOGLEFINANCE(""CURRENCY:USDINR"")"),7029331559999.98)</f>
        <v>7029331559999.9805</v>
      </c>
      <c r="E916" s="3"/>
    </row>
    <row r="917" spans="1:5" x14ac:dyDescent="0.25">
      <c r="A917" s="6">
        <v>916</v>
      </c>
      <c r="B917" s="6">
        <v>93107761904.761703</v>
      </c>
      <c r="C917" s="2" t="s">
        <v>6</v>
      </c>
      <c r="D917" s="4">
        <f ca="1">IFERROR(__xludf.DUMMYFUNCTION("B917*GOOGLEFINANCE(""CURRENCY:USDINR"")"),7038946799999.98)</f>
        <v>7038946799999.9805</v>
      </c>
      <c r="E917" s="3"/>
    </row>
    <row r="918" spans="1:5" x14ac:dyDescent="0.25">
      <c r="A918" s="6">
        <v>917</v>
      </c>
      <c r="B918" s="6">
        <v>93234947619.047394</v>
      </c>
      <c r="C918" s="2" t="s">
        <v>6</v>
      </c>
      <c r="D918" s="4">
        <f ca="1">IFERROR(__xludf.DUMMYFUNCTION("B918*GOOGLEFINANCE(""CURRENCY:USDINR"")"),7048562039999.98)</f>
        <v>7048562039999.9805</v>
      </c>
      <c r="E918" s="3"/>
    </row>
    <row r="919" spans="1:5" x14ac:dyDescent="0.25">
      <c r="A919" s="6">
        <v>918</v>
      </c>
      <c r="B919" s="6">
        <v>93362133333.333099</v>
      </c>
      <c r="C919" s="2" t="s">
        <v>6</v>
      </c>
      <c r="D919" s="4">
        <f ca="1">IFERROR(__xludf.DUMMYFUNCTION("B919*GOOGLEFINANCE(""CURRENCY:USDINR"")"),7058177279999.98)</f>
        <v>7058177279999.9805</v>
      </c>
      <c r="E919" s="3"/>
    </row>
    <row r="920" spans="1:5" x14ac:dyDescent="0.25">
      <c r="A920" s="6">
        <v>919</v>
      </c>
      <c r="B920" s="6">
        <v>93489319047.618896</v>
      </c>
      <c r="C920" s="2" t="s">
        <v>6</v>
      </c>
      <c r="D920" s="4">
        <f ca="1">IFERROR(__xludf.DUMMYFUNCTION("B920*GOOGLEFINANCE(""CURRENCY:USDINR"")"),7067792519999.98)</f>
        <v>7067792519999.9805</v>
      </c>
      <c r="E920" s="3"/>
    </row>
    <row r="921" spans="1:5" x14ac:dyDescent="0.25">
      <c r="A921" s="6">
        <v>920</v>
      </c>
      <c r="B921" s="6">
        <v>93616504761.904602</v>
      </c>
      <c r="C921" s="2" t="s">
        <v>6</v>
      </c>
      <c r="D921" s="4">
        <f ca="1">IFERROR(__xludf.DUMMYFUNCTION("B921*GOOGLEFINANCE(""CURRENCY:USDINR"")"),7077407759999.98)</f>
        <v>7077407759999.9805</v>
      </c>
      <c r="E921" s="3"/>
    </row>
    <row r="922" spans="1:5" x14ac:dyDescent="0.25">
      <c r="A922" s="6">
        <v>921</v>
      </c>
      <c r="B922" s="6">
        <v>93743690476.190308</v>
      </c>
      <c r="C922" s="2" t="s">
        <v>6</v>
      </c>
      <c r="D922" s="4">
        <f ca="1">IFERROR(__xludf.DUMMYFUNCTION("B922*GOOGLEFINANCE(""CURRENCY:USDINR"")"),7087022999999.98)</f>
        <v>7087022999999.9805</v>
      </c>
      <c r="E922" s="3"/>
    </row>
    <row r="923" spans="1:5" x14ac:dyDescent="0.25">
      <c r="A923" s="6">
        <v>922</v>
      </c>
      <c r="B923" s="6">
        <v>93870876190.475998</v>
      </c>
      <c r="C923" s="2" t="s">
        <v>6</v>
      </c>
      <c r="D923" s="4">
        <f ca="1">IFERROR(__xludf.DUMMYFUNCTION("B923*GOOGLEFINANCE(""CURRENCY:USDINR"")"),7096638239999.98)</f>
        <v>7096638239999.9805</v>
      </c>
      <c r="E923" s="3"/>
    </row>
    <row r="924" spans="1:5" x14ac:dyDescent="0.25">
      <c r="A924" s="6">
        <v>923</v>
      </c>
      <c r="B924" s="6">
        <v>93998061904.761703</v>
      </c>
      <c r="C924" s="2" t="s">
        <v>6</v>
      </c>
      <c r="D924" s="4">
        <f ca="1">IFERROR(__xludf.DUMMYFUNCTION("B924*GOOGLEFINANCE(""CURRENCY:USDINR"")"),7106253479999.98)</f>
        <v>7106253479999.9805</v>
      </c>
      <c r="E924" s="3"/>
    </row>
    <row r="925" spans="1:5" x14ac:dyDescent="0.25">
      <c r="A925" s="6">
        <v>924</v>
      </c>
      <c r="B925" s="6">
        <v>94125247619.047394</v>
      </c>
      <c r="C925" s="2" t="s">
        <v>6</v>
      </c>
      <c r="D925" s="4">
        <f ca="1">IFERROR(__xludf.DUMMYFUNCTION("B925*GOOGLEFINANCE(""CURRENCY:USDINR"")"),7115868719999.98)</f>
        <v>7115868719999.9805</v>
      </c>
      <c r="E925" s="3"/>
    </row>
    <row r="926" spans="1:5" x14ac:dyDescent="0.25">
      <c r="A926" s="6">
        <v>925</v>
      </c>
      <c r="B926" s="6">
        <v>94252433333.333099</v>
      </c>
      <c r="C926" s="2" t="s">
        <v>6</v>
      </c>
      <c r="D926" s="4">
        <f ca="1">IFERROR(__xludf.DUMMYFUNCTION("B926*GOOGLEFINANCE(""CURRENCY:USDINR"")"),7125483959999.98)</f>
        <v>7125483959999.9805</v>
      </c>
      <c r="E926" s="3"/>
    </row>
    <row r="927" spans="1:5" x14ac:dyDescent="0.25">
      <c r="A927" s="6">
        <v>926</v>
      </c>
      <c r="B927" s="6">
        <v>94379619047.618896</v>
      </c>
      <c r="C927" s="2" t="s">
        <v>6</v>
      </c>
      <c r="D927" s="4">
        <f ca="1">IFERROR(__xludf.DUMMYFUNCTION("B927*GOOGLEFINANCE(""CURRENCY:USDINR"")"),7135099199999.98)</f>
        <v>7135099199999.9805</v>
      </c>
      <c r="E927" s="3"/>
    </row>
    <row r="928" spans="1:5" x14ac:dyDescent="0.25">
      <c r="A928" s="6">
        <v>927</v>
      </c>
      <c r="B928" s="6">
        <v>94506804761.904602</v>
      </c>
      <c r="C928" s="2" t="s">
        <v>6</v>
      </c>
      <c r="D928" s="4">
        <f ca="1">IFERROR(__xludf.DUMMYFUNCTION("B928*GOOGLEFINANCE(""CURRENCY:USDINR"")"),7144714439999.98)</f>
        <v>7144714439999.9805</v>
      </c>
      <c r="E928" s="3"/>
    </row>
    <row r="929" spans="1:5" x14ac:dyDescent="0.25">
      <c r="A929" s="6">
        <v>928</v>
      </c>
      <c r="B929" s="6">
        <v>94633990476.190308</v>
      </c>
      <c r="C929" s="2" t="s">
        <v>6</v>
      </c>
      <c r="D929" s="4">
        <f ca="1">IFERROR(__xludf.DUMMYFUNCTION("B929*GOOGLEFINANCE(""CURRENCY:USDINR"")"),7154329679999.98)</f>
        <v>7154329679999.9805</v>
      </c>
      <c r="E929" s="3"/>
    </row>
    <row r="930" spans="1:5" x14ac:dyDescent="0.25">
      <c r="A930" s="6">
        <v>929</v>
      </c>
      <c r="B930" s="6">
        <v>94761176190.475998</v>
      </c>
      <c r="C930" s="2" t="s">
        <v>6</v>
      </c>
      <c r="D930" s="4">
        <f ca="1">IFERROR(__xludf.DUMMYFUNCTION("B930*GOOGLEFINANCE(""CURRENCY:USDINR"")"),7163944919999.98)</f>
        <v>7163944919999.9805</v>
      </c>
      <c r="E930" s="3"/>
    </row>
    <row r="931" spans="1:5" x14ac:dyDescent="0.25">
      <c r="A931" s="6">
        <v>930</v>
      </c>
      <c r="B931" s="6">
        <v>94888361904.761703</v>
      </c>
      <c r="C931" s="2" t="s">
        <v>6</v>
      </c>
      <c r="D931" s="4">
        <f ca="1">IFERROR(__xludf.DUMMYFUNCTION("B931*GOOGLEFINANCE(""CURRENCY:USDINR"")"),7173560159999.98)</f>
        <v>7173560159999.9805</v>
      </c>
      <c r="E931" s="3"/>
    </row>
    <row r="932" spans="1:5" x14ac:dyDescent="0.25">
      <c r="A932" s="6">
        <v>931</v>
      </c>
      <c r="B932" s="6">
        <v>95015547619.047394</v>
      </c>
      <c r="C932" s="2" t="s">
        <v>6</v>
      </c>
      <c r="D932" s="4">
        <f ca="1">IFERROR(__xludf.DUMMYFUNCTION("B932*GOOGLEFINANCE(""CURRENCY:USDINR"")"),7183175399999.98)</f>
        <v>7183175399999.9805</v>
      </c>
      <c r="E932" s="3"/>
    </row>
    <row r="933" spans="1:5" x14ac:dyDescent="0.25">
      <c r="A933" s="6">
        <v>932</v>
      </c>
      <c r="B933" s="6">
        <v>95142733333.333099</v>
      </c>
      <c r="C933" s="2" t="s">
        <v>6</v>
      </c>
      <c r="D933" s="4">
        <f ca="1">IFERROR(__xludf.DUMMYFUNCTION("B933*GOOGLEFINANCE(""CURRENCY:USDINR"")"),7192790639999.98)</f>
        <v>7192790639999.9805</v>
      </c>
      <c r="E933" s="3"/>
    </row>
    <row r="934" spans="1:5" x14ac:dyDescent="0.25">
      <c r="A934" s="6">
        <v>933</v>
      </c>
      <c r="B934" s="6">
        <v>95269919047.618805</v>
      </c>
      <c r="C934" s="2" t="s">
        <v>6</v>
      </c>
      <c r="D934" s="4">
        <f ca="1">IFERROR(__xludf.DUMMYFUNCTION("B934*GOOGLEFINANCE(""CURRENCY:USDINR"")"),7202405879999.98)</f>
        <v>7202405879999.9805</v>
      </c>
      <c r="E934" s="3"/>
    </row>
    <row r="935" spans="1:5" x14ac:dyDescent="0.25">
      <c r="A935" s="6">
        <v>934</v>
      </c>
      <c r="B935" s="6">
        <v>95397104761.904602</v>
      </c>
      <c r="C935" s="2" t="s">
        <v>6</v>
      </c>
      <c r="D935" s="4">
        <f ca="1">IFERROR(__xludf.DUMMYFUNCTION("B935*GOOGLEFINANCE(""CURRENCY:USDINR"")"),7212021119999.98)</f>
        <v>7212021119999.9805</v>
      </c>
      <c r="E935" s="3"/>
    </row>
    <row r="936" spans="1:5" x14ac:dyDescent="0.25">
      <c r="A936" s="6">
        <v>935</v>
      </c>
      <c r="B936" s="6">
        <v>95524290476.190308</v>
      </c>
      <c r="C936" s="2" t="s">
        <v>6</v>
      </c>
      <c r="D936" s="4">
        <f ca="1">IFERROR(__xludf.DUMMYFUNCTION("B936*GOOGLEFINANCE(""CURRENCY:USDINR"")"),7221636359999.98)</f>
        <v>7221636359999.9805</v>
      </c>
      <c r="E936" s="3"/>
    </row>
    <row r="937" spans="1:5" x14ac:dyDescent="0.25">
      <c r="A937" s="6">
        <v>936</v>
      </c>
      <c r="B937" s="6">
        <v>95651476190.475998</v>
      </c>
      <c r="C937" s="2" t="s">
        <v>6</v>
      </c>
      <c r="D937" s="4">
        <f ca="1">IFERROR(__xludf.DUMMYFUNCTION("B937*GOOGLEFINANCE(""CURRENCY:USDINR"")"),7231251599999.98)</f>
        <v>7231251599999.9805</v>
      </c>
      <c r="E937" s="3"/>
    </row>
    <row r="938" spans="1:5" x14ac:dyDescent="0.25">
      <c r="A938" s="6">
        <v>937</v>
      </c>
      <c r="B938" s="6">
        <v>95778661904.761703</v>
      </c>
      <c r="C938" s="2" t="s">
        <v>6</v>
      </c>
      <c r="D938" s="4">
        <f ca="1">IFERROR(__xludf.DUMMYFUNCTION("B938*GOOGLEFINANCE(""CURRENCY:USDINR"")"),7240866839999.98)</f>
        <v>7240866839999.9805</v>
      </c>
      <c r="E938" s="3"/>
    </row>
    <row r="939" spans="1:5" x14ac:dyDescent="0.25">
      <c r="A939" s="6">
        <v>938</v>
      </c>
      <c r="B939" s="6">
        <v>95905847619.047394</v>
      </c>
      <c r="C939" s="2" t="s">
        <v>6</v>
      </c>
      <c r="D939" s="4">
        <f ca="1">IFERROR(__xludf.DUMMYFUNCTION("B939*GOOGLEFINANCE(""CURRENCY:USDINR"")"),7250482079999.98)</f>
        <v>7250482079999.9805</v>
      </c>
      <c r="E939" s="3"/>
    </row>
    <row r="940" spans="1:5" x14ac:dyDescent="0.25">
      <c r="A940" s="6">
        <v>939</v>
      </c>
      <c r="B940" s="6">
        <v>96033033333.333099</v>
      </c>
      <c r="C940" s="2" t="s">
        <v>6</v>
      </c>
      <c r="D940" s="4">
        <f ca="1">IFERROR(__xludf.DUMMYFUNCTION("B940*GOOGLEFINANCE(""CURRENCY:USDINR"")"),7260097319999.98)</f>
        <v>7260097319999.9805</v>
      </c>
      <c r="E940" s="3"/>
    </row>
    <row r="941" spans="1:5" x14ac:dyDescent="0.25">
      <c r="A941" s="6">
        <v>940</v>
      </c>
      <c r="B941" s="6">
        <v>96160219047.618805</v>
      </c>
      <c r="C941" s="2" t="s">
        <v>6</v>
      </c>
      <c r="D941" s="4">
        <f ca="1">IFERROR(__xludf.DUMMYFUNCTION("B941*GOOGLEFINANCE(""CURRENCY:USDINR"")"),7269712559999.98)</f>
        <v>7269712559999.9805</v>
      </c>
      <c r="E941" s="3"/>
    </row>
    <row r="942" spans="1:5" x14ac:dyDescent="0.25">
      <c r="A942" s="6">
        <v>941</v>
      </c>
      <c r="B942" s="6">
        <v>96287404761.904602</v>
      </c>
      <c r="C942" s="2" t="s">
        <v>6</v>
      </c>
      <c r="D942" s="4">
        <f ca="1">IFERROR(__xludf.DUMMYFUNCTION("B942*GOOGLEFINANCE(""CURRENCY:USDINR"")"),7279327799999.98)</f>
        <v>7279327799999.9805</v>
      </c>
      <c r="E942" s="3"/>
    </row>
    <row r="943" spans="1:5" x14ac:dyDescent="0.25">
      <c r="A943" s="6">
        <v>942</v>
      </c>
      <c r="B943" s="6">
        <v>96414590476.190308</v>
      </c>
      <c r="C943" s="2" t="s">
        <v>6</v>
      </c>
      <c r="D943" s="4">
        <f ca="1">IFERROR(__xludf.DUMMYFUNCTION("B943*GOOGLEFINANCE(""CURRENCY:USDINR"")"),7288943039999.98)</f>
        <v>7288943039999.9805</v>
      </c>
      <c r="E943" s="3"/>
    </row>
    <row r="944" spans="1:5" x14ac:dyDescent="0.25">
      <c r="A944" s="6">
        <v>943</v>
      </c>
      <c r="B944" s="6">
        <v>96541776190.475998</v>
      </c>
      <c r="C944" s="2" t="s">
        <v>6</v>
      </c>
      <c r="D944" s="4">
        <f ca="1">IFERROR(__xludf.DUMMYFUNCTION("B944*GOOGLEFINANCE(""CURRENCY:USDINR"")"),7298558279999.98)</f>
        <v>7298558279999.9805</v>
      </c>
      <c r="E944" s="3"/>
    </row>
    <row r="945" spans="1:5" x14ac:dyDescent="0.25">
      <c r="A945" s="6">
        <v>944</v>
      </c>
      <c r="B945" s="6">
        <v>96668961904.761703</v>
      </c>
      <c r="C945" s="2" t="s">
        <v>6</v>
      </c>
      <c r="D945" s="4">
        <f ca="1">IFERROR(__xludf.DUMMYFUNCTION("B945*GOOGLEFINANCE(""CURRENCY:USDINR"")"),7308173519999.98)</f>
        <v>7308173519999.9805</v>
      </c>
      <c r="E945" s="3"/>
    </row>
    <row r="946" spans="1:5" x14ac:dyDescent="0.25">
      <c r="A946" s="6">
        <v>945</v>
      </c>
      <c r="B946" s="6">
        <v>96796147619.047394</v>
      </c>
      <c r="C946" s="2" t="s">
        <v>6</v>
      </c>
      <c r="D946" s="4">
        <f ca="1">IFERROR(__xludf.DUMMYFUNCTION("B946*GOOGLEFINANCE(""CURRENCY:USDINR"")"),7317788759999.98)</f>
        <v>7317788759999.9805</v>
      </c>
      <c r="E946" s="3"/>
    </row>
    <row r="947" spans="1:5" x14ac:dyDescent="0.25">
      <c r="A947" s="6">
        <v>946</v>
      </c>
      <c r="B947" s="6">
        <v>96923333333.333099</v>
      </c>
      <c r="C947" s="2" t="s">
        <v>6</v>
      </c>
      <c r="D947" s="4">
        <f ca="1">IFERROR(__xludf.DUMMYFUNCTION("B947*GOOGLEFINANCE(""CURRENCY:USDINR"")"),7327403999999.98)</f>
        <v>7327403999999.9805</v>
      </c>
      <c r="E947" s="3"/>
    </row>
    <row r="948" spans="1:5" x14ac:dyDescent="0.25">
      <c r="A948" s="6">
        <v>947</v>
      </c>
      <c r="B948" s="6">
        <v>97050519047.618805</v>
      </c>
      <c r="C948" s="2" t="s">
        <v>6</v>
      </c>
      <c r="D948" s="4">
        <f ca="1">IFERROR(__xludf.DUMMYFUNCTION("B948*GOOGLEFINANCE(""CURRENCY:USDINR"")"),7337019239999.98)</f>
        <v>7337019239999.9805</v>
      </c>
      <c r="E948" s="3"/>
    </row>
    <row r="949" spans="1:5" x14ac:dyDescent="0.25">
      <c r="A949" s="6">
        <v>948</v>
      </c>
      <c r="B949" s="6">
        <v>97177704761.904602</v>
      </c>
      <c r="C949" s="2" t="s">
        <v>6</v>
      </c>
      <c r="D949" s="4">
        <f ca="1">IFERROR(__xludf.DUMMYFUNCTION("B949*GOOGLEFINANCE(""CURRENCY:USDINR"")"),7346634479999.98)</f>
        <v>7346634479999.9805</v>
      </c>
      <c r="E949" s="3"/>
    </row>
    <row r="950" spans="1:5" x14ac:dyDescent="0.25">
      <c r="A950" s="6">
        <v>949</v>
      </c>
      <c r="B950" s="6">
        <v>97304890476.190308</v>
      </c>
      <c r="C950" s="2" t="s">
        <v>6</v>
      </c>
      <c r="D950" s="4">
        <f ca="1">IFERROR(__xludf.DUMMYFUNCTION("B950*GOOGLEFINANCE(""CURRENCY:USDINR"")"),7356249719999.98)</f>
        <v>7356249719999.9805</v>
      </c>
      <c r="E950" s="3"/>
    </row>
    <row r="951" spans="1:5" x14ac:dyDescent="0.25">
      <c r="A951" s="6">
        <v>950</v>
      </c>
      <c r="B951" s="6">
        <v>97432076190.475998</v>
      </c>
      <c r="C951" s="2" t="s">
        <v>6</v>
      </c>
      <c r="D951" s="4">
        <f ca="1">IFERROR(__xludf.DUMMYFUNCTION("B951*GOOGLEFINANCE(""CURRENCY:USDINR"")"),7365864959999.98)</f>
        <v>7365864959999.9805</v>
      </c>
      <c r="E951" s="3"/>
    </row>
    <row r="952" spans="1:5" x14ac:dyDescent="0.25">
      <c r="A952" s="6">
        <v>951</v>
      </c>
      <c r="B952" s="6">
        <v>97559261904.761703</v>
      </c>
      <c r="C952" s="2" t="s">
        <v>6</v>
      </c>
      <c r="D952" s="4">
        <f ca="1">IFERROR(__xludf.DUMMYFUNCTION("B952*GOOGLEFINANCE(""CURRENCY:USDINR"")"),7375480199999.98)</f>
        <v>7375480199999.9805</v>
      </c>
      <c r="E952" s="3"/>
    </row>
    <row r="953" spans="1:5" x14ac:dyDescent="0.25">
      <c r="A953" s="6">
        <v>952</v>
      </c>
      <c r="B953" s="6">
        <v>97686447619.047394</v>
      </c>
      <c r="C953" s="2" t="s">
        <v>6</v>
      </c>
      <c r="D953" s="4">
        <f ca="1">IFERROR(__xludf.DUMMYFUNCTION("B953*GOOGLEFINANCE(""CURRENCY:USDINR"")"),7385095439999.98)</f>
        <v>7385095439999.9805</v>
      </c>
      <c r="E953" s="3"/>
    </row>
    <row r="954" spans="1:5" x14ac:dyDescent="0.25">
      <c r="A954" s="6">
        <v>953</v>
      </c>
      <c r="B954" s="6">
        <v>97813633333.333099</v>
      </c>
      <c r="C954" s="2" t="s">
        <v>6</v>
      </c>
      <c r="D954" s="4">
        <f ca="1">IFERROR(__xludf.DUMMYFUNCTION("B954*GOOGLEFINANCE(""CURRENCY:USDINR"")"),7394710679999.98)</f>
        <v>7394710679999.9805</v>
      </c>
      <c r="E954" s="3"/>
    </row>
    <row r="955" spans="1:5" x14ac:dyDescent="0.25">
      <c r="A955" s="6">
        <v>954</v>
      </c>
      <c r="B955" s="6">
        <v>97940819047.618805</v>
      </c>
      <c r="C955" s="2" t="s">
        <v>6</v>
      </c>
      <c r="D955" s="4">
        <f ca="1">IFERROR(__xludf.DUMMYFUNCTION("B955*GOOGLEFINANCE(""CURRENCY:USDINR"")"),7404325919999.98)</f>
        <v>7404325919999.9805</v>
      </c>
      <c r="E955" s="3"/>
    </row>
    <row r="956" spans="1:5" x14ac:dyDescent="0.25">
      <c r="A956" s="6">
        <v>955</v>
      </c>
      <c r="B956" s="6">
        <v>98068004761.904602</v>
      </c>
      <c r="C956" s="2" t="s">
        <v>6</v>
      </c>
      <c r="D956" s="4">
        <f ca="1">IFERROR(__xludf.DUMMYFUNCTION("B956*GOOGLEFINANCE(""CURRENCY:USDINR"")"),7413941159999.98)</f>
        <v>7413941159999.9805</v>
      </c>
      <c r="E956" s="3"/>
    </row>
    <row r="957" spans="1:5" x14ac:dyDescent="0.25">
      <c r="A957" s="6">
        <v>956</v>
      </c>
      <c r="B957" s="6">
        <v>98195190476.190308</v>
      </c>
      <c r="C957" s="2" t="s">
        <v>6</v>
      </c>
      <c r="D957" s="4">
        <f ca="1">IFERROR(__xludf.DUMMYFUNCTION("B957*GOOGLEFINANCE(""CURRENCY:USDINR"")"),7423556399999.98)</f>
        <v>7423556399999.9805</v>
      </c>
      <c r="E957" s="3"/>
    </row>
    <row r="958" spans="1:5" x14ac:dyDescent="0.25">
      <c r="A958" s="6">
        <v>957</v>
      </c>
      <c r="B958" s="6">
        <v>98322376190.475998</v>
      </c>
      <c r="C958" s="2" t="s">
        <v>6</v>
      </c>
      <c r="D958" s="4">
        <f ca="1">IFERROR(__xludf.DUMMYFUNCTION("B958*GOOGLEFINANCE(""CURRENCY:USDINR"")"),7433171639999.98)</f>
        <v>7433171639999.9805</v>
      </c>
      <c r="E958" s="3"/>
    </row>
    <row r="959" spans="1:5" x14ac:dyDescent="0.25">
      <c r="A959" s="6">
        <v>958</v>
      </c>
      <c r="B959" s="6">
        <v>98449561904.761703</v>
      </c>
      <c r="C959" s="2" t="s">
        <v>6</v>
      </c>
      <c r="D959" s="4">
        <f ca="1">IFERROR(__xludf.DUMMYFUNCTION("B959*GOOGLEFINANCE(""CURRENCY:USDINR"")"),7442786879999.98)</f>
        <v>7442786879999.9805</v>
      </c>
      <c r="E959" s="3"/>
    </row>
    <row r="960" spans="1:5" x14ac:dyDescent="0.25">
      <c r="A960" s="6">
        <v>959</v>
      </c>
      <c r="B960" s="6">
        <v>98576747619.047394</v>
      </c>
      <c r="C960" s="2" t="s">
        <v>6</v>
      </c>
      <c r="D960" s="4">
        <f ca="1">IFERROR(__xludf.DUMMYFUNCTION("B960*GOOGLEFINANCE(""CURRENCY:USDINR"")"),7452402119999.98)</f>
        <v>7452402119999.9805</v>
      </c>
      <c r="E960" s="3"/>
    </row>
    <row r="961" spans="1:5" x14ac:dyDescent="0.25">
      <c r="A961" s="6">
        <v>960</v>
      </c>
      <c r="B961" s="6">
        <v>98703933333.333099</v>
      </c>
      <c r="C961" s="2" t="s">
        <v>6</v>
      </c>
      <c r="D961" s="4">
        <f ca="1">IFERROR(__xludf.DUMMYFUNCTION("B961*GOOGLEFINANCE(""CURRENCY:USDINR"")"),7462017359999.98)</f>
        <v>7462017359999.9805</v>
      </c>
      <c r="E961" s="3"/>
    </row>
    <row r="962" spans="1:5" x14ac:dyDescent="0.25">
      <c r="A962" s="6">
        <v>961</v>
      </c>
      <c r="B962" s="6">
        <v>98831119047.618805</v>
      </c>
      <c r="C962" s="2" t="s">
        <v>6</v>
      </c>
      <c r="D962" s="4">
        <f ca="1">IFERROR(__xludf.DUMMYFUNCTION("B962*GOOGLEFINANCE(""CURRENCY:USDINR"")"),7471632599999.98)</f>
        <v>7471632599999.9805</v>
      </c>
      <c r="E962" s="3"/>
    </row>
    <row r="963" spans="1:5" x14ac:dyDescent="0.25">
      <c r="A963" s="6">
        <v>962</v>
      </c>
      <c r="B963" s="6">
        <v>98958304761.904602</v>
      </c>
      <c r="C963" s="2" t="s">
        <v>6</v>
      </c>
      <c r="D963" s="4">
        <f ca="1">IFERROR(__xludf.DUMMYFUNCTION("B963*GOOGLEFINANCE(""CURRENCY:USDINR"")"),7481247839999.98)</f>
        <v>7481247839999.9805</v>
      </c>
      <c r="E963" s="3"/>
    </row>
    <row r="964" spans="1:5" x14ac:dyDescent="0.25">
      <c r="A964" s="6">
        <v>963</v>
      </c>
      <c r="B964" s="6">
        <v>99085490476.190308</v>
      </c>
      <c r="C964" s="2" t="s">
        <v>6</v>
      </c>
      <c r="D964" s="4">
        <f ca="1">IFERROR(__xludf.DUMMYFUNCTION("B964*GOOGLEFINANCE(""CURRENCY:USDINR"")"),7490863079999.98)</f>
        <v>7490863079999.9805</v>
      </c>
      <c r="E964" s="3"/>
    </row>
    <row r="965" spans="1:5" x14ac:dyDescent="0.25">
      <c r="A965" s="6">
        <v>964</v>
      </c>
      <c r="B965" s="6">
        <v>99212676190.475998</v>
      </c>
      <c r="C965" s="2" t="s">
        <v>6</v>
      </c>
      <c r="D965" s="4">
        <f ca="1">IFERROR(__xludf.DUMMYFUNCTION("B965*GOOGLEFINANCE(""CURRENCY:USDINR"")"),7500478319999.98)</f>
        <v>7500478319999.9805</v>
      </c>
      <c r="E965" s="3"/>
    </row>
    <row r="966" spans="1:5" x14ac:dyDescent="0.25">
      <c r="A966" s="6">
        <v>965</v>
      </c>
      <c r="B966" s="6">
        <v>99339861904.761703</v>
      </c>
      <c r="C966" s="2" t="s">
        <v>6</v>
      </c>
      <c r="D966" s="4">
        <f ca="1">IFERROR(__xludf.DUMMYFUNCTION("B966*GOOGLEFINANCE(""CURRENCY:USDINR"")"),7510093559999.98)</f>
        <v>7510093559999.9805</v>
      </c>
      <c r="E966" s="3"/>
    </row>
    <row r="967" spans="1:5" x14ac:dyDescent="0.25">
      <c r="A967" s="6">
        <v>966</v>
      </c>
      <c r="B967" s="6">
        <v>99467047619.047394</v>
      </c>
      <c r="C967" s="2" t="s">
        <v>6</v>
      </c>
      <c r="D967" s="4">
        <f ca="1">IFERROR(__xludf.DUMMYFUNCTION("B967*GOOGLEFINANCE(""CURRENCY:USDINR"")"),7519708799999.98)</f>
        <v>7519708799999.9805</v>
      </c>
      <c r="E967" s="3"/>
    </row>
    <row r="968" spans="1:5" x14ac:dyDescent="0.25">
      <c r="A968" s="6">
        <v>967</v>
      </c>
      <c r="B968" s="6">
        <v>99594233333.333099</v>
      </c>
      <c r="C968" s="2" t="s">
        <v>6</v>
      </c>
      <c r="D968" s="4">
        <f ca="1">IFERROR(__xludf.DUMMYFUNCTION("B968*GOOGLEFINANCE(""CURRENCY:USDINR"")"),7529324039999.98)</f>
        <v>7529324039999.9805</v>
      </c>
      <c r="E968" s="3"/>
    </row>
    <row r="969" spans="1:5" x14ac:dyDescent="0.25">
      <c r="A969" s="6">
        <v>968</v>
      </c>
      <c r="B969" s="6">
        <v>99721419047.618805</v>
      </c>
      <c r="C969" s="2" t="s">
        <v>6</v>
      </c>
      <c r="D969" s="4">
        <f ca="1">IFERROR(__xludf.DUMMYFUNCTION("B969*GOOGLEFINANCE(""CURRENCY:USDINR"")"),7538939279999.98)</f>
        <v>7538939279999.9805</v>
      </c>
      <c r="E969" s="3"/>
    </row>
    <row r="970" spans="1:5" x14ac:dyDescent="0.25">
      <c r="A970" s="6">
        <v>969</v>
      </c>
      <c r="B970" s="6">
        <v>99848604761.904495</v>
      </c>
      <c r="C970" s="2" t="s">
        <v>6</v>
      </c>
      <c r="D970" s="4">
        <f ca="1">IFERROR(__xludf.DUMMYFUNCTION("B970*GOOGLEFINANCE(""CURRENCY:USDINR"")"),7548554519999.97)</f>
        <v>7548554519999.9697</v>
      </c>
      <c r="E970" s="3"/>
    </row>
    <row r="971" spans="1:5" x14ac:dyDescent="0.25">
      <c r="A971" s="6">
        <v>970</v>
      </c>
      <c r="B971" s="6">
        <v>99975790476.190308</v>
      </c>
      <c r="C971" s="2" t="s">
        <v>6</v>
      </c>
      <c r="D971" s="4">
        <f ca="1">IFERROR(__xludf.DUMMYFUNCTION("B971*GOOGLEFINANCE(""CURRENCY:USDINR"")"),7558169759999.98)</f>
        <v>7558169759999.9805</v>
      </c>
      <c r="E971" s="3"/>
    </row>
    <row r="972" spans="1:5" x14ac:dyDescent="0.25">
      <c r="A972" s="6">
        <v>971</v>
      </c>
      <c r="B972" s="6">
        <v>100102976190.476</v>
      </c>
      <c r="C972" s="2" t="s">
        <v>6</v>
      </c>
      <c r="D972" s="4">
        <f ca="1">IFERROR(__xludf.DUMMYFUNCTION("B972*GOOGLEFINANCE(""CURRENCY:USDINR"")"),7567784999999.98)</f>
        <v>7567784999999.9805</v>
      </c>
      <c r="E972" s="3"/>
    </row>
    <row r="973" spans="1:5" x14ac:dyDescent="0.25">
      <c r="A973" s="6">
        <v>972</v>
      </c>
      <c r="B973" s="6">
        <v>100230161904.76199</v>
      </c>
      <c r="C973" s="2" t="s">
        <v>6</v>
      </c>
      <c r="D973" s="4">
        <f ca="1">IFERROR(__xludf.DUMMYFUNCTION("B973*GOOGLEFINANCE(""CURRENCY:USDINR"")"),7577400240000)</f>
        <v>7577400240000</v>
      </c>
      <c r="E973" s="3"/>
    </row>
    <row r="974" spans="1:5" x14ac:dyDescent="0.25">
      <c r="A974" s="6">
        <v>973</v>
      </c>
      <c r="B974" s="6">
        <v>100357347619.047</v>
      </c>
      <c r="C974" s="2" t="s">
        <v>6</v>
      </c>
      <c r="D974" s="4">
        <f ca="1">IFERROR(__xludf.DUMMYFUNCTION("B974*GOOGLEFINANCE(""CURRENCY:USDINR"")"),7587015479999.95)</f>
        <v>7587015479999.9502</v>
      </c>
      <c r="E974" s="3"/>
    </row>
    <row r="975" spans="1:5" x14ac:dyDescent="0.25">
      <c r="A975" s="6">
        <v>974</v>
      </c>
      <c r="B975" s="6">
        <v>100484533333.33299</v>
      </c>
      <c r="C975" s="2" t="s">
        <v>6</v>
      </c>
      <c r="D975" s="4">
        <f ca="1">IFERROR(__xludf.DUMMYFUNCTION("B975*GOOGLEFINANCE(""CURRENCY:USDINR"")"),7596630719999.97)</f>
        <v>7596630719999.9697</v>
      </c>
      <c r="E975" s="3"/>
    </row>
    <row r="976" spans="1:5" x14ac:dyDescent="0.25">
      <c r="A976" s="6">
        <v>975</v>
      </c>
      <c r="B976" s="6">
        <v>100611719047.619</v>
      </c>
      <c r="C976" s="2" t="s">
        <v>6</v>
      </c>
      <c r="D976" s="4">
        <f ca="1">IFERROR(__xludf.DUMMYFUNCTION("B976*GOOGLEFINANCE(""CURRENCY:USDINR"")"),7606245959999.99)</f>
        <v>7606245959999.9902</v>
      </c>
      <c r="E976" s="3"/>
    </row>
    <row r="977" spans="1:5" x14ac:dyDescent="0.25">
      <c r="A977" s="6">
        <v>976</v>
      </c>
      <c r="B977" s="6">
        <v>100738904761.905</v>
      </c>
      <c r="C977" s="2" t="s">
        <v>6</v>
      </c>
      <c r="D977" s="4">
        <f ca="1">IFERROR(__xludf.DUMMYFUNCTION("B977*GOOGLEFINANCE(""CURRENCY:USDINR"")"),7615861200000.01)</f>
        <v>7615861200000.0098</v>
      </c>
      <c r="E977" s="3"/>
    </row>
    <row r="978" spans="1:5" x14ac:dyDescent="0.25">
      <c r="A978" s="6">
        <v>977</v>
      </c>
      <c r="B978" s="6">
        <v>100866090476.19</v>
      </c>
      <c r="C978" s="2" t="s">
        <v>6</v>
      </c>
      <c r="D978" s="4">
        <f ca="1">IFERROR(__xludf.DUMMYFUNCTION("B978*GOOGLEFINANCE(""CURRENCY:USDINR"")"),7625476439999.96)</f>
        <v>7625476439999.96</v>
      </c>
      <c r="E978" s="3"/>
    </row>
    <row r="979" spans="1:5" x14ac:dyDescent="0.25">
      <c r="A979" s="6">
        <v>978</v>
      </c>
      <c r="B979" s="6">
        <v>100993276190.476</v>
      </c>
      <c r="C979" s="2" t="s">
        <v>6</v>
      </c>
      <c r="D979" s="4">
        <f ca="1">IFERROR(__xludf.DUMMYFUNCTION("B979*GOOGLEFINANCE(""CURRENCY:USDINR"")"),7635091679999.98)</f>
        <v>7635091679999.9805</v>
      </c>
      <c r="E979" s="3"/>
    </row>
    <row r="980" spans="1:5" x14ac:dyDescent="0.25">
      <c r="A980" s="6">
        <v>979</v>
      </c>
      <c r="B980" s="6">
        <v>101120461904.76199</v>
      </c>
      <c r="C980" s="2" t="s">
        <v>6</v>
      </c>
      <c r="D980" s="4">
        <f ca="1">IFERROR(__xludf.DUMMYFUNCTION("B980*GOOGLEFINANCE(""CURRENCY:USDINR"")"),7644706920000)</f>
        <v>7644706920000</v>
      </c>
      <c r="E980" s="3"/>
    </row>
    <row r="981" spans="1:5" x14ac:dyDescent="0.25">
      <c r="A981" s="6">
        <v>980</v>
      </c>
      <c r="B981" s="6">
        <v>101247647619.047</v>
      </c>
      <c r="C981" s="2" t="s">
        <v>6</v>
      </c>
      <c r="D981" s="4">
        <f ca="1">IFERROR(__xludf.DUMMYFUNCTION("B981*GOOGLEFINANCE(""CURRENCY:USDINR"")"),7654322159999.95)</f>
        <v>7654322159999.9502</v>
      </c>
      <c r="E981" s="3"/>
    </row>
    <row r="982" spans="1:5" x14ac:dyDescent="0.25">
      <c r="A982" s="6">
        <v>981</v>
      </c>
      <c r="B982" s="6">
        <v>101374833333.33299</v>
      </c>
      <c r="C982" s="2" t="s">
        <v>6</v>
      </c>
      <c r="D982" s="4">
        <f ca="1">IFERROR(__xludf.DUMMYFUNCTION("B982*GOOGLEFINANCE(""CURRENCY:USDINR"")"),7663937399999.97)</f>
        <v>7663937399999.9697</v>
      </c>
      <c r="E982" s="3"/>
    </row>
    <row r="983" spans="1:5" x14ac:dyDescent="0.25">
      <c r="A983" s="6">
        <v>982</v>
      </c>
      <c r="B983" s="6">
        <v>101502019047.619</v>
      </c>
      <c r="C983" s="2" t="s">
        <v>6</v>
      </c>
      <c r="D983" s="4">
        <f ca="1">IFERROR(__xludf.DUMMYFUNCTION("B983*GOOGLEFINANCE(""CURRENCY:USDINR"")"),7673552639999.99)</f>
        <v>7673552639999.9902</v>
      </c>
      <c r="E983" s="3"/>
    </row>
    <row r="984" spans="1:5" x14ac:dyDescent="0.25">
      <c r="A984" s="6">
        <v>983</v>
      </c>
      <c r="B984" s="6">
        <v>101629204761.905</v>
      </c>
      <c r="C984" s="2" t="s">
        <v>6</v>
      </c>
      <c r="D984" s="4">
        <f ca="1">IFERROR(__xludf.DUMMYFUNCTION("B984*GOOGLEFINANCE(""CURRENCY:USDINR"")"),7683167880000.01)</f>
        <v>7683167880000.0098</v>
      </c>
      <c r="E984" s="3"/>
    </row>
    <row r="985" spans="1:5" x14ac:dyDescent="0.25">
      <c r="A985" s="6">
        <v>984</v>
      </c>
      <c r="B985" s="6">
        <v>101756390476.19</v>
      </c>
      <c r="C985" s="2" t="s">
        <v>6</v>
      </c>
      <c r="D985" s="4">
        <f ca="1">IFERROR(__xludf.DUMMYFUNCTION("B985*GOOGLEFINANCE(""CURRENCY:USDINR"")"),7692783119999.96)</f>
        <v>7692783119999.96</v>
      </c>
      <c r="E985" s="3"/>
    </row>
    <row r="986" spans="1:5" x14ac:dyDescent="0.25">
      <c r="A986" s="6">
        <v>985</v>
      </c>
      <c r="B986" s="6">
        <v>101883576190.476</v>
      </c>
      <c r="C986" s="2" t="s">
        <v>6</v>
      </c>
      <c r="D986" s="4">
        <f ca="1">IFERROR(__xludf.DUMMYFUNCTION("B986*GOOGLEFINANCE(""CURRENCY:USDINR"")"),7702398359999.98)</f>
        <v>7702398359999.9805</v>
      </c>
      <c r="E986" s="3"/>
    </row>
    <row r="987" spans="1:5" x14ac:dyDescent="0.25">
      <c r="A987" s="6">
        <v>986</v>
      </c>
      <c r="B987" s="6">
        <v>102010761904.76199</v>
      </c>
      <c r="C987" s="2" t="s">
        <v>6</v>
      </c>
      <c r="D987" s="4">
        <f ca="1">IFERROR(__xludf.DUMMYFUNCTION("B987*GOOGLEFINANCE(""CURRENCY:USDINR"")"),7712013600000)</f>
        <v>7712013600000</v>
      </c>
      <c r="E987" s="3"/>
    </row>
    <row r="988" spans="1:5" x14ac:dyDescent="0.25">
      <c r="A988" s="6">
        <v>987</v>
      </c>
      <c r="B988" s="6">
        <v>102137947619.047</v>
      </c>
      <c r="C988" s="2" t="s">
        <v>6</v>
      </c>
      <c r="D988" s="4">
        <f ca="1">IFERROR(__xludf.DUMMYFUNCTION("B988*GOOGLEFINANCE(""CURRENCY:USDINR"")"),7721628839999.95)</f>
        <v>7721628839999.9502</v>
      </c>
      <c r="E988" s="3"/>
    </row>
    <row r="989" spans="1:5" x14ac:dyDescent="0.25">
      <c r="A989" s="6">
        <v>988</v>
      </c>
      <c r="B989" s="6">
        <v>102265133333.33299</v>
      </c>
      <c r="C989" s="2" t="s">
        <v>6</v>
      </c>
      <c r="D989" s="4">
        <f ca="1">IFERROR(__xludf.DUMMYFUNCTION("B989*GOOGLEFINANCE(""CURRENCY:USDINR"")"),7731244079999.97)</f>
        <v>7731244079999.9697</v>
      </c>
      <c r="E989" s="3"/>
    </row>
    <row r="990" spans="1:5" x14ac:dyDescent="0.25">
      <c r="A990" s="6">
        <v>989</v>
      </c>
      <c r="B990" s="6">
        <v>102392319047.619</v>
      </c>
      <c r="C990" s="2" t="s">
        <v>6</v>
      </c>
      <c r="D990" s="4">
        <f ca="1">IFERROR(__xludf.DUMMYFUNCTION("B990*GOOGLEFINANCE(""CURRENCY:USDINR"")"),7740859319999.99)</f>
        <v>7740859319999.9902</v>
      </c>
      <c r="E990" s="3"/>
    </row>
    <row r="991" spans="1:5" x14ac:dyDescent="0.25">
      <c r="A991" s="6">
        <v>990</v>
      </c>
      <c r="B991" s="6">
        <v>102519504761.905</v>
      </c>
      <c r="C991" s="2" t="s">
        <v>6</v>
      </c>
      <c r="D991" s="4">
        <f ca="1">IFERROR(__xludf.DUMMYFUNCTION("B991*GOOGLEFINANCE(""CURRENCY:USDINR"")"),7750474560000.01)</f>
        <v>7750474560000.0098</v>
      </c>
      <c r="E991" s="3"/>
    </row>
    <row r="992" spans="1:5" x14ac:dyDescent="0.25">
      <c r="A992" s="6">
        <v>991</v>
      </c>
      <c r="B992" s="6">
        <v>102646690476.19</v>
      </c>
      <c r="C992" s="2" t="s">
        <v>6</v>
      </c>
      <c r="D992" s="4">
        <f ca="1">IFERROR(__xludf.DUMMYFUNCTION("B992*GOOGLEFINANCE(""CURRENCY:USDINR"")"),7760089799999.96)</f>
        <v>7760089799999.96</v>
      </c>
      <c r="E992" s="3"/>
    </row>
    <row r="993" spans="1:5" x14ac:dyDescent="0.25">
      <c r="A993" s="6">
        <v>992</v>
      </c>
      <c r="B993" s="6">
        <v>102773876190.476</v>
      </c>
      <c r="C993" s="2" t="s">
        <v>6</v>
      </c>
      <c r="D993" s="4">
        <f ca="1">IFERROR(__xludf.DUMMYFUNCTION("B993*GOOGLEFINANCE(""CURRENCY:USDINR"")"),7769705039999.98)</f>
        <v>7769705039999.9805</v>
      </c>
      <c r="E993" s="3"/>
    </row>
    <row r="994" spans="1:5" x14ac:dyDescent="0.25">
      <c r="A994" s="6">
        <v>993</v>
      </c>
      <c r="B994" s="6">
        <v>102901061904.76199</v>
      </c>
      <c r="C994" s="2" t="s">
        <v>6</v>
      </c>
      <c r="D994" s="4">
        <f ca="1">IFERROR(__xludf.DUMMYFUNCTION("B994*GOOGLEFINANCE(""CURRENCY:USDINR"")"),7779320280000)</f>
        <v>7779320280000</v>
      </c>
      <c r="E994" s="3"/>
    </row>
    <row r="995" spans="1:5" x14ac:dyDescent="0.25">
      <c r="A995" s="6">
        <v>994</v>
      </c>
      <c r="B995" s="6">
        <v>103028247619.047</v>
      </c>
      <c r="C995" s="2" t="s">
        <v>6</v>
      </c>
      <c r="D995" s="4">
        <f ca="1">IFERROR(__xludf.DUMMYFUNCTION("B995*GOOGLEFINANCE(""CURRENCY:USDINR"")"),7788935519999.95)</f>
        <v>7788935519999.9502</v>
      </c>
      <c r="E995" s="3"/>
    </row>
    <row r="996" spans="1:5" x14ac:dyDescent="0.25">
      <c r="A996" s="6">
        <v>995</v>
      </c>
      <c r="B996" s="6">
        <v>103155433333.33299</v>
      </c>
      <c r="C996" s="2" t="s">
        <v>6</v>
      </c>
      <c r="D996" s="4">
        <f ca="1">IFERROR(__xludf.DUMMYFUNCTION("B996*GOOGLEFINANCE(""CURRENCY:USDINR"")"),7798550759999.97)</f>
        <v>7798550759999.9697</v>
      </c>
      <c r="E996" s="3"/>
    </row>
    <row r="997" spans="1:5" x14ac:dyDescent="0.25">
      <c r="A997" s="6">
        <v>996</v>
      </c>
      <c r="B997" s="6">
        <v>103282619047.619</v>
      </c>
      <c r="C997" s="2" t="s">
        <v>6</v>
      </c>
      <c r="D997" s="4">
        <f ca="1">IFERROR(__xludf.DUMMYFUNCTION("B997*GOOGLEFINANCE(""CURRENCY:USDINR"")"),7808165999999.99)</f>
        <v>7808165999999.9902</v>
      </c>
      <c r="E997" s="3"/>
    </row>
    <row r="998" spans="1:5" x14ac:dyDescent="0.25">
      <c r="A998" s="6">
        <v>997</v>
      </c>
      <c r="B998" s="6">
        <v>103409804761.905</v>
      </c>
      <c r="C998" s="2" t="s">
        <v>6</v>
      </c>
      <c r="D998" s="4">
        <f ca="1">IFERROR(__xludf.DUMMYFUNCTION("B998*GOOGLEFINANCE(""CURRENCY:USDINR"")"),7817781240000.01)</f>
        <v>7817781240000.0098</v>
      </c>
      <c r="E998" s="3"/>
    </row>
    <row r="999" spans="1:5" x14ac:dyDescent="0.25">
      <c r="A999" s="6">
        <v>998</v>
      </c>
      <c r="B999" s="6">
        <v>103536990476.19</v>
      </c>
      <c r="C999" s="2" t="s">
        <v>6</v>
      </c>
      <c r="D999" s="4">
        <f ca="1">IFERROR(__xludf.DUMMYFUNCTION("B999*GOOGLEFINANCE(""CURRENCY:USDINR"")"),7827396479999.96)</f>
        <v>7827396479999.96</v>
      </c>
      <c r="E999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99"/>
  <sheetViews>
    <sheetView workbookViewId="0"/>
  </sheetViews>
  <sheetFormatPr defaultColWidth="14.42578125" defaultRowHeight="15.75" customHeight="1" x14ac:dyDescent="0.2"/>
  <cols>
    <col min="1" max="2" width="21.42578125" customWidth="1"/>
    <col min="3" max="3" width="22.8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1</v>
      </c>
      <c r="B2" s="2">
        <v>1000</v>
      </c>
      <c r="C2" s="3">
        <f ca="1">IFERROR(__xludf.DUMMYFUNCTION("B2*GOOGLEFINANCE(""CURRENCY:AUDINR"")"),53177.85)</f>
        <v>53177.85</v>
      </c>
    </row>
    <row r="3" spans="1:3" ht="15.75" customHeight="1" x14ac:dyDescent="0.25">
      <c r="A3" s="2">
        <v>2</v>
      </c>
      <c r="B3" s="2">
        <v>3306500000</v>
      </c>
      <c r="C3" s="3">
        <f ca="1">IFERROR(__xludf.DUMMYFUNCTION("B3*GOOGLEFINANCE(""CURRENCY:AUDINR"")"),175832561025)</f>
        <v>175832561025</v>
      </c>
    </row>
    <row r="4" spans="1:3" ht="15.75" customHeight="1" x14ac:dyDescent="0.25">
      <c r="A4" s="2">
        <v>3</v>
      </c>
      <c r="B4" s="2">
        <v>1697000000</v>
      </c>
      <c r="C4" s="3">
        <f ca="1">IFERROR(__xludf.DUMMYFUNCTION("B4*GOOGLEFINANCE(""CURRENCY:AUDINR"")"),90242811450)</f>
        <v>90242811450</v>
      </c>
    </row>
    <row r="5" spans="1:3" ht="15.75" customHeight="1" x14ac:dyDescent="0.25">
      <c r="A5" s="2">
        <v>4</v>
      </c>
      <c r="B5" s="2">
        <v>2596000000</v>
      </c>
      <c r="C5" s="3">
        <f ca="1">IFERROR(__xludf.DUMMYFUNCTION("B5*GOOGLEFINANCE(""CURRENCY:AUDINR"")"),138049698600)</f>
        <v>138049698600</v>
      </c>
    </row>
    <row r="6" spans="1:3" ht="15.75" customHeight="1" x14ac:dyDescent="0.25">
      <c r="A6" s="2">
        <v>5</v>
      </c>
      <c r="B6" s="2">
        <v>3437000000</v>
      </c>
      <c r="C6" s="3">
        <f ca="1">IFERROR(__xludf.DUMMYFUNCTION("B6*GOOGLEFINANCE(""CURRENCY:AUDINR"")"),182772270450)</f>
        <v>182772270450</v>
      </c>
    </row>
    <row r="7" spans="1:3" ht="15.75" customHeight="1" x14ac:dyDescent="0.25">
      <c r="A7" s="2">
        <v>6</v>
      </c>
      <c r="B7" s="2">
        <v>421000000</v>
      </c>
      <c r="C7" s="3">
        <f ca="1">IFERROR(__xludf.DUMMYFUNCTION("B7*GOOGLEFINANCE(""CURRENCY:AUDINR"")"),22387874850)</f>
        <v>22387874850</v>
      </c>
    </row>
    <row r="8" spans="1:3" ht="15.75" customHeight="1" x14ac:dyDescent="0.25">
      <c r="A8" s="2">
        <v>7</v>
      </c>
      <c r="B8" s="2">
        <v>2523500000</v>
      </c>
      <c r="C8" s="3">
        <f ca="1">IFERROR(__xludf.DUMMYFUNCTION("B8*GOOGLEFINANCE(""CURRENCY:AUDINR"")"),134194304475)</f>
        <v>134194304475</v>
      </c>
    </row>
    <row r="9" spans="1:3" ht="15.75" customHeight="1" x14ac:dyDescent="0.25">
      <c r="A9" s="2">
        <v>8</v>
      </c>
      <c r="B9" s="2">
        <v>3741500000</v>
      </c>
      <c r="C9" s="3">
        <f ca="1">IFERROR(__xludf.DUMMYFUNCTION("B9*GOOGLEFINANCE(""CURRENCY:AUDINR"")"),198964925775)</f>
        <v>198964925775</v>
      </c>
    </row>
    <row r="10" spans="1:3" ht="15.75" customHeight="1" x14ac:dyDescent="0.25">
      <c r="A10" s="2">
        <v>9</v>
      </c>
      <c r="B10" s="2">
        <v>4104000000</v>
      </c>
      <c r="C10" s="3">
        <f ca="1">IFERROR(__xludf.DUMMYFUNCTION("B10*GOOGLEFINANCE(""CURRENCY:AUDINR"")"),218241896400)</f>
        <v>218241896400</v>
      </c>
    </row>
    <row r="11" spans="1:3" ht="15.75" customHeight="1" x14ac:dyDescent="0.25">
      <c r="A11" s="2">
        <v>10</v>
      </c>
      <c r="B11" s="2">
        <v>1030000000</v>
      </c>
      <c r="C11" s="3">
        <f ca="1">IFERROR(__xludf.DUMMYFUNCTION("B11*GOOGLEFINANCE(""CURRENCY:AUDINR"")"),54773185500)</f>
        <v>54773185500</v>
      </c>
    </row>
    <row r="12" spans="1:3" ht="15.75" customHeight="1" x14ac:dyDescent="0.25">
      <c r="A12" s="2">
        <v>11</v>
      </c>
      <c r="B12" s="2">
        <v>116500000</v>
      </c>
      <c r="C12" s="3">
        <f ca="1">IFERROR(__xludf.DUMMYFUNCTION("B12*GOOGLEFINANCE(""CURRENCY:AUDINR"")"),6195219525)</f>
        <v>6195219525</v>
      </c>
    </row>
    <row r="13" spans="1:3" ht="15.75" customHeight="1" x14ac:dyDescent="0.25">
      <c r="A13" s="2">
        <v>12</v>
      </c>
      <c r="B13" s="2">
        <v>2538000000</v>
      </c>
      <c r="C13" s="3">
        <f ca="1">IFERROR(__xludf.DUMMYFUNCTION("B13*GOOGLEFINANCE(""CURRENCY:AUDINR"")"),134965383300)</f>
        <v>134965383300</v>
      </c>
    </row>
    <row r="14" spans="1:3" ht="15.75" customHeight="1" x14ac:dyDescent="0.25">
      <c r="A14" s="2">
        <v>13</v>
      </c>
      <c r="B14" s="2">
        <v>2378500000</v>
      </c>
      <c r="C14" s="3">
        <f ca="1">IFERROR(__xludf.DUMMYFUNCTION("B14*GOOGLEFINANCE(""CURRENCY:AUDINR"")"),126483516225)</f>
        <v>126483516225</v>
      </c>
    </row>
    <row r="15" spans="1:3" ht="15.75" customHeight="1" x14ac:dyDescent="0.25">
      <c r="A15" s="2">
        <v>14</v>
      </c>
      <c r="B15" s="2">
        <v>3495000000</v>
      </c>
      <c r="C15" s="3">
        <f ca="1">IFERROR(__xludf.DUMMYFUNCTION("B15*GOOGLEFINANCE(""CURRENCY:AUDINR"")"),185856585750)</f>
        <v>185856585750</v>
      </c>
    </row>
    <row r="16" spans="1:3" ht="15.75" customHeight="1" x14ac:dyDescent="0.25">
      <c r="A16" s="2">
        <v>15</v>
      </c>
      <c r="B16" s="2">
        <v>1653500000</v>
      </c>
      <c r="C16" s="3">
        <f ca="1">IFERROR(__xludf.DUMMYFUNCTION("B16*GOOGLEFINANCE(""CURRENCY:AUDINR"")"),87929574975)</f>
        <v>87929574975</v>
      </c>
    </row>
    <row r="17" spans="1:3" ht="15.75" customHeight="1" x14ac:dyDescent="0.25">
      <c r="A17" s="2">
        <v>16</v>
      </c>
      <c r="B17" s="2">
        <v>1465000000</v>
      </c>
      <c r="C17" s="3">
        <f ca="1">IFERROR(__xludf.DUMMYFUNCTION("B17*GOOGLEFINANCE(""CURRENCY:AUDINR"")"),77905550250)</f>
        <v>77905550250</v>
      </c>
    </row>
    <row r="18" spans="1:3" ht="15.75" customHeight="1" x14ac:dyDescent="0.25">
      <c r="A18" s="2">
        <v>17</v>
      </c>
      <c r="B18" s="2">
        <v>2799000000</v>
      </c>
      <c r="C18" s="3">
        <f ca="1">IFERROR(__xludf.DUMMYFUNCTION("B18*GOOGLEFINANCE(""CURRENCY:AUDINR"")"),148844802150)</f>
        <v>148844802150</v>
      </c>
    </row>
    <row r="19" spans="1:3" ht="15.75" customHeight="1" x14ac:dyDescent="0.25">
      <c r="A19" s="2">
        <v>18</v>
      </c>
      <c r="B19" s="2">
        <v>2001500000</v>
      </c>
      <c r="C19" s="3">
        <f ca="1">IFERROR(__xludf.DUMMYFUNCTION("B19*GOOGLEFINANCE(""CURRENCY:AUDINR"")"),106435466775)</f>
        <v>106435466775</v>
      </c>
    </row>
    <row r="20" spans="1:3" ht="15.75" customHeight="1" x14ac:dyDescent="0.25">
      <c r="A20" s="2">
        <v>19</v>
      </c>
      <c r="B20" s="2">
        <v>1943500000</v>
      </c>
      <c r="C20" s="3">
        <f ca="1">IFERROR(__xludf.DUMMYFUNCTION("B20*GOOGLEFINANCE(""CURRENCY:AUDINR"")"),103351151475)</f>
        <v>103351151475</v>
      </c>
    </row>
    <row r="21" spans="1:3" ht="15.75" customHeight="1" x14ac:dyDescent="0.25">
      <c r="A21" s="2">
        <v>20</v>
      </c>
      <c r="B21" s="2">
        <v>3219500000</v>
      </c>
      <c r="C21" s="3">
        <f ca="1">IFERROR(__xludf.DUMMYFUNCTION("B21*GOOGLEFINANCE(""CURRENCY:AUDINR"")"),171206088075)</f>
        <v>171206088075</v>
      </c>
    </row>
    <row r="22" spans="1:3" ht="15.75" customHeight="1" x14ac:dyDescent="0.25">
      <c r="A22" s="2">
        <v>21</v>
      </c>
      <c r="B22" s="2">
        <v>2465500000</v>
      </c>
      <c r="C22" s="3">
        <f ca="1">IFERROR(__xludf.DUMMYFUNCTION("B22*GOOGLEFINANCE(""CURRENCY:AUDINR"")"),131109989175)</f>
        <v>131109989175</v>
      </c>
    </row>
    <row r="23" spans="1:3" x14ac:dyDescent="0.25">
      <c r="A23" s="2">
        <v>22</v>
      </c>
      <c r="B23" s="2">
        <v>2567000000</v>
      </c>
      <c r="C23" s="3">
        <f ca="1">IFERROR(__xludf.DUMMYFUNCTION("B23*GOOGLEFINANCE(""CURRENCY:AUDINR"")"),136507540950)</f>
        <v>136507540950</v>
      </c>
    </row>
    <row r="24" spans="1:3" x14ac:dyDescent="0.25">
      <c r="A24" s="2">
        <v>23</v>
      </c>
      <c r="B24" s="2">
        <v>1407000000</v>
      </c>
      <c r="C24" s="3">
        <f ca="1">IFERROR(__xludf.DUMMYFUNCTION("B24*GOOGLEFINANCE(""CURRENCY:AUDINR"")"),74821234950)</f>
        <v>74821234950</v>
      </c>
    </row>
    <row r="25" spans="1:3" x14ac:dyDescent="0.25">
      <c r="A25" s="2">
        <v>24</v>
      </c>
      <c r="B25" s="2">
        <v>2929500000</v>
      </c>
      <c r="C25" s="3">
        <f ca="1">IFERROR(__xludf.DUMMYFUNCTION("B25*GOOGLEFINANCE(""CURRENCY:AUDINR"")"),155784511575)</f>
        <v>155784511575</v>
      </c>
    </row>
    <row r="26" spans="1:3" x14ac:dyDescent="0.25">
      <c r="A26" s="2">
        <v>25</v>
      </c>
      <c r="B26" s="2">
        <v>3959000000</v>
      </c>
      <c r="C26" s="3">
        <f ca="1">IFERROR(__xludf.DUMMYFUNCTION("B26*GOOGLEFINANCE(""CURRENCY:AUDINR"")"),210531108150)</f>
        <v>210531108150</v>
      </c>
    </row>
    <row r="27" spans="1:3" x14ac:dyDescent="0.25">
      <c r="A27" s="2">
        <v>26</v>
      </c>
      <c r="B27" s="2">
        <v>1784000000</v>
      </c>
      <c r="C27" s="3">
        <f ca="1">IFERROR(__xludf.DUMMYFUNCTION("B27*GOOGLEFINANCE(""CURRENCY:AUDINR"")"),94869284400)</f>
        <v>94869284400</v>
      </c>
    </row>
    <row r="28" spans="1:3" x14ac:dyDescent="0.25">
      <c r="A28" s="2">
        <v>27</v>
      </c>
      <c r="B28" s="2">
        <v>1958000000</v>
      </c>
      <c r="C28" s="3">
        <f ca="1">IFERROR(__xludf.DUMMYFUNCTION("B28*GOOGLEFINANCE(""CURRENCY:AUDINR"")"),104122230300)</f>
        <v>104122230300</v>
      </c>
    </row>
    <row r="29" spans="1:3" x14ac:dyDescent="0.25">
      <c r="A29" s="2">
        <v>28</v>
      </c>
      <c r="B29" s="2">
        <v>3567500000</v>
      </c>
      <c r="C29" s="3">
        <f ca="1">IFERROR(__xludf.DUMMYFUNCTION("B29*GOOGLEFINANCE(""CURRENCY:AUDINR"")"),189711979875)</f>
        <v>189711979875</v>
      </c>
    </row>
    <row r="30" spans="1:3" x14ac:dyDescent="0.25">
      <c r="A30" s="2">
        <v>29</v>
      </c>
      <c r="B30" s="2">
        <v>1566500000</v>
      </c>
      <c r="C30" s="3">
        <f ca="1">IFERROR(__xludf.DUMMYFUNCTION("B30*GOOGLEFINANCE(""CURRENCY:AUDINR"")"),83303102025)</f>
        <v>83303102025</v>
      </c>
    </row>
    <row r="31" spans="1:3" x14ac:dyDescent="0.25">
      <c r="A31" s="2">
        <v>30</v>
      </c>
      <c r="B31" s="2">
        <v>4075000000</v>
      </c>
      <c r="C31" s="3">
        <f ca="1">IFERROR(__xludf.DUMMYFUNCTION("B31*GOOGLEFINANCE(""CURRENCY:AUDINR"")"),216699738750)</f>
        <v>216699738750</v>
      </c>
    </row>
    <row r="32" spans="1:3" x14ac:dyDescent="0.25">
      <c r="A32" s="2">
        <v>31</v>
      </c>
      <c r="B32" s="2">
        <v>798000000</v>
      </c>
      <c r="C32" s="3">
        <f ca="1">IFERROR(__xludf.DUMMYFUNCTION("B32*GOOGLEFINANCE(""CURRENCY:AUDINR"")"),42435924300)</f>
        <v>42435924300</v>
      </c>
    </row>
    <row r="33" spans="1:3" x14ac:dyDescent="0.25">
      <c r="A33" s="2">
        <v>32</v>
      </c>
      <c r="B33" s="2">
        <v>638500000</v>
      </c>
      <c r="C33" s="3">
        <f ca="1">IFERROR(__xludf.DUMMYFUNCTION("B33*GOOGLEFINANCE(""CURRENCY:AUDINR"")"),33954057225)</f>
        <v>33954057225</v>
      </c>
    </row>
    <row r="34" spans="1:3" x14ac:dyDescent="0.25">
      <c r="A34" s="2">
        <v>33</v>
      </c>
      <c r="B34" s="2">
        <v>4089500000</v>
      </c>
      <c r="C34" s="3">
        <f ca="1">IFERROR(__xludf.DUMMYFUNCTION("B34*GOOGLEFINANCE(""CURRENCY:AUDINR"")"),217470817575)</f>
        <v>217470817575</v>
      </c>
    </row>
    <row r="35" spans="1:3" x14ac:dyDescent="0.25">
      <c r="A35" s="2">
        <v>34</v>
      </c>
      <c r="B35" s="2">
        <v>1160500000</v>
      </c>
      <c r="C35" s="3">
        <f ca="1">IFERROR(__xludf.DUMMYFUNCTION("B35*GOOGLEFINANCE(""CURRENCY:AUDINR"")"),61712894925)</f>
        <v>61712894925</v>
      </c>
    </row>
    <row r="36" spans="1:3" x14ac:dyDescent="0.25">
      <c r="A36" s="2">
        <v>35</v>
      </c>
      <c r="B36" s="2">
        <v>1320000000</v>
      </c>
      <c r="C36" s="3">
        <f ca="1">IFERROR(__xludf.DUMMYFUNCTION("B36*GOOGLEFINANCE(""CURRENCY:AUDINR"")"),70194762000)</f>
        <v>70194762000</v>
      </c>
    </row>
    <row r="37" spans="1:3" x14ac:dyDescent="0.25">
      <c r="A37" s="2">
        <v>36</v>
      </c>
      <c r="B37" s="2">
        <v>2248000000</v>
      </c>
      <c r="C37" s="3">
        <f ca="1">IFERROR(__xludf.DUMMYFUNCTION("B37*GOOGLEFINANCE(""CURRENCY:AUDINR"")"),119543806800)</f>
        <v>119543806800</v>
      </c>
    </row>
    <row r="38" spans="1:3" x14ac:dyDescent="0.25">
      <c r="A38" s="2">
        <v>37</v>
      </c>
      <c r="B38" s="2">
        <v>682000000</v>
      </c>
      <c r="C38" s="3">
        <f ca="1">IFERROR(__xludf.DUMMYFUNCTION("B38*GOOGLEFINANCE(""CURRENCY:AUDINR"")"),36267293700)</f>
        <v>36267293700</v>
      </c>
    </row>
    <row r="39" spans="1:3" x14ac:dyDescent="0.25">
      <c r="A39" s="2">
        <v>38</v>
      </c>
      <c r="B39" s="2">
        <v>2886000000</v>
      </c>
      <c r="C39" s="3">
        <f ca="1">IFERROR(__xludf.DUMMYFUNCTION("B39*GOOGLEFINANCE(""CURRENCY:AUDINR"")"),153471275100)</f>
        <v>153471275100</v>
      </c>
    </row>
    <row r="40" spans="1:3" x14ac:dyDescent="0.25">
      <c r="A40" s="2">
        <v>39</v>
      </c>
      <c r="B40" s="2">
        <v>1363500000</v>
      </c>
      <c r="C40" s="3">
        <f ca="1">IFERROR(__xludf.DUMMYFUNCTION("B40*GOOGLEFINANCE(""CURRENCY:AUDINR"")"),72507998475)</f>
        <v>72507998475</v>
      </c>
    </row>
    <row r="41" spans="1:3" x14ac:dyDescent="0.25">
      <c r="A41" s="2">
        <v>40</v>
      </c>
      <c r="B41" s="2">
        <v>769000000</v>
      </c>
      <c r="C41" s="3">
        <f ca="1">IFERROR(__xludf.DUMMYFUNCTION("B41*GOOGLEFINANCE(""CURRENCY:AUDINR"")"),40893766650)</f>
        <v>40893766650</v>
      </c>
    </row>
    <row r="42" spans="1:3" x14ac:dyDescent="0.25">
      <c r="A42" s="2">
        <v>41</v>
      </c>
      <c r="B42" s="2">
        <v>1392500000</v>
      </c>
      <c r="C42" s="3">
        <f ca="1">IFERROR(__xludf.DUMMYFUNCTION("B42*GOOGLEFINANCE(""CURRENCY:AUDINR"")"),74050156125)</f>
        <v>74050156125</v>
      </c>
    </row>
    <row r="43" spans="1:3" x14ac:dyDescent="0.25">
      <c r="A43" s="2">
        <v>42</v>
      </c>
      <c r="B43" s="2">
        <v>3944500000</v>
      </c>
      <c r="C43" s="3">
        <f ca="1">IFERROR(__xludf.DUMMYFUNCTION("B43*GOOGLEFINANCE(""CURRENCY:AUDINR"")"),209760029325)</f>
        <v>209760029325</v>
      </c>
    </row>
    <row r="44" spans="1:3" x14ac:dyDescent="0.25">
      <c r="A44" s="2">
        <v>43</v>
      </c>
      <c r="B44" s="2">
        <v>0.9</v>
      </c>
      <c r="C44" s="3">
        <f ca="1">IFERROR(__xludf.DUMMYFUNCTION("B44*GOOGLEFINANCE(""CURRENCY:AUDINR"")"),47.860065)</f>
        <v>47.860064999999999</v>
      </c>
    </row>
    <row r="45" spans="1:3" x14ac:dyDescent="0.25">
      <c r="A45" s="2">
        <v>44</v>
      </c>
      <c r="B45" s="2">
        <v>58500000</v>
      </c>
      <c r="C45" s="3">
        <f ca="1">IFERROR(__xludf.DUMMYFUNCTION("B45*GOOGLEFINANCE(""CURRENCY:AUDINR"")"),3110904225)</f>
        <v>3110904225</v>
      </c>
    </row>
    <row r="46" spans="1:3" x14ac:dyDescent="0.25">
      <c r="A46" s="2">
        <v>45</v>
      </c>
      <c r="B46" s="2">
        <v>3669000000</v>
      </c>
      <c r="C46" s="3">
        <f ca="1">IFERROR(__xludf.DUMMYFUNCTION("B46*GOOGLEFINANCE(""CURRENCY:AUDINR"")"),195109531650)</f>
        <v>195109531650</v>
      </c>
    </row>
    <row r="47" spans="1:3" x14ac:dyDescent="0.25">
      <c r="A47" s="2">
        <v>46</v>
      </c>
      <c r="B47" s="2">
        <v>2364000000</v>
      </c>
      <c r="C47" s="3">
        <f ca="1">IFERROR(__xludf.DUMMYFUNCTION("B47*GOOGLEFINANCE(""CURRENCY:AUDINR"")"),125712437400)</f>
        <v>125712437400</v>
      </c>
    </row>
    <row r="48" spans="1:3" x14ac:dyDescent="0.25">
      <c r="A48" s="2">
        <v>47</v>
      </c>
      <c r="B48" s="2">
        <v>4031500000</v>
      </c>
      <c r="C48" s="3">
        <f ca="1">IFERROR(__xludf.DUMMYFUNCTION("B48*GOOGLEFINANCE(""CURRENCY:AUDINR"")"),214386502275)</f>
        <v>214386502275</v>
      </c>
    </row>
    <row r="49" spans="1:3" x14ac:dyDescent="0.25">
      <c r="A49" s="2">
        <v>48</v>
      </c>
      <c r="B49" s="2">
        <v>624000000</v>
      </c>
      <c r="C49" s="3">
        <f ca="1">IFERROR(__xludf.DUMMYFUNCTION("B49*GOOGLEFINANCE(""CURRENCY:AUDINR"")"),33182978400)</f>
        <v>33182978400</v>
      </c>
    </row>
    <row r="50" spans="1:3" x14ac:dyDescent="0.25">
      <c r="A50" s="2">
        <v>49</v>
      </c>
      <c r="B50" s="2">
        <v>4017000000</v>
      </c>
      <c r="C50" s="3">
        <f ca="1">IFERROR(__xludf.DUMMYFUNCTION("B50*GOOGLEFINANCE(""CURRENCY:AUDINR"")"),213615423450)</f>
        <v>213615423450</v>
      </c>
    </row>
    <row r="51" spans="1:3" x14ac:dyDescent="0.25">
      <c r="A51" s="2">
        <v>50</v>
      </c>
      <c r="B51" s="2">
        <v>102000000</v>
      </c>
      <c r="C51" s="3">
        <f ca="1">IFERROR(__xludf.DUMMYFUNCTION("B51*GOOGLEFINANCE(""CURRENCY:AUDINR"")"),5424140700)</f>
        <v>5424140700</v>
      </c>
    </row>
    <row r="52" spans="1:3" x14ac:dyDescent="0.25">
      <c r="A52" s="2">
        <v>51</v>
      </c>
      <c r="B52" s="2">
        <v>3524000000</v>
      </c>
      <c r="C52" s="3">
        <f ca="1">IFERROR(__xludf.DUMMYFUNCTION("B52*GOOGLEFINANCE(""CURRENCY:AUDINR"")"),187398743400)</f>
        <v>187398743400</v>
      </c>
    </row>
    <row r="53" spans="1:3" x14ac:dyDescent="0.25">
      <c r="A53" s="2">
        <v>52</v>
      </c>
      <c r="B53" s="2">
        <v>-1000</v>
      </c>
      <c r="C53" s="3">
        <f ca="1">IFERROR(__xludf.DUMMYFUNCTION("B53*GOOGLEFINANCE(""CURRENCY:AUDINR"")"),-53177.85)</f>
        <v>-53177.85</v>
      </c>
    </row>
    <row r="54" spans="1:3" x14ac:dyDescent="0.25">
      <c r="A54" s="2">
        <v>53</v>
      </c>
      <c r="B54" s="2">
        <v>-0.999</v>
      </c>
      <c r="C54" s="3">
        <f ca="1">IFERROR(__xludf.DUMMYFUNCTION("B54*GOOGLEFINANCE(""CURRENCY:AUDINR"")"),-53.12467215)</f>
        <v>-53.124672150000002</v>
      </c>
    </row>
    <row r="55" spans="1:3" x14ac:dyDescent="0.25">
      <c r="A55" s="2">
        <v>54</v>
      </c>
      <c r="B55" s="2">
        <v>1110799999.2007999</v>
      </c>
      <c r="C55" s="3">
        <f ca="1">IFERROR(__xludf.DUMMYFUNCTION("B55*GOOGLEFINANCE(""CURRENCY:AUDINR"")"),59069955737.5002)</f>
        <v>59069955737.500198</v>
      </c>
    </row>
    <row r="56" spans="1:3" x14ac:dyDescent="0.25">
      <c r="A56" s="2">
        <v>55</v>
      </c>
      <c r="B56" s="2">
        <v>701799999.00100005</v>
      </c>
      <c r="C56" s="3">
        <f ca="1">IFERROR(__xludf.DUMMYFUNCTION("B56*GOOGLEFINANCE(""CURRENCY:AUDINR"")"),37320215076.8753)</f>
        <v>37320215076.875298</v>
      </c>
    </row>
    <row r="57" spans="1:3" x14ac:dyDescent="0.25">
      <c r="A57" s="2">
        <v>56</v>
      </c>
      <c r="B57" s="2">
        <v>292799998.80119997</v>
      </c>
      <c r="C57" s="3">
        <f ca="1">IFERROR(__xludf.DUMMYFUNCTION("B57*GOOGLEFINANCE(""CURRENCY:AUDINR"")"),15570474416.2503)</f>
        <v>15570474416.250299</v>
      </c>
    </row>
    <row r="58" spans="1:3" x14ac:dyDescent="0.25">
      <c r="A58" s="2">
        <v>57</v>
      </c>
      <c r="B58" s="2">
        <v>-116200001.3986</v>
      </c>
      <c r="C58" s="3">
        <f ca="1">IFERROR(__xludf.DUMMYFUNCTION("B58*GOOGLEFINANCE(""CURRENCY:AUDINR"")"),-6179266244.37454)</f>
        <v>-6179266244.3745403</v>
      </c>
    </row>
    <row r="59" spans="1:3" x14ac:dyDescent="0.25">
      <c r="A59" s="2">
        <v>58</v>
      </c>
      <c r="B59" s="2">
        <v>-525200001.5984</v>
      </c>
      <c r="C59" s="3">
        <f ca="1">IFERROR(__xludf.DUMMYFUNCTION("B59*GOOGLEFINANCE(""CURRENCY:AUDINR"")"),-27929006904.9994)</f>
        <v>-27929006904.999401</v>
      </c>
    </row>
    <row r="60" spans="1:3" x14ac:dyDescent="0.25">
      <c r="A60" s="2">
        <v>59</v>
      </c>
      <c r="B60" s="2">
        <v>-934200001.79820001</v>
      </c>
      <c r="C60" s="3">
        <f ca="1">IFERROR(__xludf.DUMMYFUNCTION("B60*GOOGLEFINANCE(""CURRENCY:AUDINR"")"),-49678747565.6244)</f>
        <v>-49678747565.624397</v>
      </c>
    </row>
    <row r="61" spans="1:3" x14ac:dyDescent="0.25">
      <c r="A61" s="2">
        <v>60</v>
      </c>
      <c r="B61" s="2">
        <v>-1343200001.9979999</v>
      </c>
      <c r="C61" s="3">
        <f ca="1">IFERROR(__xludf.DUMMYFUNCTION("B61*GOOGLEFINANCE(""CURRENCY:AUDINR"")"),-71428488226.2493)</f>
        <v>-71428488226.249298</v>
      </c>
    </row>
    <row r="62" spans="1:3" x14ac:dyDescent="0.25">
      <c r="A62" s="2">
        <v>61</v>
      </c>
      <c r="B62" s="2">
        <v>-1752200002.1977999</v>
      </c>
      <c r="C62" s="3">
        <f ca="1">IFERROR(__xludf.DUMMYFUNCTION("B62*GOOGLEFINANCE(""CURRENCY:AUDINR"")"),-93178228886.8742)</f>
        <v>-93178228886.874207</v>
      </c>
    </row>
    <row r="63" spans="1:3" x14ac:dyDescent="0.25">
      <c r="A63" s="2">
        <v>62</v>
      </c>
      <c r="B63" s="2">
        <v>-2161200002.3976002</v>
      </c>
      <c r="C63" s="3">
        <f ca="1">IFERROR(__xludf.DUMMYFUNCTION("B63*GOOGLEFINANCE(""CURRENCY:AUDINR"")"),-114927969547.499)</f>
        <v>-114927969547.49899</v>
      </c>
    </row>
    <row r="64" spans="1:3" x14ac:dyDescent="0.25">
      <c r="A64" s="2">
        <v>63</v>
      </c>
      <c r="B64" s="2">
        <v>-2570200002.5974002</v>
      </c>
      <c r="C64" s="3">
        <f ca="1">IFERROR(__xludf.DUMMYFUNCTION("B64*GOOGLEFINANCE(""CURRENCY:AUDINR"")"),-136677710208.124)</f>
        <v>-136677710208.12399</v>
      </c>
    </row>
    <row r="65" spans="1:3" x14ac:dyDescent="0.25">
      <c r="A65" s="2">
        <v>64</v>
      </c>
      <c r="B65" s="2">
        <v>-2979200002.7972002</v>
      </c>
      <c r="C65" s="3">
        <f ca="1">IFERROR(__xludf.DUMMYFUNCTION("B65*GOOGLEFINANCE(""CURRENCY:AUDINR"")"),-158427450868.749)</f>
        <v>-158427450868.74899</v>
      </c>
    </row>
    <row r="66" spans="1:3" x14ac:dyDescent="0.25">
      <c r="A66" s="2">
        <v>65</v>
      </c>
      <c r="B66" s="2">
        <v>-3388200002.9970002</v>
      </c>
      <c r="C66" s="3">
        <f ca="1">IFERROR(__xludf.DUMMYFUNCTION("B66*GOOGLEFINANCE(""CURRENCY:AUDINR"")"),-180177191529.374)</f>
        <v>-180177191529.37399</v>
      </c>
    </row>
    <row r="67" spans="1:3" x14ac:dyDescent="0.25">
      <c r="A67" s="2">
        <v>66</v>
      </c>
      <c r="B67" s="2">
        <v>-3797200003.1968002</v>
      </c>
      <c r="C67" s="3">
        <f ca="1">IFERROR(__xludf.DUMMYFUNCTION("B67*GOOGLEFINANCE(""CURRENCY:AUDINR"")"),-201926932189.998)</f>
        <v>-201926932189.99799</v>
      </c>
    </row>
    <row r="68" spans="1:3" x14ac:dyDescent="0.25">
      <c r="A68" s="2">
        <v>67</v>
      </c>
      <c r="B68" s="2">
        <v>-4206200003.3965998</v>
      </c>
      <c r="C68" s="3">
        <f ca="1">IFERROR(__xludf.DUMMYFUNCTION("B68*GOOGLEFINANCE(""CURRENCY:AUDINR"")"),-223676672850.623)</f>
        <v>-223676672850.62299</v>
      </c>
    </row>
    <row r="69" spans="1:3" x14ac:dyDescent="0.25">
      <c r="A69" s="2">
        <v>68</v>
      </c>
      <c r="B69" s="2">
        <v>-4615200003.5964003</v>
      </c>
      <c r="C69" s="3">
        <f ca="1">IFERROR(__xludf.DUMMYFUNCTION("B69*GOOGLEFINANCE(""CURRENCY:AUDINR"")"),-245426413511.248)</f>
        <v>-245426413511.24799</v>
      </c>
    </row>
    <row r="70" spans="1:3" x14ac:dyDescent="0.25">
      <c r="A70" s="2">
        <v>69</v>
      </c>
      <c r="B70" s="2">
        <v>1508500000</v>
      </c>
      <c r="C70" s="3">
        <f ca="1">IFERROR(__xludf.DUMMYFUNCTION("B70*GOOGLEFINANCE(""CURRENCY:AUDINR"")"),80218786725)</f>
        <v>80218786725</v>
      </c>
    </row>
    <row r="71" spans="1:3" x14ac:dyDescent="0.25">
      <c r="A71" s="2">
        <v>70</v>
      </c>
      <c r="B71" s="2">
        <v>2509000000</v>
      </c>
      <c r="C71" s="3">
        <f ca="1">IFERROR(__xludf.DUMMYFUNCTION("B71*GOOGLEFINANCE(""CURRENCY:AUDINR"")"),133423225650)</f>
        <v>133423225650</v>
      </c>
    </row>
    <row r="72" spans="1:3" x14ac:dyDescent="0.25">
      <c r="A72" s="2">
        <v>71</v>
      </c>
      <c r="B72" s="2">
        <v>2944000000</v>
      </c>
      <c r="C72" s="3">
        <f ca="1">IFERROR(__xludf.DUMMYFUNCTION("B72*GOOGLEFINANCE(""CURRENCY:AUDINR"")"),156555590400)</f>
        <v>156555590400</v>
      </c>
    </row>
    <row r="73" spans="1:3" x14ac:dyDescent="0.25">
      <c r="A73" s="2">
        <v>72</v>
      </c>
      <c r="B73" s="2">
        <v>3161500000</v>
      </c>
      <c r="C73" s="3">
        <f ca="1">IFERROR(__xludf.DUMMYFUNCTION("B73*GOOGLEFINANCE(""CURRENCY:AUDINR"")"),168121772775)</f>
        <v>168121772775</v>
      </c>
    </row>
    <row r="74" spans="1:3" x14ac:dyDescent="0.25">
      <c r="A74" s="2">
        <v>73</v>
      </c>
      <c r="B74" s="2">
        <v>3596500000</v>
      </c>
      <c r="C74" s="3">
        <f ca="1">IFERROR(__xludf.DUMMYFUNCTION("B74*GOOGLEFINANCE(""CURRENCY:AUDINR"")"),191254137525)</f>
        <v>191254137525</v>
      </c>
    </row>
    <row r="75" spans="1:3" x14ac:dyDescent="0.25">
      <c r="A75" s="2">
        <v>74</v>
      </c>
      <c r="B75" s="2">
        <v>943000000</v>
      </c>
      <c r="C75" s="3">
        <f ca="1">IFERROR(__xludf.DUMMYFUNCTION("B75*GOOGLEFINANCE(""CURRENCY:AUDINR"")"),50146712550)</f>
        <v>50146712550</v>
      </c>
    </row>
    <row r="76" spans="1:3" x14ac:dyDescent="0.25">
      <c r="A76" s="2">
        <v>75</v>
      </c>
      <c r="B76" s="2">
        <v>3002000000</v>
      </c>
      <c r="C76" s="3">
        <f ca="1">IFERROR(__xludf.DUMMYFUNCTION("B76*GOOGLEFINANCE(""CURRENCY:AUDINR"")"),159639905700)</f>
        <v>159639905700</v>
      </c>
    </row>
    <row r="77" spans="1:3" x14ac:dyDescent="0.25">
      <c r="A77" s="2">
        <v>76</v>
      </c>
      <c r="B77" s="2">
        <v>3379000000</v>
      </c>
      <c r="C77" s="3">
        <f ca="1">IFERROR(__xludf.DUMMYFUNCTION("B77*GOOGLEFINANCE(""CURRENCY:AUDINR"")"),179687955150)</f>
        <v>179687955150</v>
      </c>
    </row>
    <row r="78" spans="1:3" x14ac:dyDescent="0.25">
      <c r="A78" s="2">
        <v>77</v>
      </c>
      <c r="B78" s="2">
        <v>928500000</v>
      </c>
      <c r="C78" s="3">
        <f ca="1">IFERROR(__xludf.DUMMYFUNCTION("B78*GOOGLEFINANCE(""CURRENCY:AUDINR"")"),49375633725)</f>
        <v>49375633725</v>
      </c>
    </row>
    <row r="79" spans="1:3" x14ac:dyDescent="0.25">
      <c r="A79" s="2">
        <v>78</v>
      </c>
      <c r="B79" s="2">
        <v>914000000</v>
      </c>
      <c r="C79" s="3">
        <f ca="1">IFERROR(__xludf.DUMMYFUNCTION("B79*GOOGLEFINANCE(""CURRENCY:AUDINR"")"),48604554900)</f>
        <v>48604554900</v>
      </c>
    </row>
    <row r="80" spans="1:3" x14ac:dyDescent="0.25">
      <c r="A80" s="2">
        <v>79</v>
      </c>
      <c r="B80" s="2">
        <v>2668500000</v>
      </c>
      <c r="C80" s="3">
        <f ca="1">IFERROR(__xludf.DUMMYFUNCTION("B80*GOOGLEFINANCE(""CURRENCY:AUDINR"")"),141905092725)</f>
        <v>141905092725</v>
      </c>
    </row>
    <row r="81" spans="1:3" x14ac:dyDescent="0.25">
      <c r="A81" s="2">
        <v>80</v>
      </c>
      <c r="B81" s="2">
        <v>2712000000</v>
      </c>
      <c r="C81" s="3">
        <f ca="1">IFERROR(__xludf.DUMMYFUNCTION("B81*GOOGLEFINANCE(""CURRENCY:AUDINR"")"),144218329200)</f>
        <v>144218329200</v>
      </c>
    </row>
    <row r="82" spans="1:3" x14ac:dyDescent="0.25">
      <c r="A82" s="2">
        <v>81</v>
      </c>
      <c r="B82" s="2">
        <v>827000000</v>
      </c>
      <c r="C82" s="3">
        <f ca="1">IFERROR(__xludf.DUMMYFUNCTION("B82*GOOGLEFINANCE(""CURRENCY:AUDINR"")"),43978081950)</f>
        <v>43978081950</v>
      </c>
    </row>
    <row r="83" spans="1:3" x14ac:dyDescent="0.25">
      <c r="A83" s="2">
        <v>82</v>
      </c>
      <c r="B83" s="2">
        <v>2871500000</v>
      </c>
      <c r="C83" s="3">
        <f ca="1">IFERROR(__xludf.DUMMYFUNCTION("B83*GOOGLEFINANCE(""CURRENCY:AUDINR"")"),152700196275)</f>
        <v>152700196275</v>
      </c>
    </row>
    <row r="84" spans="1:3" x14ac:dyDescent="0.25">
      <c r="A84" s="2">
        <v>83</v>
      </c>
      <c r="B84" s="2">
        <v>3248500000</v>
      </c>
      <c r="C84" s="3">
        <f ca="1">IFERROR(__xludf.DUMMYFUNCTION("B84*GOOGLEFINANCE(""CURRENCY:AUDINR"")"),172748245725)</f>
        <v>172748245725</v>
      </c>
    </row>
    <row r="85" spans="1:3" x14ac:dyDescent="0.25">
      <c r="A85" s="2">
        <v>84</v>
      </c>
      <c r="B85" s="2">
        <v>-100000</v>
      </c>
      <c r="C85" s="3">
        <f ca="1">IFERROR(__xludf.DUMMYFUNCTION("B85*GOOGLEFINANCE(""CURRENCY:AUDINR"")"),-5317785)</f>
        <v>-5317785</v>
      </c>
    </row>
    <row r="86" spans="1:3" x14ac:dyDescent="0.25">
      <c r="A86" s="2">
        <v>85</v>
      </c>
      <c r="B86" s="2">
        <v>1210650000</v>
      </c>
      <c r="C86" s="3">
        <f ca="1">IFERROR(__xludf.DUMMYFUNCTION("B86*GOOGLEFINANCE(""CURRENCY:AUDINR"")"),64379764102.5)</f>
        <v>64379764102.5</v>
      </c>
    </row>
    <row r="87" spans="1:3" x14ac:dyDescent="0.25">
      <c r="A87" s="2">
        <v>86</v>
      </c>
      <c r="B87" s="2">
        <v>1000220000</v>
      </c>
      <c r="C87" s="3">
        <f ca="1">IFERROR(__xludf.DUMMYFUNCTION("B87*GOOGLEFINANCE(""CURRENCY:AUDINR"")"),53189549127)</f>
        <v>53189549127</v>
      </c>
    </row>
    <row r="88" spans="1:3" x14ac:dyDescent="0.25">
      <c r="A88" s="2">
        <v>87</v>
      </c>
      <c r="B88" s="2">
        <v>789790000</v>
      </c>
      <c r="C88" s="3">
        <f ca="1">IFERROR(__xludf.DUMMYFUNCTION("B88*GOOGLEFINANCE(""CURRENCY:AUDINR"")"),41999334151.5)</f>
        <v>41999334151.5</v>
      </c>
    </row>
    <row r="89" spans="1:3" x14ac:dyDescent="0.25">
      <c r="A89" s="2">
        <v>88</v>
      </c>
      <c r="B89" s="2">
        <v>579360000</v>
      </c>
      <c r="C89" s="3">
        <f ca="1">IFERROR(__xludf.DUMMYFUNCTION("B89*GOOGLEFINANCE(""CURRENCY:AUDINR"")"),30809119176)</f>
        <v>30809119176</v>
      </c>
    </row>
    <row r="90" spans="1:3" x14ac:dyDescent="0.25">
      <c r="A90" s="2">
        <v>89</v>
      </c>
      <c r="B90" s="2">
        <v>368930000</v>
      </c>
      <c r="C90" s="3">
        <f ca="1">IFERROR(__xludf.DUMMYFUNCTION("B90*GOOGLEFINANCE(""CURRENCY:AUDINR"")"),19618904200.5)</f>
        <v>19618904200.5</v>
      </c>
    </row>
    <row r="91" spans="1:3" x14ac:dyDescent="0.25">
      <c r="A91" s="2">
        <v>90</v>
      </c>
      <c r="B91" s="2">
        <v>158500000</v>
      </c>
      <c r="C91" s="3">
        <f ca="1">IFERROR(__xludf.DUMMYFUNCTION("B91*GOOGLEFINANCE(""CURRENCY:AUDINR"")"),8428689225)</f>
        <v>8428689225</v>
      </c>
    </row>
    <row r="92" spans="1:3" x14ac:dyDescent="0.25">
      <c r="A92" s="2">
        <v>91</v>
      </c>
      <c r="B92" s="2">
        <v>-51930000</v>
      </c>
      <c r="C92" s="3">
        <f ca="1">IFERROR(__xludf.DUMMYFUNCTION("B92*GOOGLEFINANCE(""CURRENCY:AUDINR"")"),-2761525750.5)</f>
        <v>-2761525750.5</v>
      </c>
    </row>
    <row r="93" spans="1:3" x14ac:dyDescent="0.25">
      <c r="A93" s="2">
        <v>92</v>
      </c>
      <c r="B93" s="2">
        <v>-262360000</v>
      </c>
      <c r="C93" s="3">
        <f ca="1">IFERROR(__xludf.DUMMYFUNCTION("B93*GOOGLEFINANCE(""CURRENCY:AUDINR"")"),-13951740726)</f>
        <v>-13951740726</v>
      </c>
    </row>
    <row r="94" spans="1:3" x14ac:dyDescent="0.25">
      <c r="A94" s="2">
        <v>93</v>
      </c>
      <c r="B94" s="2">
        <v>-472790000</v>
      </c>
      <c r="C94" s="3">
        <f ca="1">IFERROR(__xludf.DUMMYFUNCTION("B94*GOOGLEFINANCE(""CURRENCY:AUDINR"")"),-25141955701.5)</f>
        <v>-25141955701.5</v>
      </c>
    </row>
    <row r="95" spans="1:3" x14ac:dyDescent="0.25">
      <c r="A95" s="2">
        <v>94</v>
      </c>
      <c r="B95" s="2">
        <v>-683220000</v>
      </c>
      <c r="C95" s="3">
        <f ca="1">IFERROR(__xludf.DUMMYFUNCTION("B95*GOOGLEFINANCE(""CURRENCY:AUDINR"")"),-36332170677)</f>
        <v>-36332170677</v>
      </c>
    </row>
    <row r="96" spans="1:3" x14ac:dyDescent="0.25">
      <c r="A96" s="2">
        <v>95</v>
      </c>
      <c r="B96" s="2">
        <v>-893650000</v>
      </c>
      <c r="C96" s="3">
        <f ca="1">IFERROR(__xludf.DUMMYFUNCTION("B96*GOOGLEFINANCE(""CURRENCY:AUDINR"")"),-47522385652.5)</f>
        <v>-47522385652.5</v>
      </c>
    </row>
    <row r="97" spans="1:3" x14ac:dyDescent="0.25">
      <c r="A97" s="2">
        <v>96</v>
      </c>
      <c r="B97" s="2">
        <v>-1104080000</v>
      </c>
      <c r="C97" s="3">
        <f ca="1">IFERROR(__xludf.DUMMYFUNCTION("B97*GOOGLEFINANCE(""CURRENCY:AUDINR"")"),-58712600628)</f>
        <v>-58712600628</v>
      </c>
    </row>
    <row r="98" spans="1:3" x14ac:dyDescent="0.25">
      <c r="A98" s="2">
        <v>97</v>
      </c>
      <c r="B98" s="2">
        <v>-1314510000</v>
      </c>
      <c r="C98" s="3">
        <f ca="1">IFERROR(__xludf.DUMMYFUNCTION("B98*GOOGLEFINANCE(""CURRENCY:AUDINR"")"),-69902815603.5)</f>
        <v>-69902815603.5</v>
      </c>
    </row>
    <row r="99" spans="1:3" x14ac:dyDescent="0.25">
      <c r="A99" s="2">
        <v>98</v>
      </c>
      <c r="B99" s="2">
        <v>-1524940000</v>
      </c>
      <c r="C99" s="3">
        <f ca="1">IFERROR(__xludf.DUMMYFUNCTION("B99*GOOGLEFINANCE(""CURRENCY:AUDINR"")"),-81093030579)</f>
        <v>-81093030579</v>
      </c>
    </row>
    <row r="100" spans="1:3" x14ac:dyDescent="0.25">
      <c r="A100" s="2">
        <v>99</v>
      </c>
      <c r="B100" s="2">
        <v>-1735370000</v>
      </c>
      <c r="C100" s="3">
        <f ca="1">IFERROR(__xludf.DUMMYFUNCTION("B100*GOOGLEFINANCE(""CURRENCY:AUDINR"")"),-92283245554.5)</f>
        <v>-92283245554.5</v>
      </c>
    </row>
    <row r="101" spans="1:3" x14ac:dyDescent="0.25">
      <c r="A101" s="2">
        <v>100</v>
      </c>
      <c r="B101" s="2">
        <v>-1945800000</v>
      </c>
      <c r="C101" s="3">
        <f ca="1">IFERROR(__xludf.DUMMYFUNCTION("B101*GOOGLEFINANCE(""CURRENCY:AUDINR"")"),-103473460530)</f>
        <v>-103473460530</v>
      </c>
    </row>
    <row r="102" spans="1:3" x14ac:dyDescent="0.25">
      <c r="A102" s="2">
        <v>101</v>
      </c>
      <c r="B102" s="2">
        <v>-2156230000</v>
      </c>
      <c r="C102" s="3">
        <f ca="1">IFERROR(__xludf.DUMMYFUNCTION("B102*GOOGLEFINANCE(""CURRENCY:AUDINR"")"),-114663675505.5)</f>
        <v>-114663675505.5</v>
      </c>
    </row>
    <row r="103" spans="1:3" x14ac:dyDescent="0.25">
      <c r="A103" s="2">
        <v>102</v>
      </c>
      <c r="B103" s="2">
        <v>-2366660000</v>
      </c>
      <c r="C103" s="3">
        <f ca="1">IFERROR(__xludf.DUMMYFUNCTION("B103*GOOGLEFINANCE(""CURRENCY:AUDINR"")"),-125853890481)</f>
        <v>-125853890481</v>
      </c>
    </row>
    <row r="104" spans="1:3" x14ac:dyDescent="0.25">
      <c r="A104" s="2">
        <v>103</v>
      </c>
      <c r="B104" s="2">
        <v>-2577090000</v>
      </c>
      <c r="C104" s="3">
        <f ca="1">IFERROR(__xludf.DUMMYFUNCTION("B104*GOOGLEFINANCE(""CURRENCY:AUDINR"")"),-137044105456.5)</f>
        <v>-137044105456.5</v>
      </c>
    </row>
    <row r="105" spans="1:3" x14ac:dyDescent="0.25">
      <c r="A105" s="2">
        <v>104</v>
      </c>
      <c r="B105" s="2">
        <v>-2787520000</v>
      </c>
      <c r="C105" s="3">
        <f ca="1">IFERROR(__xludf.DUMMYFUNCTION("B105*GOOGLEFINANCE(""CURRENCY:AUDINR"")"),-148234320432)</f>
        <v>-148234320432</v>
      </c>
    </row>
    <row r="106" spans="1:3" x14ac:dyDescent="0.25">
      <c r="A106" s="2">
        <v>105</v>
      </c>
      <c r="B106" s="2">
        <v>-2997950000</v>
      </c>
      <c r="C106" s="3">
        <f ca="1">IFERROR(__xludf.DUMMYFUNCTION("B106*GOOGLEFINANCE(""CURRENCY:AUDINR"")"),-159424535407.5)</f>
        <v>-159424535407.5</v>
      </c>
    </row>
    <row r="107" spans="1:3" x14ac:dyDescent="0.25">
      <c r="A107" s="2">
        <v>106</v>
      </c>
      <c r="B107" s="2">
        <v>-3208380000</v>
      </c>
      <c r="C107" s="3">
        <f ca="1">IFERROR(__xludf.DUMMYFUNCTION("B107*GOOGLEFINANCE(""CURRENCY:AUDINR"")"),-170614750383)</f>
        <v>-170614750383</v>
      </c>
    </row>
    <row r="108" spans="1:3" x14ac:dyDescent="0.25">
      <c r="A108" s="2">
        <v>107</v>
      </c>
      <c r="B108" s="2">
        <v>-3418810000</v>
      </c>
      <c r="C108" s="3">
        <f ca="1">IFERROR(__xludf.DUMMYFUNCTION("B108*GOOGLEFINANCE(""CURRENCY:AUDINR"")"),-181804965358.5)</f>
        <v>-181804965358.5</v>
      </c>
    </row>
    <row r="109" spans="1:3" x14ac:dyDescent="0.25">
      <c r="A109" s="2">
        <v>108</v>
      </c>
      <c r="B109" s="2">
        <v>-3629240000</v>
      </c>
      <c r="C109" s="3">
        <f ca="1">IFERROR(__xludf.DUMMYFUNCTION("B109*GOOGLEFINANCE(""CURRENCY:AUDINR"")"),-192995180334)</f>
        <v>-192995180334</v>
      </c>
    </row>
    <row r="110" spans="1:3" x14ac:dyDescent="0.25">
      <c r="A110" s="2">
        <v>109</v>
      </c>
      <c r="B110" s="2">
        <v>-3839670000</v>
      </c>
      <c r="C110" s="3">
        <f ca="1">IFERROR(__xludf.DUMMYFUNCTION("B110*GOOGLEFINANCE(""CURRENCY:AUDINR"")"),-204185395309.5)</f>
        <v>-204185395309.5</v>
      </c>
    </row>
    <row r="111" spans="1:3" x14ac:dyDescent="0.25">
      <c r="A111" s="2">
        <v>110</v>
      </c>
      <c r="B111" s="2">
        <v>-4050100000</v>
      </c>
      <c r="C111" s="3">
        <f ca="1">IFERROR(__xludf.DUMMYFUNCTION("B111*GOOGLEFINANCE(""CURRENCY:AUDINR"")"),-215375610285)</f>
        <v>-215375610285</v>
      </c>
    </row>
    <row r="112" spans="1:3" x14ac:dyDescent="0.25">
      <c r="A112" s="2">
        <v>111</v>
      </c>
      <c r="B112" s="2">
        <v>-4260530000</v>
      </c>
      <c r="C112" s="3">
        <f ca="1">IFERROR(__xludf.DUMMYFUNCTION("B112*GOOGLEFINANCE(""CURRENCY:AUDINR"")"),-226565825260.5)</f>
        <v>-226565825260.5</v>
      </c>
    </row>
    <row r="113" spans="1:3" x14ac:dyDescent="0.25">
      <c r="A113" s="2">
        <v>112</v>
      </c>
      <c r="B113" s="2">
        <v>-4470960000</v>
      </c>
      <c r="C113" s="3">
        <f ca="1">IFERROR(__xludf.DUMMYFUNCTION("B113*GOOGLEFINANCE(""CURRENCY:AUDINR"")"),-237756040236)</f>
        <v>-237756040236</v>
      </c>
    </row>
    <row r="114" spans="1:3" x14ac:dyDescent="0.25">
      <c r="A114" s="2">
        <v>113</v>
      </c>
      <c r="B114" s="2">
        <v>-4681390000</v>
      </c>
      <c r="C114" s="3">
        <f ca="1">IFERROR(__xludf.DUMMYFUNCTION("B114*GOOGLEFINANCE(""CURRENCY:AUDINR"")"),-248946255211.5)</f>
        <v>-248946255211.5</v>
      </c>
    </row>
    <row r="115" spans="1:3" x14ac:dyDescent="0.25">
      <c r="A115" s="2">
        <v>114</v>
      </c>
      <c r="B115" s="2">
        <v>-4891820000</v>
      </c>
      <c r="C115" s="3">
        <f ca="1">IFERROR(__xludf.DUMMYFUNCTION("B115*GOOGLEFINANCE(""CURRENCY:AUDINR"")"),-260136470187)</f>
        <v>-260136470187</v>
      </c>
    </row>
    <row r="116" spans="1:3" x14ac:dyDescent="0.25">
      <c r="A116" s="2">
        <v>115</v>
      </c>
      <c r="B116" s="2">
        <v>-5102250000</v>
      </c>
      <c r="C116" s="3">
        <f ca="1">IFERROR(__xludf.DUMMYFUNCTION("B116*GOOGLEFINANCE(""CURRENCY:AUDINR"")"),-271326685162.5)</f>
        <v>-271326685162.5</v>
      </c>
    </row>
    <row r="117" spans="1:3" x14ac:dyDescent="0.25">
      <c r="A117" s="2">
        <v>116</v>
      </c>
      <c r="B117" s="2">
        <v>-5312680000</v>
      </c>
      <c r="C117" s="3">
        <f ca="1">IFERROR(__xludf.DUMMYFUNCTION("B117*GOOGLEFINANCE(""CURRENCY:AUDINR"")"),-282516900138)</f>
        <v>-282516900138</v>
      </c>
    </row>
    <row r="118" spans="1:3" x14ac:dyDescent="0.25">
      <c r="A118" s="2">
        <v>117</v>
      </c>
      <c r="B118" s="2">
        <v>-5523110000</v>
      </c>
      <c r="C118" s="3">
        <f ca="1">IFERROR(__xludf.DUMMYFUNCTION("B118*GOOGLEFINANCE(""CURRENCY:AUDINR"")"),-293707115113.5)</f>
        <v>-293707115113.5</v>
      </c>
    </row>
    <row r="119" spans="1:3" x14ac:dyDescent="0.25">
      <c r="A119" s="2">
        <v>118</v>
      </c>
      <c r="B119" s="2">
        <v>-5733540000</v>
      </c>
      <c r="C119" s="3">
        <f ca="1">IFERROR(__xludf.DUMMYFUNCTION("B119*GOOGLEFINANCE(""CURRENCY:AUDINR"")"),-304897330089)</f>
        <v>-304897330089</v>
      </c>
    </row>
    <row r="120" spans="1:3" x14ac:dyDescent="0.25">
      <c r="A120" s="2">
        <v>119</v>
      </c>
      <c r="B120" s="2">
        <v>-5943970000</v>
      </c>
      <c r="C120" s="3">
        <f ca="1">IFERROR(__xludf.DUMMYFUNCTION("B120*GOOGLEFINANCE(""CURRENCY:AUDINR"")"),-316087545064.5)</f>
        <v>-316087545064.5</v>
      </c>
    </row>
    <row r="121" spans="1:3" x14ac:dyDescent="0.25">
      <c r="A121" s="2">
        <v>120</v>
      </c>
      <c r="B121" s="2">
        <v>-6154400000</v>
      </c>
      <c r="C121" s="3">
        <f ca="1">IFERROR(__xludf.DUMMYFUNCTION("B121*GOOGLEFINANCE(""CURRENCY:AUDINR"")"),-327277760040)</f>
        <v>-327277760040</v>
      </c>
    </row>
    <row r="122" spans="1:3" x14ac:dyDescent="0.25">
      <c r="A122" s="2">
        <v>121</v>
      </c>
      <c r="B122" s="2">
        <v>-6364830000</v>
      </c>
      <c r="C122" s="3">
        <f ca="1">IFERROR(__xludf.DUMMYFUNCTION("B122*GOOGLEFINANCE(""CURRENCY:AUDINR"")"),-338467975015.5)</f>
        <v>-338467975015.5</v>
      </c>
    </row>
    <row r="123" spans="1:3" x14ac:dyDescent="0.25">
      <c r="A123" s="2">
        <v>122</v>
      </c>
      <c r="B123" s="2">
        <v>-6575260000</v>
      </c>
      <c r="C123" s="3">
        <f ca="1">IFERROR(__xludf.DUMMYFUNCTION("B123*GOOGLEFINANCE(""CURRENCY:AUDINR"")"),-349658189991)</f>
        <v>-349658189991</v>
      </c>
    </row>
    <row r="124" spans="1:3" x14ac:dyDescent="0.25">
      <c r="A124" s="2">
        <v>123</v>
      </c>
      <c r="B124" s="2">
        <v>-6785690000</v>
      </c>
      <c r="C124" s="3">
        <f ca="1">IFERROR(__xludf.DUMMYFUNCTION("B124*GOOGLEFINANCE(""CURRENCY:AUDINR"")"),-360848404966.5)</f>
        <v>-360848404966.5</v>
      </c>
    </row>
    <row r="125" spans="1:3" x14ac:dyDescent="0.25">
      <c r="A125" s="2">
        <v>124</v>
      </c>
      <c r="B125" s="2">
        <v>-6996120000</v>
      </c>
      <c r="C125" s="3">
        <f ca="1">IFERROR(__xludf.DUMMYFUNCTION("B125*GOOGLEFINANCE(""CURRENCY:AUDINR"")"),-372038619942)</f>
        <v>-372038619942</v>
      </c>
    </row>
    <row r="126" spans="1:3" x14ac:dyDescent="0.25">
      <c r="A126" s="2">
        <v>125</v>
      </c>
      <c r="B126" s="2">
        <v>-7206550000</v>
      </c>
      <c r="C126" s="3">
        <f ca="1">IFERROR(__xludf.DUMMYFUNCTION("B126*GOOGLEFINANCE(""CURRENCY:AUDINR"")"),-383228834917.5)</f>
        <v>-383228834917.5</v>
      </c>
    </row>
    <row r="127" spans="1:3" x14ac:dyDescent="0.25">
      <c r="A127" s="2">
        <v>126</v>
      </c>
      <c r="B127" s="2">
        <v>-7416980000</v>
      </c>
      <c r="C127" s="3">
        <f ca="1">IFERROR(__xludf.DUMMYFUNCTION("B127*GOOGLEFINANCE(""CURRENCY:AUDINR"")"),-394419049893)</f>
        <v>-394419049893</v>
      </c>
    </row>
    <row r="128" spans="1:3" x14ac:dyDescent="0.25">
      <c r="A128" s="2">
        <v>127</v>
      </c>
      <c r="B128" s="2">
        <v>-7627410000</v>
      </c>
      <c r="C128" s="3">
        <f ca="1">IFERROR(__xludf.DUMMYFUNCTION("B128*GOOGLEFINANCE(""CURRENCY:AUDINR"")"),-405609264868.5)</f>
        <v>-405609264868.5</v>
      </c>
    </row>
    <row r="129" spans="1:3" x14ac:dyDescent="0.25">
      <c r="A129" s="2">
        <v>128</v>
      </c>
      <c r="B129" s="2">
        <v>-7837840000</v>
      </c>
      <c r="C129" s="3">
        <f ca="1">IFERROR(__xludf.DUMMYFUNCTION("B129*GOOGLEFINANCE(""CURRENCY:AUDINR"")"),-416799479844)</f>
        <v>-416799479844</v>
      </c>
    </row>
    <row r="130" spans="1:3" x14ac:dyDescent="0.25">
      <c r="A130" s="2">
        <v>129</v>
      </c>
      <c r="B130" s="2">
        <v>-8048270000</v>
      </c>
      <c r="C130" s="3">
        <f ca="1">IFERROR(__xludf.DUMMYFUNCTION("B130*GOOGLEFINANCE(""CURRENCY:AUDINR"")"),-427989694819.5)</f>
        <v>-427989694819.5</v>
      </c>
    </row>
    <row r="131" spans="1:3" x14ac:dyDescent="0.25">
      <c r="A131" s="2">
        <v>130</v>
      </c>
      <c r="B131" s="2">
        <v>-8258700000</v>
      </c>
      <c r="C131" s="3">
        <f ca="1">IFERROR(__xludf.DUMMYFUNCTION("B131*GOOGLEFINANCE(""CURRENCY:AUDINR"")"),-439179909795)</f>
        <v>-439179909795</v>
      </c>
    </row>
    <row r="132" spans="1:3" x14ac:dyDescent="0.25">
      <c r="A132" s="2">
        <v>131</v>
      </c>
      <c r="B132" s="2">
        <v>-8469130000</v>
      </c>
      <c r="C132" s="3">
        <f ca="1">IFERROR(__xludf.DUMMYFUNCTION("B132*GOOGLEFINANCE(""CURRENCY:AUDINR"")"),-450370124770.5)</f>
        <v>-450370124770.5</v>
      </c>
    </row>
    <row r="133" spans="1:3" x14ac:dyDescent="0.25">
      <c r="A133" s="2">
        <v>132</v>
      </c>
      <c r="B133" s="2">
        <v>-8679560000</v>
      </c>
      <c r="C133" s="3">
        <f ca="1">IFERROR(__xludf.DUMMYFUNCTION("B133*GOOGLEFINANCE(""CURRENCY:AUDINR"")"),-461560339746)</f>
        <v>-461560339746</v>
      </c>
    </row>
    <row r="134" spans="1:3" x14ac:dyDescent="0.25">
      <c r="A134" s="2">
        <v>133</v>
      </c>
      <c r="B134" s="2">
        <v>-8889990000</v>
      </c>
      <c r="C134" s="3">
        <f ca="1">IFERROR(__xludf.DUMMYFUNCTION("B134*GOOGLEFINANCE(""CURRENCY:AUDINR"")"),-472750554721.5)</f>
        <v>-472750554721.5</v>
      </c>
    </row>
    <row r="135" spans="1:3" x14ac:dyDescent="0.25">
      <c r="A135" s="2">
        <v>134</v>
      </c>
      <c r="B135" s="2">
        <v>-9100420000</v>
      </c>
      <c r="C135" s="3">
        <f ca="1">IFERROR(__xludf.DUMMYFUNCTION("B135*GOOGLEFINANCE(""CURRENCY:AUDINR"")"),-483940769697)</f>
        <v>-483940769697</v>
      </c>
    </row>
    <row r="136" spans="1:3" x14ac:dyDescent="0.25">
      <c r="A136" s="2">
        <v>135</v>
      </c>
      <c r="B136" s="2">
        <v>-9310850000</v>
      </c>
      <c r="C136" s="3">
        <f ca="1">IFERROR(__xludf.DUMMYFUNCTION("B136*GOOGLEFINANCE(""CURRENCY:AUDINR"")"),-495130984672.5)</f>
        <v>-495130984672.5</v>
      </c>
    </row>
    <row r="137" spans="1:3" x14ac:dyDescent="0.25">
      <c r="A137" s="2">
        <v>136</v>
      </c>
      <c r="B137" s="2">
        <v>-9521280000</v>
      </c>
      <c r="C137" s="3">
        <f ca="1">IFERROR(__xludf.DUMMYFUNCTION("B137*GOOGLEFINANCE(""CURRENCY:AUDINR"")"),-506321199648)</f>
        <v>-506321199648</v>
      </c>
    </row>
    <row r="138" spans="1:3" x14ac:dyDescent="0.25">
      <c r="A138" s="2">
        <v>137</v>
      </c>
      <c r="B138" s="2">
        <v>-9731710000</v>
      </c>
      <c r="C138" s="3">
        <f ca="1">IFERROR(__xludf.DUMMYFUNCTION("B138*GOOGLEFINANCE(""CURRENCY:AUDINR"")"),-517511414623.5)</f>
        <v>-517511414623.5</v>
      </c>
    </row>
    <row r="139" spans="1:3" x14ac:dyDescent="0.25">
      <c r="A139" s="2">
        <v>138</v>
      </c>
      <c r="B139" s="2">
        <v>-9942140000</v>
      </c>
      <c r="C139" s="3">
        <f ca="1">IFERROR(__xludf.DUMMYFUNCTION("B139*GOOGLEFINANCE(""CURRENCY:AUDINR"")"),-528701629599)</f>
        <v>-528701629599</v>
      </c>
    </row>
    <row r="140" spans="1:3" x14ac:dyDescent="0.25">
      <c r="A140" s="2">
        <v>139</v>
      </c>
      <c r="B140" s="2">
        <v>-10152570000</v>
      </c>
      <c r="C140" s="3">
        <f ca="1">IFERROR(__xludf.DUMMYFUNCTION("B140*GOOGLEFINANCE(""CURRENCY:AUDINR"")"),-539891844574.5)</f>
        <v>-539891844574.5</v>
      </c>
    </row>
    <row r="141" spans="1:3" x14ac:dyDescent="0.25">
      <c r="A141" s="2">
        <v>140</v>
      </c>
      <c r="B141" s="2">
        <v>-10363000000</v>
      </c>
      <c r="C141" s="3">
        <f ca="1">IFERROR(__xludf.DUMMYFUNCTION("B141*GOOGLEFINANCE(""CURRENCY:AUDINR"")"),-551082059550)</f>
        <v>-551082059550</v>
      </c>
    </row>
    <row r="142" spans="1:3" x14ac:dyDescent="0.25">
      <c r="A142" s="2">
        <v>141</v>
      </c>
      <c r="B142" s="2">
        <v>-10573430000</v>
      </c>
      <c r="C142" s="3">
        <f ca="1">IFERROR(__xludf.DUMMYFUNCTION("B142*GOOGLEFINANCE(""CURRENCY:AUDINR"")"),-562272274525.5)</f>
        <v>-562272274525.5</v>
      </c>
    </row>
    <row r="143" spans="1:3" x14ac:dyDescent="0.25">
      <c r="A143" s="2">
        <v>142</v>
      </c>
      <c r="B143" s="2">
        <v>-10783860000</v>
      </c>
      <c r="C143" s="3">
        <f ca="1">IFERROR(__xludf.DUMMYFUNCTION("B143*GOOGLEFINANCE(""CURRENCY:AUDINR"")"),-573462489501)</f>
        <v>-573462489501</v>
      </c>
    </row>
    <row r="144" spans="1:3" x14ac:dyDescent="0.25">
      <c r="A144" s="2">
        <v>143</v>
      </c>
      <c r="B144" s="2">
        <v>-10994290000</v>
      </c>
      <c r="C144" s="3">
        <f ca="1">IFERROR(__xludf.DUMMYFUNCTION("B144*GOOGLEFINANCE(""CURRENCY:AUDINR"")"),-584652704476.5)</f>
        <v>-584652704476.5</v>
      </c>
    </row>
    <row r="145" spans="1:3" x14ac:dyDescent="0.25">
      <c r="A145" s="2">
        <v>144</v>
      </c>
      <c r="B145" s="2">
        <v>-11204720000</v>
      </c>
      <c r="C145" s="3">
        <f ca="1">IFERROR(__xludf.DUMMYFUNCTION("B145*GOOGLEFINANCE(""CURRENCY:AUDINR"")"),-595842919452)</f>
        <v>-595842919452</v>
      </c>
    </row>
    <row r="146" spans="1:3" x14ac:dyDescent="0.25">
      <c r="A146" s="2">
        <v>145</v>
      </c>
      <c r="B146" s="2">
        <v>-11415150000</v>
      </c>
      <c r="C146" s="3">
        <f ca="1">IFERROR(__xludf.DUMMYFUNCTION("B146*GOOGLEFINANCE(""CURRENCY:AUDINR"")"),-607033134427.5)</f>
        <v>-607033134427.5</v>
      </c>
    </row>
    <row r="147" spans="1:3" x14ac:dyDescent="0.25">
      <c r="A147" s="2">
        <v>146</v>
      </c>
      <c r="B147" s="2">
        <v>-11625580000</v>
      </c>
      <c r="C147" s="3">
        <f ca="1">IFERROR(__xludf.DUMMYFUNCTION("B147*GOOGLEFINANCE(""CURRENCY:AUDINR"")"),-618223349403)</f>
        <v>-618223349403</v>
      </c>
    </row>
    <row r="148" spans="1:3" x14ac:dyDescent="0.25">
      <c r="A148" s="2">
        <v>147</v>
      </c>
      <c r="B148" s="2">
        <v>-11836010000</v>
      </c>
      <c r="C148" s="3">
        <f ca="1">IFERROR(__xludf.DUMMYFUNCTION("B148*GOOGLEFINANCE(""CURRENCY:AUDINR"")"),-629413564378.5)</f>
        <v>-629413564378.5</v>
      </c>
    </row>
    <row r="149" spans="1:3" x14ac:dyDescent="0.25">
      <c r="A149" s="2">
        <v>148</v>
      </c>
      <c r="B149" s="2">
        <v>-12046440000</v>
      </c>
      <c r="C149" s="3">
        <f ca="1">IFERROR(__xludf.DUMMYFUNCTION("B149*GOOGLEFINANCE(""CURRENCY:AUDINR"")"),-640603779354)</f>
        <v>-640603779354</v>
      </c>
    </row>
    <row r="150" spans="1:3" x14ac:dyDescent="0.25">
      <c r="A150" s="2">
        <v>149</v>
      </c>
      <c r="B150" s="2">
        <v>-12256870000</v>
      </c>
      <c r="C150" s="3">
        <f ca="1">IFERROR(__xludf.DUMMYFUNCTION("B150*GOOGLEFINANCE(""CURRENCY:AUDINR"")"),-651793994329.5)</f>
        <v>-651793994329.5</v>
      </c>
    </row>
    <row r="151" spans="1:3" x14ac:dyDescent="0.25">
      <c r="A151" s="2">
        <v>150</v>
      </c>
      <c r="B151" s="2">
        <v>-12467300000</v>
      </c>
      <c r="C151" s="3">
        <f ca="1">IFERROR(__xludf.DUMMYFUNCTION("B151*GOOGLEFINANCE(""CURRENCY:AUDINR"")"),-662984209305)</f>
        <v>-662984209305</v>
      </c>
    </row>
    <row r="152" spans="1:3" x14ac:dyDescent="0.25">
      <c r="A152" s="2">
        <v>151</v>
      </c>
      <c r="B152" s="2">
        <v>-12677730000</v>
      </c>
      <c r="C152" s="3">
        <f ca="1">IFERROR(__xludf.DUMMYFUNCTION("B152*GOOGLEFINANCE(""CURRENCY:AUDINR"")"),-674174424280.5)</f>
        <v>-674174424280.5</v>
      </c>
    </row>
    <row r="153" spans="1:3" x14ac:dyDescent="0.25">
      <c r="A153" s="2">
        <v>152</v>
      </c>
      <c r="B153" s="2">
        <v>-12888160000</v>
      </c>
      <c r="C153" s="3">
        <f ca="1">IFERROR(__xludf.DUMMYFUNCTION("B153*GOOGLEFINANCE(""CURRENCY:AUDINR"")"),-685364639256)</f>
        <v>-685364639256</v>
      </c>
    </row>
    <row r="154" spans="1:3" x14ac:dyDescent="0.25">
      <c r="A154" s="2">
        <v>153</v>
      </c>
      <c r="B154" s="2">
        <v>-13098590000</v>
      </c>
      <c r="C154" s="3">
        <f ca="1">IFERROR(__xludf.DUMMYFUNCTION("B154*GOOGLEFINANCE(""CURRENCY:AUDINR"")"),-696554854231.5)</f>
        <v>-696554854231.5</v>
      </c>
    </row>
    <row r="155" spans="1:3" x14ac:dyDescent="0.25">
      <c r="A155" s="2">
        <v>154</v>
      </c>
      <c r="B155" s="2">
        <v>-13309020000</v>
      </c>
      <c r="C155" s="3">
        <f ca="1">IFERROR(__xludf.DUMMYFUNCTION("B155*GOOGLEFINANCE(""CURRENCY:AUDINR"")"),-707745069207)</f>
        <v>-707745069207</v>
      </c>
    </row>
    <row r="156" spans="1:3" x14ac:dyDescent="0.25">
      <c r="A156" s="2">
        <v>155</v>
      </c>
      <c r="B156" s="2">
        <v>-13519450000</v>
      </c>
      <c r="C156" s="3">
        <f ca="1">IFERROR(__xludf.DUMMYFUNCTION("B156*GOOGLEFINANCE(""CURRENCY:AUDINR"")"),-718935284182.5)</f>
        <v>-718935284182.5</v>
      </c>
    </row>
    <row r="157" spans="1:3" x14ac:dyDescent="0.25">
      <c r="A157" s="2">
        <v>156</v>
      </c>
      <c r="B157" s="2">
        <v>-13729880000</v>
      </c>
      <c r="C157" s="3">
        <f ca="1">IFERROR(__xludf.DUMMYFUNCTION("B157*GOOGLEFINANCE(""CURRENCY:AUDINR"")"),-730125499158)</f>
        <v>-730125499158</v>
      </c>
    </row>
    <row r="158" spans="1:3" x14ac:dyDescent="0.25">
      <c r="A158" s="2">
        <v>157</v>
      </c>
      <c r="B158" s="2">
        <v>-13940310000</v>
      </c>
      <c r="C158" s="3">
        <f ca="1">IFERROR(__xludf.DUMMYFUNCTION("B158*GOOGLEFINANCE(""CURRENCY:AUDINR"")"),-741315714133.5)</f>
        <v>-741315714133.5</v>
      </c>
    </row>
    <row r="159" spans="1:3" x14ac:dyDescent="0.25">
      <c r="A159" s="2">
        <v>158</v>
      </c>
      <c r="B159" s="2">
        <v>-14150740000</v>
      </c>
      <c r="C159" s="3">
        <f ca="1">IFERROR(__xludf.DUMMYFUNCTION("B159*GOOGLEFINANCE(""CURRENCY:AUDINR"")"),-752505929109)</f>
        <v>-752505929109</v>
      </c>
    </row>
    <row r="160" spans="1:3" x14ac:dyDescent="0.25">
      <c r="A160" s="2">
        <v>159</v>
      </c>
      <c r="B160" s="2">
        <v>-14361170000</v>
      </c>
      <c r="C160" s="3">
        <f ca="1">IFERROR(__xludf.DUMMYFUNCTION("B160*GOOGLEFINANCE(""CURRENCY:AUDINR"")"),-763696144084.5)</f>
        <v>-763696144084.5</v>
      </c>
    </row>
    <row r="161" spans="1:3" x14ac:dyDescent="0.25">
      <c r="A161" s="2">
        <v>160</v>
      </c>
      <c r="B161" s="2">
        <v>-14571600000</v>
      </c>
      <c r="C161" s="3">
        <f ca="1">IFERROR(__xludf.DUMMYFUNCTION("B161*GOOGLEFINANCE(""CURRENCY:AUDINR"")"),-774886359060)</f>
        <v>-774886359060</v>
      </c>
    </row>
    <row r="162" spans="1:3" x14ac:dyDescent="0.25">
      <c r="A162" s="2">
        <v>161</v>
      </c>
      <c r="B162" s="2">
        <v>-14782030000</v>
      </c>
      <c r="C162" s="3">
        <f ca="1">IFERROR(__xludf.DUMMYFUNCTION("B162*GOOGLEFINANCE(""CURRENCY:AUDINR"")"),-786076574035.5)</f>
        <v>-786076574035.5</v>
      </c>
    </row>
    <row r="163" spans="1:3" x14ac:dyDescent="0.25">
      <c r="A163" s="2">
        <v>162</v>
      </c>
      <c r="B163" s="2">
        <v>-14992460000</v>
      </c>
      <c r="C163" s="3">
        <f ca="1">IFERROR(__xludf.DUMMYFUNCTION("B163*GOOGLEFINANCE(""CURRENCY:AUDINR"")"),-797266789011)</f>
        <v>-797266789011</v>
      </c>
    </row>
    <row r="164" spans="1:3" x14ac:dyDescent="0.25">
      <c r="A164" s="2">
        <v>163</v>
      </c>
      <c r="B164" s="2">
        <v>-15202890000</v>
      </c>
      <c r="C164" s="3">
        <f ca="1">IFERROR(__xludf.DUMMYFUNCTION("B164*GOOGLEFINANCE(""CURRENCY:AUDINR"")"),-808457003986.5)</f>
        <v>-808457003986.5</v>
      </c>
    </row>
    <row r="165" spans="1:3" x14ac:dyDescent="0.25">
      <c r="A165" s="2">
        <v>164</v>
      </c>
      <c r="B165" s="2">
        <v>-15413320000</v>
      </c>
      <c r="C165" s="3">
        <f ca="1">IFERROR(__xludf.DUMMYFUNCTION("B165*GOOGLEFINANCE(""CURRENCY:AUDINR"")"),-819647218962)</f>
        <v>-819647218962</v>
      </c>
    </row>
    <row r="166" spans="1:3" x14ac:dyDescent="0.25">
      <c r="A166" s="2">
        <v>165</v>
      </c>
      <c r="B166" s="2">
        <v>1044500000</v>
      </c>
      <c r="C166" s="3">
        <f ca="1">IFERROR(__xludf.DUMMYFUNCTION("B166*GOOGLEFINANCE(""CURRENCY:AUDINR"")"),55544264325)</f>
        <v>55544264325</v>
      </c>
    </row>
    <row r="167" spans="1:3" x14ac:dyDescent="0.25">
      <c r="A167" s="2">
        <v>166</v>
      </c>
      <c r="B167" s="2">
        <v>3930000000</v>
      </c>
      <c r="C167" s="3">
        <f ca="1">IFERROR(__xludf.DUMMYFUNCTION("B167*GOOGLEFINANCE(""CURRENCY:AUDINR"")"),208988950500)</f>
        <v>208988950500</v>
      </c>
    </row>
    <row r="168" spans="1:3" x14ac:dyDescent="0.25">
      <c r="A168" s="2">
        <v>167</v>
      </c>
      <c r="B168" s="2">
        <v>3582000000</v>
      </c>
      <c r="C168" s="3">
        <f ca="1">IFERROR(__xludf.DUMMYFUNCTION("B168*GOOGLEFINANCE(""CURRENCY:AUDINR"")"),190483058700)</f>
        <v>190483058700</v>
      </c>
    </row>
    <row r="169" spans="1:3" x14ac:dyDescent="0.25">
      <c r="A169" s="2">
        <v>168</v>
      </c>
      <c r="B169" s="2">
        <v>1755000000</v>
      </c>
      <c r="C169" s="3">
        <f ca="1">IFERROR(__xludf.DUMMYFUNCTION("B169*GOOGLEFINANCE(""CURRENCY:AUDINR"")"),93327126750)</f>
        <v>93327126750</v>
      </c>
    </row>
    <row r="170" spans="1:3" x14ac:dyDescent="0.25">
      <c r="A170" s="2">
        <v>169</v>
      </c>
      <c r="B170" s="2">
        <v>3756000000</v>
      </c>
      <c r="C170" s="3">
        <f ca="1">IFERROR(__xludf.DUMMYFUNCTION("B170*GOOGLEFINANCE(""CURRENCY:AUDINR"")"),199736004600)</f>
        <v>199736004600</v>
      </c>
    </row>
    <row r="171" spans="1:3" x14ac:dyDescent="0.25">
      <c r="A171" s="2">
        <v>170</v>
      </c>
      <c r="B171" s="2">
        <v>2175500000</v>
      </c>
      <c r="C171" s="3">
        <f ca="1">IFERROR(__xludf.DUMMYFUNCTION("B171*GOOGLEFINANCE(""CURRENCY:AUDINR"")"),115688412675)</f>
        <v>115688412675</v>
      </c>
    </row>
    <row r="172" spans="1:3" x14ac:dyDescent="0.25">
      <c r="A172" s="2">
        <v>171</v>
      </c>
      <c r="B172" s="2">
        <v>3234000000</v>
      </c>
      <c r="C172" s="3">
        <f ca="1">IFERROR(__xludf.DUMMYFUNCTION("B172*GOOGLEFINANCE(""CURRENCY:AUDINR"")"),171977166900)</f>
        <v>171977166900</v>
      </c>
    </row>
    <row r="173" spans="1:3" x14ac:dyDescent="0.25">
      <c r="A173" s="2">
        <v>172</v>
      </c>
      <c r="B173" s="2">
        <v>1711500000</v>
      </c>
      <c r="C173" s="3">
        <f ca="1">IFERROR(__xludf.DUMMYFUNCTION("B173*GOOGLEFINANCE(""CURRENCY:AUDINR"")"),91013890275)</f>
        <v>91013890275</v>
      </c>
    </row>
    <row r="174" spans="1:3" x14ac:dyDescent="0.25">
      <c r="A174" s="2">
        <v>173</v>
      </c>
      <c r="B174" s="2">
        <v>392000000</v>
      </c>
      <c r="C174" s="3">
        <f ca="1">IFERROR(__xludf.DUMMYFUNCTION("B174*GOOGLEFINANCE(""CURRENCY:AUDINR"")"),20845717200)</f>
        <v>20845717200</v>
      </c>
    </row>
    <row r="175" spans="1:3" x14ac:dyDescent="0.25">
      <c r="A175" s="2">
        <v>174</v>
      </c>
      <c r="B175" s="2">
        <v>3843000000</v>
      </c>
      <c r="C175" s="3">
        <f ca="1">IFERROR(__xludf.DUMMYFUNCTION("B175*GOOGLEFINANCE(""CURRENCY:AUDINR"")"),204362477550)</f>
        <v>204362477550</v>
      </c>
    </row>
    <row r="176" spans="1:3" x14ac:dyDescent="0.25">
      <c r="A176" s="2">
        <v>175</v>
      </c>
      <c r="B176" s="2">
        <v>232500000</v>
      </c>
      <c r="C176" s="3">
        <f ca="1">IFERROR(__xludf.DUMMYFUNCTION("B176*GOOGLEFINANCE(""CURRENCY:AUDINR"")"),12363850125)</f>
        <v>12363850125</v>
      </c>
    </row>
    <row r="177" spans="1:3" x14ac:dyDescent="0.25">
      <c r="A177" s="2">
        <v>176</v>
      </c>
      <c r="B177" s="2">
        <v>885000000</v>
      </c>
      <c r="C177" s="3">
        <f ca="1">IFERROR(__xludf.DUMMYFUNCTION("B177*GOOGLEFINANCE(""CURRENCY:AUDINR"")"),47062397250)</f>
        <v>47062397250</v>
      </c>
    </row>
    <row r="178" spans="1:3" x14ac:dyDescent="0.25">
      <c r="A178" s="2">
        <v>177</v>
      </c>
      <c r="B178" s="2">
        <v>1247500000</v>
      </c>
      <c r="C178" s="3">
        <f ca="1">IFERROR(__xludf.DUMMYFUNCTION("B178*GOOGLEFINANCE(""CURRENCY:AUDINR"")"),66339367875)</f>
        <v>66339367875</v>
      </c>
    </row>
    <row r="179" spans="1:3" x14ac:dyDescent="0.25">
      <c r="A179" s="2">
        <v>178</v>
      </c>
      <c r="B179" s="2">
        <v>2233500000</v>
      </c>
      <c r="C179" s="3">
        <f ca="1">IFERROR(__xludf.DUMMYFUNCTION("B179*GOOGLEFINANCE(""CURRENCY:AUDINR"")"),118772727975)</f>
        <v>118772727975</v>
      </c>
    </row>
    <row r="180" spans="1:3" x14ac:dyDescent="0.25">
      <c r="A180" s="2">
        <v>179</v>
      </c>
      <c r="B180" s="2">
        <v>2407500000</v>
      </c>
      <c r="C180" s="3">
        <f ca="1">IFERROR(__xludf.DUMMYFUNCTION("B180*GOOGLEFINANCE(""CURRENCY:AUDINR"")"),128025673875)</f>
        <v>128025673875</v>
      </c>
    </row>
    <row r="181" spans="1:3" x14ac:dyDescent="0.25">
      <c r="A181" s="2">
        <v>180</v>
      </c>
      <c r="B181" s="2">
        <v>2161000000</v>
      </c>
      <c r="C181" s="3">
        <f ca="1">IFERROR(__xludf.DUMMYFUNCTION("B181*GOOGLEFINANCE(""CURRENCY:AUDINR"")"),114917333850)</f>
        <v>114917333850</v>
      </c>
    </row>
    <row r="182" spans="1:3" x14ac:dyDescent="0.25">
      <c r="A182" s="2">
        <v>181</v>
      </c>
      <c r="B182" s="2">
        <v>73000000</v>
      </c>
      <c r="C182" s="3">
        <f ca="1">IFERROR(__xludf.DUMMYFUNCTION("B182*GOOGLEFINANCE(""CURRENCY:AUDINR"")"),3881983050)</f>
        <v>3881983050</v>
      </c>
    </row>
    <row r="183" spans="1:3" x14ac:dyDescent="0.25">
      <c r="A183" s="2">
        <v>182</v>
      </c>
      <c r="B183" s="2">
        <v>3727000000</v>
      </c>
      <c r="C183" s="3">
        <f ca="1">IFERROR(__xludf.DUMMYFUNCTION("B183*GOOGLEFINANCE(""CURRENCY:AUDINR"")"),198193846950)</f>
        <v>198193846950</v>
      </c>
    </row>
    <row r="184" spans="1:3" x14ac:dyDescent="0.25">
      <c r="A184" s="2">
        <v>183</v>
      </c>
      <c r="B184" s="2">
        <v>1015500000</v>
      </c>
      <c r="C184" s="3">
        <f ca="1">IFERROR(__xludf.DUMMYFUNCTION("B184*GOOGLEFINANCE(""CURRENCY:AUDINR"")"),54002106675)</f>
        <v>54002106675</v>
      </c>
    </row>
    <row r="185" spans="1:3" x14ac:dyDescent="0.25">
      <c r="A185" s="2">
        <v>184</v>
      </c>
      <c r="B185" s="2">
        <v>2393000000</v>
      </c>
      <c r="C185" s="3">
        <f ca="1">IFERROR(__xludf.DUMMYFUNCTION("B185*GOOGLEFINANCE(""CURRENCY:AUDINR"")"),127254595050)</f>
        <v>127254595050</v>
      </c>
    </row>
    <row r="186" spans="1:3" x14ac:dyDescent="0.25">
      <c r="A186" s="2">
        <v>185</v>
      </c>
      <c r="B186" s="2">
        <v>3625500000</v>
      </c>
      <c r="C186" s="3">
        <f ca="1">IFERROR(__xludf.DUMMYFUNCTION("B186*GOOGLEFINANCE(""CURRENCY:AUDINR"")"),192796295175)</f>
        <v>192796295175</v>
      </c>
    </row>
    <row r="187" spans="1:3" x14ac:dyDescent="0.25">
      <c r="A187" s="2">
        <v>186</v>
      </c>
      <c r="B187" s="2">
        <v>479000000</v>
      </c>
      <c r="C187" s="3">
        <f ca="1">IFERROR(__xludf.DUMMYFUNCTION("B187*GOOGLEFINANCE(""CURRENCY:AUDINR"")"),25472190150)</f>
        <v>25472190150</v>
      </c>
    </row>
    <row r="188" spans="1:3" x14ac:dyDescent="0.25">
      <c r="A188" s="2">
        <v>187</v>
      </c>
      <c r="B188" s="2">
        <v>2683000000</v>
      </c>
      <c r="C188" s="3">
        <f ca="1">IFERROR(__xludf.DUMMYFUNCTION("B188*GOOGLEFINANCE(""CURRENCY:AUDINR"")"),142676171550)</f>
        <v>142676171550</v>
      </c>
    </row>
    <row r="189" spans="1:3" x14ac:dyDescent="0.25">
      <c r="A189" s="2">
        <v>188</v>
      </c>
      <c r="B189" s="2">
        <v>1276500000</v>
      </c>
      <c r="C189" s="3">
        <f ca="1">IFERROR(__xludf.DUMMYFUNCTION("B189*GOOGLEFINANCE(""CURRENCY:AUDINR"")"),67881525525)</f>
        <v>67881525525</v>
      </c>
    </row>
    <row r="190" spans="1:3" x14ac:dyDescent="0.25">
      <c r="A190" s="2">
        <v>189</v>
      </c>
      <c r="B190" s="2">
        <v>305000000</v>
      </c>
      <c r="C190" s="3">
        <f ca="1">IFERROR(__xludf.DUMMYFUNCTION("B190*GOOGLEFINANCE(""CURRENCY:AUDINR"")"),16219244250)</f>
        <v>16219244250</v>
      </c>
    </row>
    <row r="191" spans="1:3" x14ac:dyDescent="0.25">
      <c r="A191" s="2">
        <v>190</v>
      </c>
      <c r="B191" s="2">
        <v>3654500000</v>
      </c>
      <c r="C191" s="3">
        <f ca="1">IFERROR(__xludf.DUMMYFUNCTION("B191*GOOGLEFINANCE(""CURRENCY:AUDINR"")"),194338452825)</f>
        <v>194338452825</v>
      </c>
    </row>
    <row r="192" spans="1:3" x14ac:dyDescent="0.25">
      <c r="A192" s="2">
        <v>191</v>
      </c>
      <c r="B192" s="2">
        <v>203500000</v>
      </c>
      <c r="C192" s="3">
        <f ca="1">IFERROR(__xludf.DUMMYFUNCTION("B192*GOOGLEFINANCE(""CURRENCY:AUDINR"")"),10821692475)</f>
        <v>10821692475</v>
      </c>
    </row>
    <row r="193" spans="1:3" x14ac:dyDescent="0.25">
      <c r="A193" s="2">
        <v>192</v>
      </c>
      <c r="B193" s="2">
        <v>2842500000</v>
      </c>
      <c r="C193" s="3">
        <f ca="1">IFERROR(__xludf.DUMMYFUNCTION("B193*GOOGLEFINANCE(""CURRENCY:AUDINR"")"),151158038625)</f>
        <v>151158038625</v>
      </c>
    </row>
    <row r="194" spans="1:3" x14ac:dyDescent="0.25">
      <c r="A194" s="2">
        <v>193</v>
      </c>
      <c r="B194" s="2">
        <v>500000</v>
      </c>
      <c r="C194" s="3">
        <f ca="1">IFERROR(__xludf.DUMMYFUNCTION("B194*GOOGLEFINANCE(""CURRENCY:AUDINR"")"),26588925)</f>
        <v>26588925</v>
      </c>
    </row>
    <row r="195" spans="1:3" x14ac:dyDescent="0.25">
      <c r="A195" s="2">
        <v>194</v>
      </c>
      <c r="B195" s="2">
        <v>1798500000</v>
      </c>
      <c r="C195" s="3">
        <f ca="1">IFERROR(__xludf.DUMMYFUNCTION("B195*GOOGLEFINANCE(""CURRENCY:AUDINR"")"),95640363225)</f>
        <v>95640363225</v>
      </c>
    </row>
    <row r="196" spans="1:3" x14ac:dyDescent="0.25">
      <c r="A196" s="2">
        <v>195</v>
      </c>
      <c r="B196" s="2">
        <v>29500000</v>
      </c>
      <c r="C196" s="3">
        <f ca="1">IFERROR(__xludf.DUMMYFUNCTION("B196*GOOGLEFINANCE(""CURRENCY:AUDINR"")"),1568746575)</f>
        <v>1568746575</v>
      </c>
    </row>
    <row r="197" spans="1:3" x14ac:dyDescent="0.25">
      <c r="A197" s="2">
        <v>196</v>
      </c>
      <c r="B197" s="2">
        <v>2422000000</v>
      </c>
      <c r="C197" s="3">
        <f ca="1">IFERROR(__xludf.DUMMYFUNCTION("B197*GOOGLEFINANCE(""CURRENCY:AUDINR"")"),128796752700)</f>
        <v>128796752700</v>
      </c>
    </row>
    <row r="198" spans="1:3" x14ac:dyDescent="0.25">
      <c r="A198" s="2">
        <v>197</v>
      </c>
      <c r="B198" s="2">
        <v>1661233333.3333299</v>
      </c>
      <c r="C198" s="3">
        <f ca="1">IFERROR(__xludf.DUMMYFUNCTION("B198*GOOGLEFINANCE(""CURRENCY:AUDINR"")"),88340817014.9998)</f>
        <v>88340817014.999802</v>
      </c>
    </row>
    <row r="199" spans="1:3" x14ac:dyDescent="0.25">
      <c r="A199" s="2">
        <v>198</v>
      </c>
      <c r="B199" s="2">
        <v>1788419047.61905</v>
      </c>
      <c r="C199" s="3">
        <f ca="1">IFERROR(__xludf.DUMMYFUNCTION("B199*GOOGLEFINANCE(""CURRENCY:AUDINR"")"),95104279851.4287)</f>
        <v>95104279851.428696</v>
      </c>
    </row>
    <row r="200" spans="1:3" x14ac:dyDescent="0.25">
      <c r="A200" s="2">
        <v>199</v>
      </c>
      <c r="B200" s="2">
        <v>1915604761.9047599</v>
      </c>
      <c r="C200" s="3">
        <f ca="1">IFERROR(__xludf.DUMMYFUNCTION("B200*GOOGLEFINANCE(""CURRENCY:AUDINR"")"),101867742687.857)</f>
        <v>101867742687.85699</v>
      </c>
    </row>
    <row r="201" spans="1:3" x14ac:dyDescent="0.25">
      <c r="A201" s="2">
        <v>200</v>
      </c>
      <c r="B201" s="2">
        <v>2042790476.19047</v>
      </c>
      <c r="C201" s="3">
        <f ca="1">IFERROR(__xludf.DUMMYFUNCTION("B201*GOOGLEFINANCE(""CURRENCY:AUDINR"")"),108631205524.285)</f>
        <v>108631205524.285</v>
      </c>
    </row>
    <row r="202" spans="1:3" x14ac:dyDescent="0.25">
      <c r="A202" s="2">
        <v>201</v>
      </c>
      <c r="B202" s="2">
        <v>2169976190.4761901</v>
      </c>
      <c r="C202" s="3">
        <f ca="1">IFERROR(__xludf.DUMMYFUNCTION("B202*GOOGLEFINANCE(""CURRENCY:AUDINR"")"),115394668360.714)</f>
        <v>115394668360.714</v>
      </c>
    </row>
    <row r="203" spans="1:3" x14ac:dyDescent="0.25">
      <c r="A203" s="2">
        <v>202</v>
      </c>
      <c r="B203" s="2">
        <v>2297161904.7618999</v>
      </c>
      <c r="C203" s="3">
        <f ca="1">IFERROR(__xludf.DUMMYFUNCTION("B203*GOOGLEFINANCE(""CURRENCY:AUDINR"")"),122158131197.142)</f>
        <v>122158131197.142</v>
      </c>
    </row>
    <row r="204" spans="1:3" x14ac:dyDescent="0.25">
      <c r="A204" s="2">
        <v>203</v>
      </c>
      <c r="B204" s="2">
        <v>2424347619.0476198</v>
      </c>
      <c r="C204" s="3">
        <f ca="1">IFERROR(__xludf.DUMMYFUNCTION("B204*GOOGLEFINANCE(""CURRENCY:AUDINR"")"),128921594033.571)</f>
        <v>128921594033.571</v>
      </c>
    </row>
    <row r="205" spans="1:3" x14ac:dyDescent="0.25">
      <c r="A205" s="2">
        <v>204</v>
      </c>
      <c r="B205" s="2">
        <v>2551533333.3333302</v>
      </c>
      <c r="C205" s="3">
        <f ca="1">IFERROR(__xludf.DUMMYFUNCTION("B205*GOOGLEFINANCE(""CURRENCY:AUDINR"")"),135685056869.999)</f>
        <v>135685056869.99899</v>
      </c>
    </row>
    <row r="206" spans="1:3" x14ac:dyDescent="0.25">
      <c r="A206" s="2">
        <v>205</v>
      </c>
      <c r="B206" s="2">
        <v>2678719047.61904</v>
      </c>
      <c r="C206" s="3">
        <f ca="1">IFERROR(__xludf.DUMMYFUNCTION("B206*GOOGLEFINANCE(""CURRENCY:AUDINR"")"),142448519706.428)</f>
        <v>142448519706.42801</v>
      </c>
    </row>
    <row r="207" spans="1:3" x14ac:dyDescent="0.25">
      <c r="A207" s="2">
        <v>206</v>
      </c>
      <c r="B207" s="2">
        <v>2805904761.9047599</v>
      </c>
      <c r="C207" s="3">
        <f ca="1">IFERROR(__xludf.DUMMYFUNCTION("B207*GOOGLEFINANCE(""CURRENCY:AUDINR"")"),149211982542.857)</f>
        <v>149211982542.85699</v>
      </c>
    </row>
    <row r="208" spans="1:3" x14ac:dyDescent="0.25">
      <c r="A208" s="2">
        <v>207</v>
      </c>
      <c r="B208" s="2">
        <v>2933090476.1904702</v>
      </c>
      <c r="C208" s="3">
        <f ca="1">IFERROR(__xludf.DUMMYFUNCTION("B208*GOOGLEFINANCE(""CURRENCY:AUDINR"")"),155975445379.285)</f>
        <v>155975445379.285</v>
      </c>
    </row>
    <row r="209" spans="1:3" x14ac:dyDescent="0.25">
      <c r="A209" s="2">
        <v>208</v>
      </c>
      <c r="B209" s="2">
        <v>3060276190.4761901</v>
      </c>
      <c r="C209" s="3">
        <f ca="1">IFERROR(__xludf.DUMMYFUNCTION("B209*GOOGLEFINANCE(""CURRENCY:AUDINR"")"),162738908215.714)</f>
        <v>162738908215.71399</v>
      </c>
    </row>
    <row r="210" spans="1:3" x14ac:dyDescent="0.25">
      <c r="A210" s="2">
        <v>209</v>
      </c>
      <c r="B210" s="2">
        <v>3187461904.7618999</v>
      </c>
      <c r="C210" s="3">
        <f ca="1">IFERROR(__xludf.DUMMYFUNCTION("B210*GOOGLEFINANCE(""CURRENCY:AUDINR"")"),169502371052.142)</f>
        <v>169502371052.142</v>
      </c>
    </row>
    <row r="211" spans="1:3" x14ac:dyDescent="0.25">
      <c r="A211" s="2">
        <v>210</v>
      </c>
      <c r="B211" s="2">
        <v>3314647619.0476098</v>
      </c>
      <c r="C211" s="3">
        <f ca="1">IFERROR(__xludf.DUMMYFUNCTION("B211*GOOGLEFINANCE(""CURRENCY:AUDINR"")"),176265833888.57)</f>
        <v>176265833888.57001</v>
      </c>
    </row>
    <row r="212" spans="1:3" x14ac:dyDescent="0.25">
      <c r="A212" s="2">
        <v>211</v>
      </c>
      <c r="B212" s="2">
        <v>3441833333.3333302</v>
      </c>
      <c r="C212" s="3">
        <f ca="1">IFERROR(__xludf.DUMMYFUNCTION("B212*GOOGLEFINANCE(""CURRENCY:AUDINR"")"),183029296724.999)</f>
        <v>183029296724.99899</v>
      </c>
    </row>
    <row r="213" spans="1:3" x14ac:dyDescent="0.25">
      <c r="A213" s="2">
        <v>212</v>
      </c>
      <c r="B213" s="2">
        <v>3569019047.61904</v>
      </c>
      <c r="C213" s="3">
        <f ca="1">IFERROR(__xludf.DUMMYFUNCTION("B213*GOOGLEFINANCE(""CURRENCY:AUDINR"")"),189792759561.428)</f>
        <v>189792759561.42801</v>
      </c>
    </row>
    <row r="214" spans="1:3" x14ac:dyDescent="0.25">
      <c r="A214" s="2">
        <v>213</v>
      </c>
      <c r="B214" s="2">
        <v>3696204761.9047599</v>
      </c>
      <c r="C214" s="3">
        <f ca="1">IFERROR(__xludf.DUMMYFUNCTION("B214*GOOGLEFINANCE(""CURRENCY:AUDINR"")"),196556222397.857)</f>
        <v>196556222397.85699</v>
      </c>
    </row>
    <row r="215" spans="1:3" x14ac:dyDescent="0.25">
      <c r="A215" s="2">
        <v>214</v>
      </c>
      <c r="B215" s="2">
        <v>3823390476.1904702</v>
      </c>
      <c r="C215" s="3">
        <f ca="1">IFERROR(__xludf.DUMMYFUNCTION("B215*GOOGLEFINANCE(""CURRENCY:AUDINR"")"),203319685234.285)</f>
        <v>203319685234.285</v>
      </c>
    </row>
    <row r="216" spans="1:3" x14ac:dyDescent="0.25">
      <c r="A216" s="2">
        <v>215</v>
      </c>
      <c r="B216" s="2">
        <v>3950576190.4761801</v>
      </c>
      <c r="C216" s="3">
        <f ca="1">IFERROR(__xludf.DUMMYFUNCTION("B216*GOOGLEFINANCE(""CURRENCY:AUDINR"")"),210083148070.713)</f>
        <v>210083148070.71301</v>
      </c>
    </row>
    <row r="217" spans="1:3" x14ac:dyDescent="0.25">
      <c r="A217" s="2">
        <v>216</v>
      </c>
      <c r="B217" s="2">
        <v>4077761904.7618999</v>
      </c>
      <c r="C217" s="3">
        <f ca="1">IFERROR(__xludf.DUMMYFUNCTION("B217*GOOGLEFINANCE(""CURRENCY:AUDINR"")"),216846610907.142)</f>
        <v>216846610907.142</v>
      </c>
    </row>
    <row r="218" spans="1:3" x14ac:dyDescent="0.25">
      <c r="A218" s="2">
        <v>217</v>
      </c>
      <c r="B218" s="2">
        <v>4204947619.0476098</v>
      </c>
      <c r="C218" s="3">
        <f ca="1">IFERROR(__xludf.DUMMYFUNCTION("B218*GOOGLEFINANCE(""CURRENCY:AUDINR"")"),223610073743.57)</f>
        <v>223610073743.57001</v>
      </c>
    </row>
    <row r="219" spans="1:3" x14ac:dyDescent="0.25">
      <c r="A219" s="2">
        <v>218</v>
      </c>
      <c r="B219" s="2">
        <v>4332133333.3333302</v>
      </c>
      <c r="C219" s="3">
        <f ca="1">IFERROR(__xludf.DUMMYFUNCTION("B219*GOOGLEFINANCE(""CURRENCY:AUDINR"")"),230373536579.999)</f>
        <v>230373536579.99899</v>
      </c>
    </row>
    <row r="220" spans="1:3" x14ac:dyDescent="0.25">
      <c r="A220" s="2">
        <v>219</v>
      </c>
      <c r="B220" s="2">
        <v>4459319047.6190395</v>
      </c>
      <c r="C220" s="3">
        <f ca="1">IFERROR(__xludf.DUMMYFUNCTION("B220*GOOGLEFINANCE(""CURRENCY:AUDINR"")"),237136999416.428)</f>
        <v>237136999416.42801</v>
      </c>
    </row>
    <row r="221" spans="1:3" x14ac:dyDescent="0.25">
      <c r="A221" s="2">
        <v>220</v>
      </c>
      <c r="B221" s="2">
        <v>4586504761.9047499</v>
      </c>
      <c r="C221" s="3">
        <f ca="1">IFERROR(__xludf.DUMMYFUNCTION("B221*GOOGLEFINANCE(""CURRENCY:AUDINR"")"),243900462252.856)</f>
        <v>243900462252.85599</v>
      </c>
    </row>
    <row r="222" spans="1:3" x14ac:dyDescent="0.25">
      <c r="A222" s="2">
        <v>221</v>
      </c>
      <c r="B222" s="2">
        <v>4713690476.1904697</v>
      </c>
      <c r="C222" s="3">
        <f ca="1">IFERROR(__xludf.DUMMYFUNCTION("B222*GOOGLEFINANCE(""CURRENCY:AUDINR"")"),250663925089.285)</f>
        <v>250663925089.285</v>
      </c>
    </row>
    <row r="223" spans="1:3" x14ac:dyDescent="0.25">
      <c r="A223" s="2">
        <v>222</v>
      </c>
      <c r="B223" s="2">
        <v>4840876190.4761801</v>
      </c>
      <c r="C223" s="3">
        <f ca="1">IFERROR(__xludf.DUMMYFUNCTION("B223*GOOGLEFINANCE(""CURRENCY:AUDINR"")"),257427387925.713)</f>
        <v>257427387925.71301</v>
      </c>
    </row>
    <row r="224" spans="1:3" x14ac:dyDescent="0.25">
      <c r="A224" s="2">
        <v>223</v>
      </c>
      <c r="B224" s="2">
        <v>4968061904.7618999</v>
      </c>
      <c r="C224" s="3">
        <f ca="1">IFERROR(__xludf.DUMMYFUNCTION("B224*GOOGLEFINANCE(""CURRENCY:AUDINR"")"),264190850762.142)</f>
        <v>264190850762.142</v>
      </c>
    </row>
    <row r="225" spans="1:3" x14ac:dyDescent="0.25">
      <c r="A225" s="2">
        <v>224</v>
      </c>
      <c r="B225" s="2">
        <v>5095247619.0476103</v>
      </c>
      <c r="C225" s="3">
        <f ca="1">IFERROR(__xludf.DUMMYFUNCTION("B225*GOOGLEFINANCE(""CURRENCY:AUDINR"")"),270954313598.57)</f>
        <v>270954313598.57001</v>
      </c>
    </row>
    <row r="226" spans="1:3" x14ac:dyDescent="0.25">
      <c r="A226" s="2">
        <v>225</v>
      </c>
      <c r="B226" s="2">
        <v>5222433333.3333197</v>
      </c>
      <c r="C226" s="3">
        <f ca="1">IFERROR(__xludf.DUMMYFUNCTION("B226*GOOGLEFINANCE(""CURRENCY:AUDINR"")"),277717776434.999)</f>
        <v>277717776434.99902</v>
      </c>
    </row>
    <row r="227" spans="1:3" x14ac:dyDescent="0.25">
      <c r="A227" s="2">
        <v>226</v>
      </c>
      <c r="B227" s="2">
        <v>5349619047.6190395</v>
      </c>
      <c r="C227" s="3">
        <f ca="1">IFERROR(__xludf.DUMMYFUNCTION("B227*GOOGLEFINANCE(""CURRENCY:AUDINR"")"),284481239271.428)</f>
        <v>284481239271.42798</v>
      </c>
    </row>
    <row r="228" spans="1:3" x14ac:dyDescent="0.25">
      <c r="A228" s="2">
        <v>227</v>
      </c>
      <c r="B228" s="2">
        <v>5476804761.9047499</v>
      </c>
      <c r="C228" s="3">
        <f ca="1">IFERROR(__xludf.DUMMYFUNCTION("B228*GOOGLEFINANCE(""CURRENCY:AUDINR"")"),291244702107.856)</f>
        <v>291244702107.85602</v>
      </c>
    </row>
    <row r="229" spans="1:3" x14ac:dyDescent="0.25">
      <c r="A229" s="2">
        <v>228</v>
      </c>
      <c r="B229" s="2">
        <v>5603990476.1904697</v>
      </c>
      <c r="C229" s="3">
        <f ca="1">IFERROR(__xludf.DUMMYFUNCTION("B229*GOOGLEFINANCE(""CURRENCY:AUDINR"")"),298008164944.285)</f>
        <v>298008164944.28497</v>
      </c>
    </row>
    <row r="230" spans="1:3" x14ac:dyDescent="0.25">
      <c r="A230" s="2">
        <v>229</v>
      </c>
      <c r="B230" s="2">
        <v>5731176190.4761801</v>
      </c>
      <c r="C230" s="3">
        <f ca="1">IFERROR(__xludf.DUMMYFUNCTION("B230*GOOGLEFINANCE(""CURRENCY:AUDINR"")"),304771627780.713)</f>
        <v>304771627780.71301</v>
      </c>
    </row>
    <row r="231" spans="1:3" x14ac:dyDescent="0.25">
      <c r="A231" s="2">
        <v>230</v>
      </c>
      <c r="B231" s="2">
        <v>5858361904.7618904</v>
      </c>
      <c r="C231" s="3">
        <f ca="1">IFERROR(__xludf.DUMMYFUNCTION("B231*GOOGLEFINANCE(""CURRENCY:AUDINR"")"),311535090617.142)</f>
        <v>311535090617.14203</v>
      </c>
    </row>
    <row r="232" spans="1:3" x14ac:dyDescent="0.25">
      <c r="A232" s="2">
        <v>231</v>
      </c>
      <c r="B232" s="2">
        <v>5985547619.0476103</v>
      </c>
      <c r="C232" s="3">
        <f ca="1">IFERROR(__xludf.DUMMYFUNCTION("B232*GOOGLEFINANCE(""CURRENCY:AUDINR"")"),318298553453.571)</f>
        <v>318298553453.57098</v>
      </c>
    </row>
    <row r="233" spans="1:3" x14ac:dyDescent="0.25">
      <c r="A233" s="2">
        <v>232</v>
      </c>
      <c r="B233" s="2">
        <v>6112733333.3333197</v>
      </c>
      <c r="C233" s="3">
        <f ca="1">IFERROR(__xludf.DUMMYFUNCTION("B233*GOOGLEFINANCE(""CURRENCY:AUDINR"")"),325062016289.999)</f>
        <v>325062016289.99902</v>
      </c>
    </row>
    <row r="234" spans="1:3" x14ac:dyDescent="0.25">
      <c r="A234" s="2">
        <v>233</v>
      </c>
      <c r="B234" s="2">
        <v>6239919047.6190395</v>
      </c>
      <c r="C234" s="3">
        <f ca="1">IFERROR(__xludf.DUMMYFUNCTION("B234*GOOGLEFINANCE(""CURRENCY:AUDINR"")"),331825479126.428)</f>
        <v>331825479126.42798</v>
      </c>
    </row>
    <row r="235" spans="1:3" x14ac:dyDescent="0.25">
      <c r="A235" s="2">
        <v>234</v>
      </c>
      <c r="B235" s="2">
        <v>6367104761.9047499</v>
      </c>
      <c r="C235" s="3">
        <f ca="1">IFERROR(__xludf.DUMMYFUNCTION("B235*GOOGLEFINANCE(""CURRENCY:AUDINR"")"),338588941962.856)</f>
        <v>338588941962.85602</v>
      </c>
    </row>
    <row r="236" spans="1:3" x14ac:dyDescent="0.25">
      <c r="A236" s="2">
        <v>235</v>
      </c>
      <c r="B236" s="2">
        <v>6494290476.1904602</v>
      </c>
      <c r="C236" s="3">
        <f ca="1">IFERROR(__xludf.DUMMYFUNCTION("B236*GOOGLEFINANCE(""CURRENCY:AUDINR"")"),345352404799.284)</f>
        <v>345352404799.284</v>
      </c>
    </row>
    <row r="237" spans="1:3" x14ac:dyDescent="0.25">
      <c r="A237" s="2">
        <v>236</v>
      </c>
      <c r="B237" s="2">
        <v>6621476190.4761801</v>
      </c>
      <c r="C237" s="3">
        <f ca="1">IFERROR(__xludf.DUMMYFUNCTION("B237*GOOGLEFINANCE(""CURRENCY:AUDINR"")"),352115867635.713)</f>
        <v>352115867635.71301</v>
      </c>
    </row>
    <row r="238" spans="1:3" x14ac:dyDescent="0.25">
      <c r="A238" s="2">
        <v>237</v>
      </c>
      <c r="B238" s="2">
        <v>6748661904.7618904</v>
      </c>
      <c r="C238" s="3">
        <f ca="1">IFERROR(__xludf.DUMMYFUNCTION("B238*GOOGLEFINANCE(""CURRENCY:AUDINR"")"),358879330472.142)</f>
        <v>358879330472.14203</v>
      </c>
    </row>
    <row r="239" spans="1:3" x14ac:dyDescent="0.25">
      <c r="A239" s="2">
        <v>238</v>
      </c>
      <c r="B239" s="2">
        <v>6875847619.0476103</v>
      </c>
      <c r="C239" s="3">
        <f ca="1">IFERROR(__xludf.DUMMYFUNCTION("B239*GOOGLEFINANCE(""CURRENCY:AUDINR"")"),365642793308.571)</f>
        <v>365642793308.57098</v>
      </c>
    </row>
    <row r="240" spans="1:3" x14ac:dyDescent="0.25">
      <c r="A240" s="2">
        <v>239</v>
      </c>
      <c r="B240" s="2">
        <v>7003033333.3333197</v>
      </c>
      <c r="C240" s="3">
        <f ca="1">IFERROR(__xludf.DUMMYFUNCTION("B240*GOOGLEFINANCE(""CURRENCY:AUDINR"")"),372406256144.999)</f>
        <v>372406256144.99902</v>
      </c>
    </row>
    <row r="241" spans="1:3" x14ac:dyDescent="0.25">
      <c r="A241" s="2">
        <v>240</v>
      </c>
      <c r="B241" s="2">
        <v>7130219047.61903</v>
      </c>
      <c r="C241" s="3">
        <f ca="1">IFERROR(__xludf.DUMMYFUNCTION("B241*GOOGLEFINANCE(""CURRENCY:AUDINR"")"),379169718981.427)</f>
        <v>379169718981.427</v>
      </c>
    </row>
    <row r="242" spans="1:3" x14ac:dyDescent="0.25">
      <c r="A242" s="2">
        <v>241</v>
      </c>
      <c r="B242" s="2">
        <v>7257404761.9047499</v>
      </c>
      <c r="C242" s="3">
        <f ca="1">IFERROR(__xludf.DUMMYFUNCTION("B242*GOOGLEFINANCE(""CURRENCY:AUDINR"")"),385933181817.856)</f>
        <v>385933181817.85602</v>
      </c>
    </row>
    <row r="243" spans="1:3" x14ac:dyDescent="0.25">
      <c r="A243" s="2">
        <v>242</v>
      </c>
      <c r="B243" s="2">
        <v>7384590476.1904602</v>
      </c>
      <c r="C243" s="3">
        <f ca="1">IFERROR(__xludf.DUMMYFUNCTION("B243*GOOGLEFINANCE(""CURRENCY:AUDINR"")"),392696644654.284)</f>
        <v>392696644654.284</v>
      </c>
    </row>
    <row r="244" spans="1:3" x14ac:dyDescent="0.25">
      <c r="A244" s="2">
        <v>243</v>
      </c>
      <c r="B244" s="2">
        <v>7511776190.4761801</v>
      </c>
      <c r="C244" s="3">
        <f ca="1">IFERROR(__xludf.DUMMYFUNCTION("B244*GOOGLEFINANCE(""CURRENCY:AUDINR"")"),399460107490.713)</f>
        <v>399460107490.71301</v>
      </c>
    </row>
    <row r="245" spans="1:3" x14ac:dyDescent="0.25">
      <c r="A245" s="2">
        <v>244</v>
      </c>
      <c r="B245" s="2">
        <v>7638961904.7618904</v>
      </c>
      <c r="C245" s="3">
        <f ca="1">IFERROR(__xludf.DUMMYFUNCTION("B245*GOOGLEFINANCE(""CURRENCY:AUDINR"")"),406223570327.142)</f>
        <v>406223570327.14203</v>
      </c>
    </row>
    <row r="246" spans="1:3" x14ac:dyDescent="0.25">
      <c r="A246" s="2">
        <v>245</v>
      </c>
      <c r="B246" s="2">
        <v>7766147619.0476103</v>
      </c>
      <c r="C246" s="3">
        <f ca="1">IFERROR(__xludf.DUMMYFUNCTION("B246*GOOGLEFINANCE(""CURRENCY:AUDINR"")"),412987033163.571)</f>
        <v>412987033163.57098</v>
      </c>
    </row>
    <row r="247" spans="1:3" x14ac:dyDescent="0.25">
      <c r="A247" s="2">
        <v>246</v>
      </c>
      <c r="B247" s="2">
        <v>7893333333.3333197</v>
      </c>
      <c r="C247" s="3">
        <f ca="1">IFERROR(__xludf.DUMMYFUNCTION("B247*GOOGLEFINANCE(""CURRENCY:AUDINR"")"),419750495999.999)</f>
        <v>419750495999.99902</v>
      </c>
    </row>
    <row r="248" spans="1:3" x14ac:dyDescent="0.25">
      <c r="A248" s="2">
        <v>247</v>
      </c>
      <c r="B248" s="2">
        <v>8020519047.61903</v>
      </c>
      <c r="C248" s="3">
        <f ca="1">IFERROR(__xludf.DUMMYFUNCTION("B248*GOOGLEFINANCE(""CURRENCY:AUDINR"")"),426513958836.427)</f>
        <v>426513958836.427</v>
      </c>
    </row>
    <row r="249" spans="1:3" x14ac:dyDescent="0.25">
      <c r="A249" s="2">
        <v>248</v>
      </c>
      <c r="B249" s="2">
        <v>8147704761.9047499</v>
      </c>
      <c r="C249" s="3">
        <f ca="1">IFERROR(__xludf.DUMMYFUNCTION("B249*GOOGLEFINANCE(""CURRENCY:AUDINR"")"),433277421672.856)</f>
        <v>433277421672.85602</v>
      </c>
    </row>
    <row r="250" spans="1:3" x14ac:dyDescent="0.25">
      <c r="A250" s="2">
        <v>249</v>
      </c>
      <c r="B250" s="2">
        <v>8274890476.1904602</v>
      </c>
      <c r="C250" s="3">
        <f ca="1">IFERROR(__xludf.DUMMYFUNCTION("B250*GOOGLEFINANCE(""CURRENCY:AUDINR"")"),440040884509.284)</f>
        <v>440040884509.284</v>
      </c>
    </row>
    <row r="251" spans="1:3" x14ac:dyDescent="0.25">
      <c r="A251" s="2">
        <v>250</v>
      </c>
      <c r="B251" s="2">
        <v>8402076190.4761696</v>
      </c>
      <c r="C251" s="3">
        <f ca="1">IFERROR(__xludf.DUMMYFUNCTION("B251*GOOGLEFINANCE(""CURRENCY:AUDINR"")"),446804347345.713)</f>
        <v>446804347345.71301</v>
      </c>
    </row>
    <row r="252" spans="1:3" x14ac:dyDescent="0.25">
      <c r="A252" s="2">
        <v>251</v>
      </c>
      <c r="B252" s="2">
        <v>8529261904.7618904</v>
      </c>
      <c r="C252" s="3">
        <f ca="1">IFERROR(__xludf.DUMMYFUNCTION("B252*GOOGLEFINANCE(""CURRENCY:AUDINR"")"),453567810182.142)</f>
        <v>453567810182.14203</v>
      </c>
    </row>
    <row r="253" spans="1:3" x14ac:dyDescent="0.25">
      <c r="A253" s="2">
        <v>252</v>
      </c>
      <c r="B253" s="2">
        <v>8656447619.0475998</v>
      </c>
      <c r="C253" s="3">
        <f ca="1">IFERROR(__xludf.DUMMYFUNCTION("B253*GOOGLEFINANCE(""CURRENCY:AUDINR"")"),460331273018.57)</f>
        <v>460331273018.57001</v>
      </c>
    </row>
    <row r="254" spans="1:3" x14ac:dyDescent="0.25">
      <c r="A254" s="2">
        <v>253</v>
      </c>
      <c r="B254" s="2">
        <v>8783633333.3333206</v>
      </c>
      <c r="C254" s="3">
        <f ca="1">IFERROR(__xludf.DUMMYFUNCTION("B254*GOOGLEFINANCE(""CURRENCY:AUDINR"")"),467094735854.999)</f>
        <v>467094735854.99902</v>
      </c>
    </row>
    <row r="255" spans="1:3" x14ac:dyDescent="0.25">
      <c r="A255" s="2">
        <v>254</v>
      </c>
      <c r="B255" s="2">
        <v>8910819047.61903</v>
      </c>
      <c r="C255" s="3">
        <f ca="1">IFERROR(__xludf.DUMMYFUNCTION("B255*GOOGLEFINANCE(""CURRENCY:AUDINR"")"),473858198691.427)</f>
        <v>473858198691.427</v>
      </c>
    </row>
    <row r="256" spans="1:3" x14ac:dyDescent="0.25">
      <c r="A256" s="2">
        <v>255</v>
      </c>
      <c r="B256" s="2">
        <v>9038004761.9047394</v>
      </c>
      <c r="C256" s="3">
        <f ca="1">IFERROR(__xludf.DUMMYFUNCTION("B256*GOOGLEFINANCE(""CURRENCY:AUDINR"")"),480621661527.855)</f>
        <v>480621661527.85498</v>
      </c>
    </row>
    <row r="257" spans="1:3" x14ac:dyDescent="0.25">
      <c r="A257" s="2">
        <v>256</v>
      </c>
      <c r="B257" s="2">
        <v>9165190476.1904602</v>
      </c>
      <c r="C257" s="3">
        <f ca="1">IFERROR(__xludf.DUMMYFUNCTION("B257*GOOGLEFINANCE(""CURRENCY:AUDINR"")"),487385124364.284)</f>
        <v>487385124364.284</v>
      </c>
    </row>
    <row r="258" spans="1:3" x14ac:dyDescent="0.25">
      <c r="A258" s="2">
        <v>257</v>
      </c>
      <c r="B258" s="2">
        <v>9292376190.4761696</v>
      </c>
      <c r="C258" s="3">
        <f ca="1">IFERROR(__xludf.DUMMYFUNCTION("B258*GOOGLEFINANCE(""CURRENCY:AUDINR"")"),494148587200.713)</f>
        <v>494148587200.71301</v>
      </c>
    </row>
    <row r="259" spans="1:3" x14ac:dyDescent="0.25">
      <c r="A259" s="2">
        <v>258</v>
      </c>
      <c r="B259" s="2">
        <v>9419561904.7618904</v>
      </c>
      <c r="C259" s="3">
        <f ca="1">IFERROR(__xludf.DUMMYFUNCTION("B259*GOOGLEFINANCE(""CURRENCY:AUDINR"")"),500912050037.142)</f>
        <v>500912050037.14203</v>
      </c>
    </row>
    <row r="260" spans="1:3" x14ac:dyDescent="0.25">
      <c r="A260" s="2">
        <v>259</v>
      </c>
      <c r="B260" s="2">
        <v>9546747619.0475998</v>
      </c>
      <c r="C260" s="3">
        <f ca="1">IFERROR(__xludf.DUMMYFUNCTION("B260*GOOGLEFINANCE(""CURRENCY:AUDINR"")"),507675512873.57)</f>
        <v>507675512873.57001</v>
      </c>
    </row>
    <row r="261" spans="1:3" x14ac:dyDescent="0.25">
      <c r="A261" s="2">
        <v>260</v>
      </c>
      <c r="B261" s="2">
        <v>9673933333.3333092</v>
      </c>
      <c r="C261" s="3">
        <f ca="1">IFERROR(__xludf.DUMMYFUNCTION("B261*GOOGLEFINANCE(""CURRENCY:AUDINR"")"),514438975709.998)</f>
        <v>514438975709.99799</v>
      </c>
    </row>
    <row r="262" spans="1:3" x14ac:dyDescent="0.25">
      <c r="A262" s="2">
        <v>261</v>
      </c>
      <c r="B262" s="2">
        <v>9801119047.61903</v>
      </c>
      <c r="C262" s="3">
        <f ca="1">IFERROR(__xludf.DUMMYFUNCTION("B262*GOOGLEFINANCE(""CURRENCY:AUDINR"")"),521202438546.427)</f>
        <v>521202438546.427</v>
      </c>
    </row>
    <row r="263" spans="1:3" x14ac:dyDescent="0.25">
      <c r="A263" s="2">
        <v>262</v>
      </c>
      <c r="B263" s="2">
        <v>9928304761.9047394</v>
      </c>
      <c r="C263" s="3">
        <f ca="1">IFERROR(__xludf.DUMMYFUNCTION("B263*GOOGLEFINANCE(""CURRENCY:AUDINR"")"),527965901382.855)</f>
        <v>527965901382.85498</v>
      </c>
    </row>
    <row r="264" spans="1:3" x14ac:dyDescent="0.25">
      <c r="A264" s="2">
        <v>263</v>
      </c>
      <c r="B264" s="2">
        <v>10055490476.1905</v>
      </c>
      <c r="C264" s="3">
        <f ca="1">IFERROR(__xludf.DUMMYFUNCTION("B264*GOOGLEFINANCE(""CURRENCY:AUDINR"")"),534729364219.287)</f>
        <v>534729364219.28699</v>
      </c>
    </row>
    <row r="265" spans="1:3" x14ac:dyDescent="0.25">
      <c r="A265" s="2">
        <v>264</v>
      </c>
      <c r="B265" s="2">
        <v>10182676190.4762</v>
      </c>
      <c r="C265" s="3">
        <f ca="1">IFERROR(__xludf.DUMMYFUNCTION("B265*GOOGLEFINANCE(""CURRENCY:AUDINR"")"),541492827055.714)</f>
        <v>541492827055.71399</v>
      </c>
    </row>
    <row r="266" spans="1:3" x14ac:dyDescent="0.25">
      <c r="A266" s="2">
        <v>265</v>
      </c>
      <c r="B266" s="2">
        <v>10309861904.7619</v>
      </c>
      <c r="C266" s="3">
        <f ca="1">IFERROR(__xludf.DUMMYFUNCTION("B266*GOOGLEFINANCE(""CURRENCY:AUDINR"")"),548256289892.142)</f>
        <v>548256289892.14203</v>
      </c>
    </row>
    <row r="267" spans="1:3" x14ac:dyDescent="0.25">
      <c r="A267" s="2">
        <v>266</v>
      </c>
      <c r="B267" s="2">
        <v>10437047619.0476</v>
      </c>
      <c r="C267" s="3">
        <f ca="1">IFERROR(__xludf.DUMMYFUNCTION("B267*GOOGLEFINANCE(""CURRENCY:AUDINR"")"),555019752728.57)</f>
        <v>555019752728.56995</v>
      </c>
    </row>
    <row r="268" spans="1:3" x14ac:dyDescent="0.25">
      <c r="A268" s="2">
        <v>267</v>
      </c>
      <c r="B268" s="2">
        <v>10564233333.3333</v>
      </c>
      <c r="C268" s="3">
        <f ca="1">IFERROR(__xludf.DUMMYFUNCTION("B268*GOOGLEFINANCE(""CURRENCY:AUDINR"")"),561783215564.998)</f>
        <v>561783215564.99805</v>
      </c>
    </row>
    <row r="269" spans="1:3" x14ac:dyDescent="0.25">
      <c r="A269" s="2">
        <v>268</v>
      </c>
      <c r="B269" s="2">
        <v>10691419047.618999</v>
      </c>
      <c r="C269" s="3">
        <f ca="1">IFERROR(__xludf.DUMMYFUNCTION("B269*GOOGLEFINANCE(""CURRENCY:AUDINR"")"),568546678401.426)</f>
        <v>568546678401.42603</v>
      </c>
    </row>
    <row r="270" spans="1:3" x14ac:dyDescent="0.25">
      <c r="A270" s="2">
        <v>269</v>
      </c>
      <c r="B270" s="2">
        <v>10818604761.904699</v>
      </c>
      <c r="C270" s="3">
        <f ca="1">IFERROR(__xludf.DUMMYFUNCTION("B270*GOOGLEFINANCE(""CURRENCY:AUDINR"")"),575310141237.853)</f>
        <v>575310141237.85303</v>
      </c>
    </row>
    <row r="271" spans="1:3" x14ac:dyDescent="0.25">
      <c r="A271" s="2">
        <v>270</v>
      </c>
      <c r="B271" s="2">
        <v>10945790476.1905</v>
      </c>
      <c r="C271" s="3">
        <f ca="1">IFERROR(__xludf.DUMMYFUNCTION("B271*GOOGLEFINANCE(""CURRENCY:AUDINR"")"),582073604074.287)</f>
        <v>582073604074.28699</v>
      </c>
    </row>
    <row r="272" spans="1:3" x14ac:dyDescent="0.25">
      <c r="A272" s="2">
        <v>271</v>
      </c>
      <c r="B272" s="2">
        <v>11072976190.4762</v>
      </c>
      <c r="C272" s="3">
        <f ca="1">IFERROR(__xludf.DUMMYFUNCTION("B272*GOOGLEFINANCE(""CURRENCY:AUDINR"")"),588837066910.714)</f>
        <v>588837066910.71399</v>
      </c>
    </row>
    <row r="273" spans="1:3" x14ac:dyDescent="0.25">
      <c r="A273" s="2">
        <v>272</v>
      </c>
      <c r="B273" s="2">
        <v>11200161904.7619</v>
      </c>
      <c r="C273" s="3">
        <f ca="1">IFERROR(__xludf.DUMMYFUNCTION("B273*GOOGLEFINANCE(""CURRENCY:AUDINR"")"),595600529747.142)</f>
        <v>595600529747.14197</v>
      </c>
    </row>
    <row r="274" spans="1:3" x14ac:dyDescent="0.25">
      <c r="A274" s="2">
        <v>273</v>
      </c>
      <c r="B274" s="2">
        <v>11327347619.0476</v>
      </c>
      <c r="C274" s="3">
        <f ca="1">IFERROR(__xludf.DUMMYFUNCTION("B274*GOOGLEFINANCE(""CURRENCY:AUDINR"")"),602363992583.57)</f>
        <v>602363992583.56995</v>
      </c>
    </row>
    <row r="275" spans="1:3" x14ac:dyDescent="0.25">
      <c r="A275" s="2">
        <v>274</v>
      </c>
      <c r="B275" s="2">
        <v>11454533333.3333</v>
      </c>
      <c r="C275" s="3">
        <f ca="1">IFERROR(__xludf.DUMMYFUNCTION("B275*GOOGLEFINANCE(""CURRENCY:AUDINR"")"),609127455419.998)</f>
        <v>609127455419.99805</v>
      </c>
    </row>
    <row r="276" spans="1:3" x14ac:dyDescent="0.25">
      <c r="A276" s="2">
        <v>275</v>
      </c>
      <c r="B276" s="2">
        <v>11581719047.618999</v>
      </c>
      <c r="C276" s="3">
        <f ca="1">IFERROR(__xludf.DUMMYFUNCTION("B276*GOOGLEFINANCE(""CURRENCY:AUDINR"")"),615890918256.426)</f>
        <v>615890918256.42603</v>
      </c>
    </row>
    <row r="277" spans="1:3" x14ac:dyDescent="0.25">
      <c r="A277" s="2">
        <v>276</v>
      </c>
      <c r="B277" s="2">
        <v>11708904761.904699</v>
      </c>
      <c r="C277" s="3">
        <f ca="1">IFERROR(__xludf.DUMMYFUNCTION("B277*GOOGLEFINANCE(""CURRENCY:AUDINR"")"),622654381092.853)</f>
        <v>622654381092.85303</v>
      </c>
    </row>
    <row r="278" spans="1:3" x14ac:dyDescent="0.25">
      <c r="A278" s="2">
        <v>277</v>
      </c>
      <c r="B278" s="2">
        <v>11836090476.1905</v>
      </c>
      <c r="C278" s="3">
        <f ca="1">IFERROR(__xludf.DUMMYFUNCTION("B278*GOOGLEFINANCE(""CURRENCY:AUDINR"")"),629417843929.287)</f>
        <v>629417843929.28699</v>
      </c>
    </row>
    <row r="279" spans="1:3" x14ac:dyDescent="0.25">
      <c r="A279" s="2">
        <v>278</v>
      </c>
      <c r="B279" s="2">
        <v>11963276190.4762</v>
      </c>
      <c r="C279" s="3">
        <f ca="1">IFERROR(__xludf.DUMMYFUNCTION("B279*GOOGLEFINANCE(""CURRENCY:AUDINR"")"),636181306765.714)</f>
        <v>636181306765.71399</v>
      </c>
    </row>
    <row r="280" spans="1:3" x14ac:dyDescent="0.25">
      <c r="A280" s="2">
        <v>279</v>
      </c>
      <c r="B280" s="2">
        <v>12090461904.7619</v>
      </c>
      <c r="C280" s="3">
        <f ca="1">IFERROR(__xludf.DUMMYFUNCTION("B280*GOOGLEFINANCE(""CURRENCY:AUDINR"")"),642944769602.142)</f>
        <v>642944769602.14197</v>
      </c>
    </row>
    <row r="281" spans="1:3" x14ac:dyDescent="0.25">
      <c r="A281" s="2">
        <v>280</v>
      </c>
      <c r="B281" s="2">
        <v>12217647619.0476</v>
      </c>
      <c r="C281" s="3">
        <f ca="1">IFERROR(__xludf.DUMMYFUNCTION("B281*GOOGLEFINANCE(""CURRENCY:AUDINR"")"),649708232438.57)</f>
        <v>649708232438.56995</v>
      </c>
    </row>
    <row r="282" spans="1:3" x14ac:dyDescent="0.25">
      <c r="A282" s="2">
        <v>281</v>
      </c>
      <c r="B282" s="2">
        <v>12344833333.3333</v>
      </c>
      <c r="C282" s="3">
        <f ca="1">IFERROR(__xludf.DUMMYFUNCTION("B282*GOOGLEFINANCE(""CURRENCY:AUDINR"")"),656471695274.998)</f>
        <v>656471695274.99805</v>
      </c>
    </row>
    <row r="283" spans="1:3" x14ac:dyDescent="0.25">
      <c r="A283" s="2">
        <v>282</v>
      </c>
      <c r="B283" s="2">
        <v>12472019047.618999</v>
      </c>
      <c r="C283" s="3">
        <f ca="1">IFERROR(__xludf.DUMMYFUNCTION("B283*GOOGLEFINANCE(""CURRENCY:AUDINR"")"),663235158111.426)</f>
        <v>663235158111.42603</v>
      </c>
    </row>
    <row r="284" spans="1:3" x14ac:dyDescent="0.25">
      <c r="A284" s="2">
        <v>283</v>
      </c>
      <c r="B284" s="2">
        <v>12599204761.904699</v>
      </c>
      <c r="C284" s="3">
        <f ca="1">IFERROR(__xludf.DUMMYFUNCTION("B284*GOOGLEFINANCE(""CURRENCY:AUDINR"")"),669998620947.853)</f>
        <v>669998620947.85303</v>
      </c>
    </row>
    <row r="285" spans="1:3" x14ac:dyDescent="0.25">
      <c r="A285" s="2">
        <v>284</v>
      </c>
      <c r="B285" s="2">
        <v>12726390476.190399</v>
      </c>
      <c r="C285" s="3">
        <f ca="1">IFERROR(__xludf.DUMMYFUNCTION("B285*GOOGLEFINANCE(""CURRENCY:AUDINR"")"),676762083784.281)</f>
        <v>676762083784.28101</v>
      </c>
    </row>
    <row r="286" spans="1:3" x14ac:dyDescent="0.25">
      <c r="A286" s="2">
        <v>285</v>
      </c>
      <c r="B286" s="2">
        <v>12853576190.4762</v>
      </c>
      <c r="C286" s="3">
        <f ca="1">IFERROR(__xludf.DUMMYFUNCTION("B286*GOOGLEFINANCE(""CURRENCY:AUDINR"")"),683525546620.714)</f>
        <v>683525546620.71399</v>
      </c>
    </row>
    <row r="287" spans="1:3" x14ac:dyDescent="0.25">
      <c r="A287" s="2">
        <v>286</v>
      </c>
      <c r="B287" s="2">
        <v>12980761904.7619</v>
      </c>
      <c r="C287" s="3">
        <f ca="1">IFERROR(__xludf.DUMMYFUNCTION("B287*GOOGLEFINANCE(""CURRENCY:AUDINR"")"),690289009457.142)</f>
        <v>690289009457.14197</v>
      </c>
    </row>
    <row r="288" spans="1:3" x14ac:dyDescent="0.25">
      <c r="A288" s="2">
        <v>287</v>
      </c>
      <c r="B288" s="2">
        <v>13107947619.0476</v>
      </c>
      <c r="C288" s="3">
        <f ca="1">IFERROR(__xludf.DUMMYFUNCTION("B288*GOOGLEFINANCE(""CURRENCY:AUDINR"")"),697052472293.57)</f>
        <v>697052472293.56995</v>
      </c>
    </row>
    <row r="289" spans="1:3" x14ac:dyDescent="0.25">
      <c r="A289" s="2">
        <v>288</v>
      </c>
      <c r="B289" s="2">
        <v>13235133333.3333</v>
      </c>
      <c r="C289" s="3">
        <f ca="1">IFERROR(__xludf.DUMMYFUNCTION("B289*GOOGLEFINANCE(""CURRENCY:AUDINR"")"),703815935129.998)</f>
        <v>703815935129.99805</v>
      </c>
    </row>
    <row r="290" spans="1:3" x14ac:dyDescent="0.25">
      <c r="A290" s="2">
        <v>289</v>
      </c>
      <c r="B290" s="2">
        <v>13362319047.618999</v>
      </c>
      <c r="C290" s="3">
        <f ca="1">IFERROR(__xludf.DUMMYFUNCTION("B290*GOOGLEFINANCE(""CURRENCY:AUDINR"")"),710579397966.426)</f>
        <v>710579397966.42603</v>
      </c>
    </row>
    <row r="291" spans="1:3" x14ac:dyDescent="0.25">
      <c r="A291" s="2">
        <v>290</v>
      </c>
      <c r="B291" s="2">
        <v>13489504761.904699</v>
      </c>
      <c r="C291" s="3">
        <f ca="1">IFERROR(__xludf.DUMMYFUNCTION("B291*GOOGLEFINANCE(""CURRENCY:AUDINR"")"),717342860802.853)</f>
        <v>717342860802.85303</v>
      </c>
    </row>
    <row r="292" spans="1:3" x14ac:dyDescent="0.25">
      <c r="A292" s="2">
        <v>291</v>
      </c>
      <c r="B292" s="2">
        <v>13616690476.190399</v>
      </c>
      <c r="C292" s="3">
        <f ca="1">IFERROR(__xludf.DUMMYFUNCTION("B292*GOOGLEFINANCE(""CURRENCY:AUDINR"")"),724106323639.281)</f>
        <v>724106323639.28101</v>
      </c>
    </row>
    <row r="293" spans="1:3" x14ac:dyDescent="0.25">
      <c r="A293" s="2">
        <v>292</v>
      </c>
      <c r="B293" s="2">
        <v>13743876190.4762</v>
      </c>
      <c r="C293" s="3">
        <f ca="1">IFERROR(__xludf.DUMMYFUNCTION("B293*GOOGLEFINANCE(""CURRENCY:AUDINR"")"),730869786475.714)</f>
        <v>730869786475.71399</v>
      </c>
    </row>
    <row r="294" spans="1:3" x14ac:dyDescent="0.25">
      <c r="A294" s="2">
        <v>293</v>
      </c>
      <c r="B294" s="2">
        <v>13871061904.7619</v>
      </c>
      <c r="C294" s="3">
        <f ca="1">IFERROR(__xludf.DUMMYFUNCTION("B294*GOOGLEFINANCE(""CURRENCY:AUDINR"")"),737633249312.142)</f>
        <v>737633249312.14197</v>
      </c>
    </row>
    <row r="295" spans="1:3" x14ac:dyDescent="0.25">
      <c r="A295" s="2">
        <v>294</v>
      </c>
      <c r="B295" s="2">
        <v>13998247619.0476</v>
      </c>
      <c r="C295" s="3">
        <f ca="1">IFERROR(__xludf.DUMMYFUNCTION("B295*GOOGLEFINANCE(""CURRENCY:AUDINR"")"),744396712148.57)</f>
        <v>744396712148.56995</v>
      </c>
    </row>
    <row r="296" spans="1:3" x14ac:dyDescent="0.25">
      <c r="A296" s="2">
        <v>295</v>
      </c>
      <c r="B296" s="2">
        <v>14125433333.3333</v>
      </c>
      <c r="C296" s="3">
        <f ca="1">IFERROR(__xludf.DUMMYFUNCTION("B296*GOOGLEFINANCE(""CURRENCY:AUDINR"")"),751160174984.998)</f>
        <v>751160174984.99805</v>
      </c>
    </row>
    <row r="297" spans="1:3" x14ac:dyDescent="0.25">
      <c r="A297" s="2">
        <v>296</v>
      </c>
      <c r="B297" s="2">
        <v>14252619047.618999</v>
      </c>
      <c r="C297" s="3">
        <f ca="1">IFERROR(__xludf.DUMMYFUNCTION("B297*GOOGLEFINANCE(""CURRENCY:AUDINR"")"),757923637821.426)</f>
        <v>757923637821.42603</v>
      </c>
    </row>
    <row r="298" spans="1:3" x14ac:dyDescent="0.25">
      <c r="A298" s="2">
        <v>297</v>
      </c>
      <c r="B298" s="2">
        <v>14379804761.904699</v>
      </c>
      <c r="C298" s="3">
        <f ca="1">IFERROR(__xludf.DUMMYFUNCTION("B298*GOOGLEFINANCE(""CURRENCY:AUDINR"")"),764687100657.853)</f>
        <v>764687100657.85303</v>
      </c>
    </row>
    <row r="299" spans="1:3" x14ac:dyDescent="0.25">
      <c r="A299" s="2">
        <v>298</v>
      </c>
      <c r="B299" s="2">
        <v>14506990476.190399</v>
      </c>
      <c r="C299" s="3">
        <f ca="1">IFERROR(__xludf.DUMMYFUNCTION("B299*GOOGLEFINANCE(""CURRENCY:AUDINR"")"),771450563494.281)</f>
        <v>771450563494.28101</v>
      </c>
    </row>
    <row r="300" spans="1:3" x14ac:dyDescent="0.25">
      <c r="A300" s="2">
        <v>299</v>
      </c>
      <c r="B300" s="2">
        <v>14634176190.4762</v>
      </c>
      <c r="C300" s="3">
        <f ca="1">IFERROR(__xludf.DUMMYFUNCTION("B300*GOOGLEFINANCE(""CURRENCY:AUDINR"")"),778214026330.714)</f>
        <v>778214026330.71399</v>
      </c>
    </row>
    <row r="301" spans="1:3" x14ac:dyDescent="0.25">
      <c r="A301" s="2">
        <v>300</v>
      </c>
      <c r="B301" s="2">
        <v>14761361904.7619</v>
      </c>
      <c r="C301" s="3">
        <f ca="1">IFERROR(__xludf.DUMMYFUNCTION("B301*GOOGLEFINANCE(""CURRENCY:AUDINR"")"),784977489167.142)</f>
        <v>784977489167.14197</v>
      </c>
    </row>
    <row r="302" spans="1:3" x14ac:dyDescent="0.25">
      <c r="A302" s="2">
        <v>301</v>
      </c>
      <c r="B302" s="2">
        <v>14888547619.0476</v>
      </c>
      <c r="C302" s="3">
        <f ca="1">IFERROR(__xludf.DUMMYFUNCTION("B302*GOOGLEFINANCE(""CURRENCY:AUDINR"")"),791740952003.57)</f>
        <v>791740952003.56995</v>
      </c>
    </row>
    <row r="303" spans="1:3" x14ac:dyDescent="0.25">
      <c r="A303" s="2">
        <v>302</v>
      </c>
      <c r="B303" s="2">
        <v>15015733333.3333</v>
      </c>
      <c r="C303" s="3">
        <f ca="1">IFERROR(__xludf.DUMMYFUNCTION("B303*GOOGLEFINANCE(""CURRENCY:AUDINR"")"),798504414839.998)</f>
        <v>798504414839.99805</v>
      </c>
    </row>
    <row r="304" spans="1:3" x14ac:dyDescent="0.25">
      <c r="A304" s="2">
        <v>303</v>
      </c>
      <c r="B304" s="2">
        <v>15142919047.618999</v>
      </c>
      <c r="C304" s="3">
        <f ca="1">IFERROR(__xludf.DUMMYFUNCTION("B304*GOOGLEFINANCE(""CURRENCY:AUDINR"")"),805267877676.426)</f>
        <v>805267877676.42603</v>
      </c>
    </row>
    <row r="305" spans="1:3" x14ac:dyDescent="0.25">
      <c r="A305" s="2">
        <v>304</v>
      </c>
      <c r="B305" s="2">
        <v>15270104761.904699</v>
      </c>
      <c r="C305" s="3">
        <f ca="1">IFERROR(__xludf.DUMMYFUNCTION("B305*GOOGLEFINANCE(""CURRENCY:AUDINR"")"),812031340512.853)</f>
        <v>812031340512.85303</v>
      </c>
    </row>
    <row r="306" spans="1:3" x14ac:dyDescent="0.25">
      <c r="A306" s="2">
        <v>305</v>
      </c>
      <c r="B306" s="2">
        <v>15397290476.190399</v>
      </c>
      <c r="C306" s="3">
        <f ca="1">IFERROR(__xludf.DUMMYFUNCTION("B306*GOOGLEFINANCE(""CURRENCY:AUDINR"")"),818794803349.281)</f>
        <v>818794803349.28101</v>
      </c>
    </row>
    <row r="307" spans="1:3" x14ac:dyDescent="0.25">
      <c r="A307" s="2">
        <v>306</v>
      </c>
      <c r="B307" s="2">
        <v>15524476190.4762</v>
      </c>
      <c r="C307" s="3">
        <f ca="1">IFERROR(__xludf.DUMMYFUNCTION("B307*GOOGLEFINANCE(""CURRENCY:AUDINR"")"),825558266185.714)</f>
        <v>825558266185.71399</v>
      </c>
    </row>
    <row r="308" spans="1:3" x14ac:dyDescent="0.25">
      <c r="A308" s="2">
        <v>307</v>
      </c>
      <c r="B308" s="2">
        <v>15651661904.7619</v>
      </c>
      <c r="C308" s="3">
        <f ca="1">IFERROR(__xludf.DUMMYFUNCTION("B308*GOOGLEFINANCE(""CURRENCY:AUDINR"")"),832321729022.142)</f>
        <v>832321729022.14197</v>
      </c>
    </row>
    <row r="309" spans="1:3" x14ac:dyDescent="0.25">
      <c r="A309" s="2">
        <v>308</v>
      </c>
      <c r="B309" s="2">
        <v>15778847619.0476</v>
      </c>
      <c r="C309" s="3">
        <f ca="1">IFERROR(__xludf.DUMMYFUNCTION("B309*GOOGLEFINANCE(""CURRENCY:AUDINR"")"),839085191858.57)</f>
        <v>839085191858.56995</v>
      </c>
    </row>
    <row r="310" spans="1:3" x14ac:dyDescent="0.25">
      <c r="A310" s="2">
        <v>309</v>
      </c>
      <c r="B310" s="2">
        <v>15906033333.3333</v>
      </c>
      <c r="C310" s="3">
        <f ca="1">IFERROR(__xludf.DUMMYFUNCTION("B310*GOOGLEFINANCE(""CURRENCY:AUDINR"")"),845848654694.998)</f>
        <v>845848654694.99805</v>
      </c>
    </row>
    <row r="311" spans="1:3" x14ac:dyDescent="0.25">
      <c r="A311" s="2">
        <v>310</v>
      </c>
      <c r="B311" s="2">
        <v>16033219047.618999</v>
      </c>
      <c r="C311" s="3">
        <f ca="1">IFERROR(__xludf.DUMMYFUNCTION("B311*GOOGLEFINANCE(""CURRENCY:AUDINR"")"),852612117531.426)</f>
        <v>852612117531.42603</v>
      </c>
    </row>
    <row r="312" spans="1:3" x14ac:dyDescent="0.25">
      <c r="A312" s="2">
        <v>311</v>
      </c>
      <c r="B312" s="2">
        <v>16160404761.904699</v>
      </c>
      <c r="C312" s="3">
        <f ca="1">IFERROR(__xludf.DUMMYFUNCTION("B312*GOOGLEFINANCE(""CURRENCY:AUDINR"")"),859375580367.853)</f>
        <v>859375580367.85303</v>
      </c>
    </row>
    <row r="313" spans="1:3" x14ac:dyDescent="0.25">
      <c r="A313" s="2">
        <v>312</v>
      </c>
      <c r="B313" s="2">
        <v>16287590476.190399</v>
      </c>
      <c r="C313" s="3">
        <f ca="1">IFERROR(__xludf.DUMMYFUNCTION("B313*GOOGLEFINANCE(""CURRENCY:AUDINR"")"),866139043204.281)</f>
        <v>866139043204.28101</v>
      </c>
    </row>
    <row r="314" spans="1:3" x14ac:dyDescent="0.25">
      <c r="A314" s="2">
        <v>313</v>
      </c>
      <c r="B314" s="2">
        <v>16414776190.4762</v>
      </c>
      <c r="C314" s="3">
        <f ca="1">IFERROR(__xludf.DUMMYFUNCTION("B314*GOOGLEFINANCE(""CURRENCY:AUDINR"")"),872902506040.714)</f>
        <v>872902506040.71399</v>
      </c>
    </row>
    <row r="315" spans="1:3" x14ac:dyDescent="0.25">
      <c r="A315" s="2">
        <v>314</v>
      </c>
      <c r="B315" s="2">
        <v>16541961904.7619</v>
      </c>
      <c r="C315" s="3">
        <f ca="1">IFERROR(__xludf.DUMMYFUNCTION("B315*GOOGLEFINANCE(""CURRENCY:AUDINR"")"),879665968877.142)</f>
        <v>879665968877.14197</v>
      </c>
    </row>
    <row r="316" spans="1:3" x14ac:dyDescent="0.25">
      <c r="A316" s="2">
        <v>315</v>
      </c>
      <c r="B316" s="2">
        <v>16669147619.0476</v>
      </c>
      <c r="C316" s="3">
        <f ca="1">IFERROR(__xludf.DUMMYFUNCTION("B316*GOOGLEFINANCE(""CURRENCY:AUDINR"")"),886429431713.57)</f>
        <v>886429431713.56995</v>
      </c>
    </row>
    <row r="317" spans="1:3" x14ac:dyDescent="0.25">
      <c r="A317" s="2">
        <v>316</v>
      </c>
      <c r="B317" s="2">
        <v>16796333333.3333</v>
      </c>
      <c r="C317" s="3">
        <f ca="1">IFERROR(__xludf.DUMMYFUNCTION("B317*GOOGLEFINANCE(""CURRENCY:AUDINR"")"),893192894549.998)</f>
        <v>893192894549.99805</v>
      </c>
    </row>
    <row r="318" spans="1:3" x14ac:dyDescent="0.25">
      <c r="A318" s="2">
        <v>317</v>
      </c>
      <c r="B318" s="2">
        <v>16923519047.618999</v>
      </c>
      <c r="C318" s="3">
        <f ca="1">IFERROR(__xludf.DUMMYFUNCTION("B318*GOOGLEFINANCE(""CURRENCY:AUDINR"")"),899956357386.426)</f>
        <v>899956357386.42603</v>
      </c>
    </row>
    <row r="319" spans="1:3" x14ac:dyDescent="0.25">
      <c r="A319" s="2">
        <v>318</v>
      </c>
      <c r="B319" s="2">
        <v>17050704761.904699</v>
      </c>
      <c r="C319" s="3">
        <f ca="1">IFERROR(__xludf.DUMMYFUNCTION("B319*GOOGLEFINANCE(""CURRENCY:AUDINR"")"),906719820222.853)</f>
        <v>906719820222.85303</v>
      </c>
    </row>
    <row r="320" spans="1:3" x14ac:dyDescent="0.25">
      <c r="A320" s="2">
        <v>319</v>
      </c>
      <c r="B320" s="2">
        <v>17177890476.190399</v>
      </c>
      <c r="C320" s="3">
        <f ca="1">IFERROR(__xludf.DUMMYFUNCTION("B320*GOOGLEFINANCE(""CURRENCY:AUDINR"")"),913483283059.281)</f>
        <v>913483283059.28101</v>
      </c>
    </row>
    <row r="321" spans="1:3" x14ac:dyDescent="0.25">
      <c r="A321" s="2">
        <v>320</v>
      </c>
      <c r="B321" s="2">
        <v>17305076190.4762</v>
      </c>
      <c r="C321" s="3">
        <f ca="1">IFERROR(__xludf.DUMMYFUNCTION("B321*GOOGLEFINANCE(""CURRENCY:AUDINR"")"),920246745895.714)</f>
        <v>920246745895.71399</v>
      </c>
    </row>
    <row r="322" spans="1:3" x14ac:dyDescent="0.25">
      <c r="A322" s="2">
        <v>321</v>
      </c>
      <c r="B322" s="2">
        <v>17432261904.761902</v>
      </c>
      <c r="C322" s="3">
        <f ca="1">IFERROR(__xludf.DUMMYFUNCTION("B322*GOOGLEFINANCE(""CURRENCY:AUDINR"")"),927010208732.142)</f>
        <v>927010208732.14197</v>
      </c>
    </row>
    <row r="323" spans="1:3" x14ac:dyDescent="0.25">
      <c r="A323" s="2">
        <v>322</v>
      </c>
      <c r="B323" s="2">
        <v>17559447619.0476</v>
      </c>
      <c r="C323" s="3">
        <f ca="1">IFERROR(__xludf.DUMMYFUNCTION("B323*GOOGLEFINANCE(""CURRENCY:AUDINR"")"),933773671568.57)</f>
        <v>933773671568.56995</v>
      </c>
    </row>
    <row r="324" spans="1:3" x14ac:dyDescent="0.25">
      <c r="A324" s="2">
        <v>323</v>
      </c>
      <c r="B324" s="2">
        <v>17686633333.333302</v>
      </c>
      <c r="C324" s="3">
        <f ca="1">IFERROR(__xludf.DUMMYFUNCTION("B324*GOOGLEFINANCE(""CURRENCY:AUDINR"")"),940537134404.998)</f>
        <v>940537134404.99805</v>
      </c>
    </row>
    <row r="325" spans="1:3" x14ac:dyDescent="0.25">
      <c r="A325" s="2">
        <v>324</v>
      </c>
      <c r="B325" s="2">
        <v>17813819047.618999</v>
      </c>
      <c r="C325" s="3">
        <f ca="1">IFERROR(__xludf.DUMMYFUNCTION("B325*GOOGLEFINANCE(""CURRENCY:AUDINR"")"),947300597241.426)</f>
        <v>947300597241.42603</v>
      </c>
    </row>
    <row r="326" spans="1:3" x14ac:dyDescent="0.25">
      <c r="A326" s="2">
        <v>325</v>
      </c>
      <c r="B326" s="2">
        <v>17941004761.904701</v>
      </c>
      <c r="C326" s="3">
        <f ca="1">IFERROR(__xludf.DUMMYFUNCTION("B326*GOOGLEFINANCE(""CURRENCY:AUDINR"")"),954064060077.853)</f>
        <v>954064060077.85303</v>
      </c>
    </row>
    <row r="327" spans="1:3" x14ac:dyDescent="0.25">
      <c r="A327" s="2">
        <v>326</v>
      </c>
      <c r="B327" s="2">
        <v>18068190476.190399</v>
      </c>
      <c r="C327" s="3">
        <f ca="1">IFERROR(__xludf.DUMMYFUNCTION("B327*GOOGLEFINANCE(""CURRENCY:AUDINR"")"),960827522914.281)</f>
        <v>960827522914.28101</v>
      </c>
    </row>
    <row r="328" spans="1:3" x14ac:dyDescent="0.25">
      <c r="A328" s="2">
        <v>327</v>
      </c>
      <c r="B328" s="2">
        <v>18195376190.4762</v>
      </c>
      <c r="C328" s="3">
        <f ca="1">IFERROR(__xludf.DUMMYFUNCTION("B328*GOOGLEFINANCE(""CURRENCY:AUDINR"")"),967590985750.714)</f>
        <v>967590985750.71399</v>
      </c>
    </row>
    <row r="329" spans="1:3" x14ac:dyDescent="0.25">
      <c r="A329" s="2">
        <v>328</v>
      </c>
      <c r="B329" s="2">
        <v>18322561904.761902</v>
      </c>
      <c r="C329" s="3">
        <f ca="1">IFERROR(__xludf.DUMMYFUNCTION("B329*GOOGLEFINANCE(""CURRENCY:AUDINR"")"),974354448587.142)</f>
        <v>974354448587.14197</v>
      </c>
    </row>
    <row r="330" spans="1:3" x14ac:dyDescent="0.25">
      <c r="A330" s="2">
        <v>329</v>
      </c>
      <c r="B330" s="2">
        <v>18449747619.0476</v>
      </c>
      <c r="C330" s="3">
        <f ca="1">IFERROR(__xludf.DUMMYFUNCTION("B330*GOOGLEFINANCE(""CURRENCY:AUDINR"")"),981117911423.57)</f>
        <v>981117911423.56995</v>
      </c>
    </row>
    <row r="331" spans="1:3" x14ac:dyDescent="0.25">
      <c r="A331" s="2">
        <v>330</v>
      </c>
      <c r="B331" s="2">
        <v>18576933333.333302</v>
      </c>
      <c r="C331" s="3">
        <f ca="1">IFERROR(__xludf.DUMMYFUNCTION("B331*GOOGLEFINANCE(""CURRENCY:AUDINR"")"),987881374259.998)</f>
        <v>987881374259.99805</v>
      </c>
    </row>
    <row r="332" spans="1:3" x14ac:dyDescent="0.25">
      <c r="A332" s="2">
        <v>331</v>
      </c>
      <c r="B332" s="2">
        <v>18704119047.618999</v>
      </c>
      <c r="C332" s="3">
        <f ca="1">IFERROR(__xludf.DUMMYFUNCTION("B332*GOOGLEFINANCE(""CURRENCY:AUDINR"")"),994644837096.426)</f>
        <v>994644837096.42603</v>
      </c>
    </row>
    <row r="333" spans="1:3" x14ac:dyDescent="0.25">
      <c r="A333" s="2">
        <v>332</v>
      </c>
      <c r="B333" s="2">
        <v>18831304761.904701</v>
      </c>
      <c r="C333" s="3">
        <f ca="1">IFERROR(__xludf.DUMMYFUNCTION("B333*GOOGLEFINANCE(""CURRENCY:AUDINR"")"),1001408299932.85)</f>
        <v>1001408299932.85</v>
      </c>
    </row>
    <row r="334" spans="1:3" x14ac:dyDescent="0.25">
      <c r="A334" s="2">
        <v>333</v>
      </c>
      <c r="B334" s="2">
        <v>18958490476.190399</v>
      </c>
      <c r="C334" s="3">
        <f ca="1">IFERROR(__xludf.DUMMYFUNCTION("B334*GOOGLEFINANCE(""CURRENCY:AUDINR"")"),1008171762769.28)</f>
        <v>1008171762769.28</v>
      </c>
    </row>
    <row r="335" spans="1:3" x14ac:dyDescent="0.25">
      <c r="A335" s="2">
        <v>334</v>
      </c>
      <c r="B335" s="2">
        <v>19085676190.4762</v>
      </c>
      <c r="C335" s="3">
        <f ca="1">IFERROR(__xludf.DUMMYFUNCTION("B335*GOOGLEFINANCE(""CURRENCY:AUDINR"")"),1014935225605.71)</f>
        <v>1014935225605.71</v>
      </c>
    </row>
    <row r="336" spans="1:3" x14ac:dyDescent="0.25">
      <c r="A336" s="2">
        <v>335</v>
      </c>
      <c r="B336" s="2">
        <v>19212861904.761902</v>
      </c>
      <c r="C336" s="3">
        <f ca="1">IFERROR(__xludf.DUMMYFUNCTION("B336*GOOGLEFINANCE(""CURRENCY:AUDINR"")"),1021698688442.14)</f>
        <v>1021698688442.14</v>
      </c>
    </row>
    <row r="337" spans="1:3" x14ac:dyDescent="0.25">
      <c r="A337" s="2">
        <v>336</v>
      </c>
      <c r="B337" s="2">
        <v>19340047619.0476</v>
      </c>
      <c r="C337" s="3">
        <f ca="1">IFERROR(__xludf.DUMMYFUNCTION("B337*GOOGLEFINANCE(""CURRENCY:AUDINR"")"),1028462151278.57)</f>
        <v>1028462151278.5699</v>
      </c>
    </row>
    <row r="338" spans="1:3" x14ac:dyDescent="0.25">
      <c r="A338" s="2">
        <v>337</v>
      </c>
      <c r="B338" s="2">
        <v>19467233333.333302</v>
      </c>
      <c r="C338" s="3">
        <f ca="1">IFERROR(__xludf.DUMMYFUNCTION("B338*GOOGLEFINANCE(""CURRENCY:AUDINR"")"),1035225614114.99)</f>
        <v>1035225614114.99</v>
      </c>
    </row>
    <row r="339" spans="1:3" x14ac:dyDescent="0.25">
      <c r="A339" s="2">
        <v>338</v>
      </c>
      <c r="B339" s="2">
        <v>19594419047.618999</v>
      </c>
      <c r="C339" s="3">
        <f ca="1">IFERROR(__xludf.DUMMYFUNCTION("B339*GOOGLEFINANCE(""CURRENCY:AUDINR"")"),1041989076951.42)</f>
        <v>1041989076951.42</v>
      </c>
    </row>
    <row r="340" spans="1:3" x14ac:dyDescent="0.25">
      <c r="A340" s="2">
        <v>339</v>
      </c>
      <c r="B340" s="2">
        <v>19721604761.904701</v>
      </c>
      <c r="C340" s="3">
        <f ca="1">IFERROR(__xludf.DUMMYFUNCTION("B340*GOOGLEFINANCE(""CURRENCY:AUDINR"")"),1048752539787.85)</f>
        <v>1048752539787.85</v>
      </c>
    </row>
    <row r="341" spans="1:3" x14ac:dyDescent="0.25">
      <c r="A341" s="2">
        <v>340</v>
      </c>
      <c r="B341" s="2">
        <v>19848790476.190399</v>
      </c>
      <c r="C341" s="3">
        <f ca="1">IFERROR(__xludf.DUMMYFUNCTION("B341*GOOGLEFINANCE(""CURRENCY:AUDINR"")"),1055516002624.28)</f>
        <v>1055516002624.28</v>
      </c>
    </row>
    <row r="342" spans="1:3" x14ac:dyDescent="0.25">
      <c r="A342" s="2">
        <v>341</v>
      </c>
      <c r="B342" s="2">
        <v>19975976190.4762</v>
      </c>
      <c r="C342" s="3">
        <f ca="1">IFERROR(__xludf.DUMMYFUNCTION("B342*GOOGLEFINANCE(""CURRENCY:AUDINR"")"),1062279465460.71)</f>
        <v>1062279465460.71</v>
      </c>
    </row>
    <row r="343" spans="1:3" x14ac:dyDescent="0.25">
      <c r="A343" s="2">
        <v>342</v>
      </c>
      <c r="B343" s="2">
        <v>20103161904.761902</v>
      </c>
      <c r="C343" s="3">
        <f ca="1">IFERROR(__xludf.DUMMYFUNCTION("B343*GOOGLEFINANCE(""CURRENCY:AUDINR"")"),1069042928297.14)</f>
        <v>1069042928297.14</v>
      </c>
    </row>
    <row r="344" spans="1:3" x14ac:dyDescent="0.25">
      <c r="A344" s="2">
        <v>343</v>
      </c>
      <c r="B344" s="2">
        <v>20230347619.0476</v>
      </c>
      <c r="C344" s="3">
        <f ca="1">IFERROR(__xludf.DUMMYFUNCTION("B344*GOOGLEFINANCE(""CURRENCY:AUDINR"")"),1075806391133.57)</f>
        <v>1075806391133.5699</v>
      </c>
    </row>
    <row r="345" spans="1:3" x14ac:dyDescent="0.25">
      <c r="A345" s="2">
        <v>344</v>
      </c>
      <c r="B345" s="2">
        <v>20357533333.333302</v>
      </c>
      <c r="C345" s="3">
        <f ca="1">IFERROR(__xludf.DUMMYFUNCTION("B345*GOOGLEFINANCE(""CURRENCY:AUDINR"")"),1082569853969.99)</f>
        <v>1082569853969.99</v>
      </c>
    </row>
    <row r="346" spans="1:3" x14ac:dyDescent="0.25">
      <c r="A346" s="2">
        <v>345</v>
      </c>
      <c r="B346" s="2">
        <v>20484719047.618999</v>
      </c>
      <c r="C346" s="3">
        <f ca="1">IFERROR(__xludf.DUMMYFUNCTION("B346*GOOGLEFINANCE(""CURRENCY:AUDINR"")"),1089333316806.42)</f>
        <v>1089333316806.42</v>
      </c>
    </row>
    <row r="347" spans="1:3" x14ac:dyDescent="0.25">
      <c r="A347" s="2">
        <v>346</v>
      </c>
      <c r="B347" s="2">
        <v>20611904761.904701</v>
      </c>
      <c r="C347" s="3">
        <f ca="1">IFERROR(__xludf.DUMMYFUNCTION("B347*GOOGLEFINANCE(""CURRENCY:AUDINR"")"),1096096779642.85)</f>
        <v>1096096779642.85</v>
      </c>
    </row>
    <row r="348" spans="1:3" x14ac:dyDescent="0.25">
      <c r="A348" s="2">
        <v>347</v>
      </c>
      <c r="B348" s="2">
        <v>20739090476.190399</v>
      </c>
      <c r="C348" s="3">
        <f ca="1">IFERROR(__xludf.DUMMYFUNCTION("B348*GOOGLEFINANCE(""CURRENCY:AUDINR"")"),1102860242479.28)</f>
        <v>1102860242479.28</v>
      </c>
    </row>
    <row r="349" spans="1:3" x14ac:dyDescent="0.25">
      <c r="A349" s="2">
        <v>348</v>
      </c>
      <c r="B349" s="2">
        <v>20866276190.476101</v>
      </c>
      <c r="C349" s="3">
        <f ca="1">IFERROR(__xludf.DUMMYFUNCTION("B349*GOOGLEFINANCE(""CURRENCY:AUDINR"")"),1109623705315.7)</f>
        <v>1109623705315.7</v>
      </c>
    </row>
    <row r="350" spans="1:3" x14ac:dyDescent="0.25">
      <c r="A350" s="2">
        <v>349</v>
      </c>
      <c r="B350" s="2">
        <v>20993461904.761902</v>
      </c>
      <c r="C350" s="3">
        <f ca="1">IFERROR(__xludf.DUMMYFUNCTION("B350*GOOGLEFINANCE(""CURRENCY:AUDINR"")"),1116387168152.14)</f>
        <v>1116387168152.1399</v>
      </c>
    </row>
    <row r="351" spans="1:3" x14ac:dyDescent="0.25">
      <c r="A351" s="2">
        <v>350</v>
      </c>
      <c r="B351" s="2">
        <v>21120647619.0476</v>
      </c>
      <c r="C351" s="3">
        <f ca="1">IFERROR(__xludf.DUMMYFUNCTION("B351*GOOGLEFINANCE(""CURRENCY:AUDINR"")"),1123150630988.57)</f>
        <v>1123150630988.5701</v>
      </c>
    </row>
    <row r="352" spans="1:3" x14ac:dyDescent="0.25">
      <c r="A352" s="2">
        <v>351</v>
      </c>
      <c r="B352" s="2">
        <v>21247833333.333302</v>
      </c>
      <c r="C352" s="3">
        <f ca="1">IFERROR(__xludf.DUMMYFUNCTION("B352*GOOGLEFINANCE(""CURRENCY:AUDINR"")"),1129914093824.99)</f>
        <v>1129914093824.99</v>
      </c>
    </row>
    <row r="353" spans="1:3" x14ac:dyDescent="0.25">
      <c r="A353" s="2">
        <v>352</v>
      </c>
      <c r="B353" s="2">
        <v>21375019047.618999</v>
      </c>
      <c r="C353" s="3">
        <f ca="1">IFERROR(__xludf.DUMMYFUNCTION("B353*GOOGLEFINANCE(""CURRENCY:AUDINR"")"),1136677556661.42)</f>
        <v>1136677556661.4199</v>
      </c>
    </row>
    <row r="354" spans="1:3" x14ac:dyDescent="0.25">
      <c r="A354" s="2">
        <v>353</v>
      </c>
      <c r="B354" s="2">
        <v>21502204761.904701</v>
      </c>
      <c r="C354" s="3">
        <f ca="1">IFERROR(__xludf.DUMMYFUNCTION("B354*GOOGLEFINANCE(""CURRENCY:AUDINR"")"),1143441019497.85)</f>
        <v>1143441019497.8501</v>
      </c>
    </row>
    <row r="355" spans="1:3" x14ac:dyDescent="0.25">
      <c r="A355" s="2">
        <v>354</v>
      </c>
      <c r="B355" s="2">
        <v>21629390476.190399</v>
      </c>
      <c r="C355" s="3">
        <f ca="1">IFERROR(__xludf.DUMMYFUNCTION("B355*GOOGLEFINANCE(""CURRENCY:AUDINR"")"),1150204482334.28)</f>
        <v>1150204482334.28</v>
      </c>
    </row>
    <row r="356" spans="1:3" x14ac:dyDescent="0.25">
      <c r="A356" s="2">
        <v>355</v>
      </c>
      <c r="B356" s="2">
        <v>21756576190.476101</v>
      </c>
      <c r="C356" s="3">
        <f ca="1">IFERROR(__xludf.DUMMYFUNCTION("B356*GOOGLEFINANCE(""CURRENCY:AUDINR"")"),1156967945170.7)</f>
        <v>1156967945170.7</v>
      </c>
    </row>
    <row r="357" spans="1:3" x14ac:dyDescent="0.25">
      <c r="A357" s="2">
        <v>356</v>
      </c>
      <c r="B357" s="2">
        <v>21883761904.761902</v>
      </c>
      <c r="C357" s="3">
        <f ca="1">IFERROR(__xludf.DUMMYFUNCTION("B357*GOOGLEFINANCE(""CURRENCY:AUDINR"")"),1163731408007.14)</f>
        <v>1163731408007.1399</v>
      </c>
    </row>
    <row r="358" spans="1:3" x14ac:dyDescent="0.25">
      <c r="A358" s="2">
        <v>357</v>
      </c>
      <c r="B358" s="2">
        <v>22010947619.0476</v>
      </c>
      <c r="C358" s="3">
        <f ca="1">IFERROR(__xludf.DUMMYFUNCTION("B358*GOOGLEFINANCE(""CURRENCY:AUDINR"")"),1170494870843.57)</f>
        <v>1170494870843.5701</v>
      </c>
    </row>
    <row r="359" spans="1:3" x14ac:dyDescent="0.25">
      <c r="A359" s="2">
        <v>358</v>
      </c>
      <c r="B359" s="2">
        <v>22138133333.333302</v>
      </c>
      <c r="C359" s="3">
        <f ca="1">IFERROR(__xludf.DUMMYFUNCTION("B359*GOOGLEFINANCE(""CURRENCY:AUDINR"")"),1177258333679.99)</f>
        <v>1177258333679.99</v>
      </c>
    </row>
    <row r="360" spans="1:3" x14ac:dyDescent="0.25">
      <c r="A360" s="2">
        <v>359</v>
      </c>
      <c r="B360" s="2">
        <v>22265319047.618999</v>
      </c>
      <c r="C360" s="3">
        <f ca="1">IFERROR(__xludf.DUMMYFUNCTION("B360*GOOGLEFINANCE(""CURRENCY:AUDINR"")"),1184021796516.42)</f>
        <v>1184021796516.4199</v>
      </c>
    </row>
    <row r="361" spans="1:3" x14ac:dyDescent="0.25">
      <c r="A361" s="2">
        <v>360</v>
      </c>
      <c r="B361" s="2">
        <v>22392504761.904701</v>
      </c>
      <c r="C361" s="3">
        <f ca="1">IFERROR(__xludf.DUMMYFUNCTION("B361*GOOGLEFINANCE(""CURRENCY:AUDINR"")"),1190785259352.85)</f>
        <v>1190785259352.8501</v>
      </c>
    </row>
    <row r="362" spans="1:3" x14ac:dyDescent="0.25">
      <c r="A362" s="2">
        <v>361</v>
      </c>
      <c r="B362" s="2">
        <v>22519690476.190399</v>
      </c>
      <c r="C362" s="3">
        <f ca="1">IFERROR(__xludf.DUMMYFUNCTION("B362*GOOGLEFINANCE(""CURRENCY:AUDINR"")"),1197548722189.28)</f>
        <v>1197548722189.28</v>
      </c>
    </row>
    <row r="363" spans="1:3" x14ac:dyDescent="0.25">
      <c r="A363" s="2">
        <v>362</v>
      </c>
      <c r="B363" s="2">
        <v>22646876190.476101</v>
      </c>
      <c r="C363" s="3">
        <f ca="1">IFERROR(__xludf.DUMMYFUNCTION("B363*GOOGLEFINANCE(""CURRENCY:AUDINR"")"),1204312185025.7)</f>
        <v>1204312185025.7</v>
      </c>
    </row>
    <row r="364" spans="1:3" x14ac:dyDescent="0.25">
      <c r="A364" s="2">
        <v>363</v>
      </c>
      <c r="B364" s="2">
        <v>22774061904.761902</v>
      </c>
      <c r="C364" s="3">
        <f ca="1">IFERROR(__xludf.DUMMYFUNCTION("B364*GOOGLEFINANCE(""CURRENCY:AUDINR"")"),1211075647862.14)</f>
        <v>1211075647862.1399</v>
      </c>
    </row>
    <row r="365" spans="1:3" x14ac:dyDescent="0.25">
      <c r="A365" s="2">
        <v>364</v>
      </c>
      <c r="B365" s="2">
        <v>22901247619.0476</v>
      </c>
      <c r="C365" s="3">
        <f ca="1">IFERROR(__xludf.DUMMYFUNCTION("B365*GOOGLEFINANCE(""CURRENCY:AUDINR"")"),1217839110698.57)</f>
        <v>1217839110698.5701</v>
      </c>
    </row>
    <row r="366" spans="1:3" x14ac:dyDescent="0.25">
      <c r="A366" s="2">
        <v>365</v>
      </c>
      <c r="B366" s="2">
        <v>23028433333.333302</v>
      </c>
      <c r="C366" s="3">
        <f ca="1">IFERROR(__xludf.DUMMYFUNCTION("B366*GOOGLEFINANCE(""CURRENCY:AUDINR"")"),1224602573534.99)</f>
        <v>1224602573534.99</v>
      </c>
    </row>
    <row r="367" spans="1:3" x14ac:dyDescent="0.25">
      <c r="A367" s="2">
        <v>366</v>
      </c>
      <c r="B367" s="2">
        <v>23155619047.618999</v>
      </c>
      <c r="C367" s="3">
        <f ca="1">IFERROR(__xludf.DUMMYFUNCTION("B367*GOOGLEFINANCE(""CURRENCY:AUDINR"")"),1231366036371.42)</f>
        <v>1231366036371.4199</v>
      </c>
    </row>
    <row r="368" spans="1:3" x14ac:dyDescent="0.25">
      <c r="A368" s="2">
        <v>367</v>
      </c>
      <c r="B368" s="2">
        <v>23282804761.904701</v>
      </c>
      <c r="C368" s="3">
        <f ca="1">IFERROR(__xludf.DUMMYFUNCTION("B368*GOOGLEFINANCE(""CURRENCY:AUDINR"")"),1238129499207.85)</f>
        <v>1238129499207.8501</v>
      </c>
    </row>
    <row r="369" spans="1:3" x14ac:dyDescent="0.25">
      <c r="A369" s="2">
        <v>368</v>
      </c>
      <c r="B369" s="2">
        <v>23409990476.190399</v>
      </c>
      <c r="C369" s="3">
        <f ca="1">IFERROR(__xludf.DUMMYFUNCTION("B369*GOOGLEFINANCE(""CURRENCY:AUDINR"")"),1244892962044.28)</f>
        <v>1244892962044.28</v>
      </c>
    </row>
    <row r="370" spans="1:3" x14ac:dyDescent="0.25">
      <c r="A370" s="2">
        <v>369</v>
      </c>
      <c r="B370" s="2">
        <v>23537176190.476101</v>
      </c>
      <c r="C370" s="3">
        <f ca="1">IFERROR(__xludf.DUMMYFUNCTION("B370*GOOGLEFINANCE(""CURRENCY:AUDINR"")"),1251656424880.7)</f>
        <v>1251656424880.7</v>
      </c>
    </row>
    <row r="371" spans="1:3" x14ac:dyDescent="0.25">
      <c r="A371" s="2">
        <v>370</v>
      </c>
      <c r="B371" s="2">
        <v>23664361904.761902</v>
      </c>
      <c r="C371" s="3">
        <f ca="1">IFERROR(__xludf.DUMMYFUNCTION("B371*GOOGLEFINANCE(""CURRENCY:AUDINR"")"),1258419887717.14)</f>
        <v>1258419887717.1399</v>
      </c>
    </row>
    <row r="372" spans="1:3" x14ac:dyDescent="0.25">
      <c r="A372" s="2">
        <v>371</v>
      </c>
      <c r="B372" s="2">
        <v>23791547619.0476</v>
      </c>
      <c r="C372" s="3">
        <f ca="1">IFERROR(__xludf.DUMMYFUNCTION("B372*GOOGLEFINANCE(""CURRENCY:AUDINR"")"),1265183350553.57)</f>
        <v>1265183350553.5701</v>
      </c>
    </row>
    <row r="373" spans="1:3" x14ac:dyDescent="0.25">
      <c r="A373" s="2">
        <v>372</v>
      </c>
      <c r="B373" s="2">
        <v>23918733333.333302</v>
      </c>
      <c r="C373" s="3">
        <f ca="1">IFERROR(__xludf.DUMMYFUNCTION("B373*GOOGLEFINANCE(""CURRENCY:AUDINR"")"),1271946813389.99)</f>
        <v>1271946813389.99</v>
      </c>
    </row>
    <row r="374" spans="1:3" x14ac:dyDescent="0.25">
      <c r="A374" s="2">
        <v>373</v>
      </c>
      <c r="B374" s="2">
        <v>24045919047.618999</v>
      </c>
      <c r="C374" s="3">
        <f ca="1">IFERROR(__xludf.DUMMYFUNCTION("B374*GOOGLEFINANCE(""CURRENCY:AUDINR"")"),1278710276226.42)</f>
        <v>1278710276226.4199</v>
      </c>
    </row>
    <row r="375" spans="1:3" x14ac:dyDescent="0.25">
      <c r="A375" s="2">
        <v>374</v>
      </c>
      <c r="B375" s="2">
        <v>24173104761.904701</v>
      </c>
      <c r="C375" s="3">
        <f ca="1">IFERROR(__xludf.DUMMYFUNCTION("B375*GOOGLEFINANCE(""CURRENCY:AUDINR"")"),1285473739062.85)</f>
        <v>1285473739062.8501</v>
      </c>
    </row>
    <row r="376" spans="1:3" x14ac:dyDescent="0.25">
      <c r="A376" s="2">
        <v>375</v>
      </c>
      <c r="B376" s="2">
        <v>24300290476.190399</v>
      </c>
      <c r="C376" s="3">
        <f ca="1">IFERROR(__xludf.DUMMYFUNCTION("B376*GOOGLEFINANCE(""CURRENCY:AUDINR"")"),1292237201899.28)</f>
        <v>1292237201899.28</v>
      </c>
    </row>
    <row r="377" spans="1:3" x14ac:dyDescent="0.25">
      <c r="A377" s="2">
        <v>376</v>
      </c>
      <c r="B377" s="2">
        <v>24427476190.476101</v>
      </c>
      <c r="C377" s="3">
        <f ca="1">IFERROR(__xludf.DUMMYFUNCTION("B377*GOOGLEFINANCE(""CURRENCY:AUDINR"")"),1299000664735.7)</f>
        <v>1299000664735.7</v>
      </c>
    </row>
    <row r="378" spans="1:3" x14ac:dyDescent="0.25">
      <c r="A378" s="2">
        <v>377</v>
      </c>
      <c r="B378" s="2">
        <v>24554661904.761902</v>
      </c>
      <c r="C378" s="3">
        <f ca="1">IFERROR(__xludf.DUMMYFUNCTION("B378*GOOGLEFINANCE(""CURRENCY:AUDINR"")"),1305764127572.14)</f>
        <v>1305764127572.1399</v>
      </c>
    </row>
    <row r="379" spans="1:3" x14ac:dyDescent="0.25">
      <c r="A379" s="2">
        <v>378</v>
      </c>
      <c r="B379" s="2">
        <v>24681847619.0476</v>
      </c>
      <c r="C379" s="3">
        <f ca="1">IFERROR(__xludf.DUMMYFUNCTION("B379*GOOGLEFINANCE(""CURRENCY:AUDINR"")"),1312527590408.57)</f>
        <v>1312527590408.5701</v>
      </c>
    </row>
    <row r="380" spans="1:3" x14ac:dyDescent="0.25">
      <c r="A380" s="2">
        <v>379</v>
      </c>
      <c r="B380" s="2">
        <v>24809033333.333302</v>
      </c>
      <c r="C380" s="3">
        <f ca="1">IFERROR(__xludf.DUMMYFUNCTION("B380*GOOGLEFINANCE(""CURRENCY:AUDINR"")"),1319291053244.99)</f>
        <v>1319291053244.99</v>
      </c>
    </row>
    <row r="381" spans="1:3" x14ac:dyDescent="0.25">
      <c r="A381" s="2">
        <v>380</v>
      </c>
      <c r="B381" s="2">
        <v>24936219047.618999</v>
      </c>
      <c r="C381" s="3">
        <f ca="1">IFERROR(__xludf.DUMMYFUNCTION("B381*GOOGLEFINANCE(""CURRENCY:AUDINR"")"),1326054516081.42)</f>
        <v>1326054516081.4199</v>
      </c>
    </row>
    <row r="382" spans="1:3" x14ac:dyDescent="0.25">
      <c r="A382" s="2">
        <v>381</v>
      </c>
      <c r="B382" s="2">
        <v>25063404761.904701</v>
      </c>
      <c r="C382" s="3">
        <f ca="1">IFERROR(__xludf.DUMMYFUNCTION("B382*GOOGLEFINANCE(""CURRENCY:AUDINR"")"),1332817978917.85)</f>
        <v>1332817978917.8501</v>
      </c>
    </row>
    <row r="383" spans="1:3" x14ac:dyDescent="0.25">
      <c r="A383" s="2">
        <v>382</v>
      </c>
      <c r="B383" s="2">
        <v>25190590476.190399</v>
      </c>
      <c r="C383" s="3">
        <f ca="1">IFERROR(__xludf.DUMMYFUNCTION("B383*GOOGLEFINANCE(""CURRENCY:AUDINR"")"),1339581441754.28)</f>
        <v>1339581441754.28</v>
      </c>
    </row>
    <row r="384" spans="1:3" x14ac:dyDescent="0.25">
      <c r="A384" s="2">
        <v>383</v>
      </c>
      <c r="B384" s="2">
        <v>25317776190.476101</v>
      </c>
      <c r="C384" s="3">
        <f ca="1">IFERROR(__xludf.DUMMYFUNCTION("B384*GOOGLEFINANCE(""CURRENCY:AUDINR"")"),1346344904590.7)</f>
        <v>1346344904590.7</v>
      </c>
    </row>
    <row r="385" spans="1:3" x14ac:dyDescent="0.25">
      <c r="A385" s="2">
        <v>384</v>
      </c>
      <c r="B385" s="2">
        <v>25444961904.761902</v>
      </c>
      <c r="C385" s="3">
        <f ca="1">IFERROR(__xludf.DUMMYFUNCTION("B385*GOOGLEFINANCE(""CURRENCY:AUDINR"")"),1353108367427.14)</f>
        <v>1353108367427.1399</v>
      </c>
    </row>
    <row r="386" spans="1:3" x14ac:dyDescent="0.25">
      <c r="A386" s="2">
        <v>385</v>
      </c>
      <c r="B386" s="2">
        <v>25572147619.0476</v>
      </c>
      <c r="C386" s="3">
        <f ca="1">IFERROR(__xludf.DUMMYFUNCTION("B386*GOOGLEFINANCE(""CURRENCY:AUDINR"")"),1359871830263.57)</f>
        <v>1359871830263.5701</v>
      </c>
    </row>
    <row r="387" spans="1:3" x14ac:dyDescent="0.25">
      <c r="A387" s="2">
        <v>386</v>
      </c>
      <c r="B387" s="2">
        <v>25699333333.333302</v>
      </c>
      <c r="C387" s="3">
        <f ca="1">IFERROR(__xludf.DUMMYFUNCTION("B387*GOOGLEFINANCE(""CURRENCY:AUDINR"")"),1366635293099.99)</f>
        <v>1366635293099.99</v>
      </c>
    </row>
    <row r="388" spans="1:3" x14ac:dyDescent="0.25">
      <c r="A388" s="2">
        <v>387</v>
      </c>
      <c r="B388" s="2">
        <v>25826519047.618999</v>
      </c>
      <c r="C388" s="3">
        <f ca="1">IFERROR(__xludf.DUMMYFUNCTION("B388*GOOGLEFINANCE(""CURRENCY:AUDINR"")"),1373398755936.42)</f>
        <v>1373398755936.4199</v>
      </c>
    </row>
    <row r="389" spans="1:3" x14ac:dyDescent="0.25">
      <c r="A389" s="2">
        <v>388</v>
      </c>
      <c r="B389" s="2">
        <v>25953704761.904701</v>
      </c>
      <c r="C389" s="3">
        <f ca="1">IFERROR(__xludf.DUMMYFUNCTION("B389*GOOGLEFINANCE(""CURRENCY:AUDINR"")"),1380162218772.85)</f>
        <v>1380162218772.8501</v>
      </c>
    </row>
    <row r="390" spans="1:3" x14ac:dyDescent="0.25">
      <c r="A390" s="2">
        <v>389</v>
      </c>
      <c r="B390" s="2">
        <v>26080890476.190399</v>
      </c>
      <c r="C390" s="3">
        <f ca="1">IFERROR(__xludf.DUMMYFUNCTION("B390*GOOGLEFINANCE(""CURRENCY:AUDINR"")"),1386925681609.28)</f>
        <v>1386925681609.28</v>
      </c>
    </row>
    <row r="391" spans="1:3" x14ac:dyDescent="0.25">
      <c r="A391" s="2">
        <v>390</v>
      </c>
      <c r="B391" s="2">
        <v>26208076190.476101</v>
      </c>
      <c r="C391" s="3">
        <f ca="1">IFERROR(__xludf.DUMMYFUNCTION("B391*GOOGLEFINANCE(""CURRENCY:AUDINR"")"),1393689144445.7)</f>
        <v>1393689144445.7</v>
      </c>
    </row>
    <row r="392" spans="1:3" x14ac:dyDescent="0.25">
      <c r="A392" s="2">
        <v>391</v>
      </c>
      <c r="B392" s="2">
        <v>26335261904.761902</v>
      </c>
      <c r="C392" s="3">
        <f ca="1">IFERROR(__xludf.DUMMYFUNCTION("B392*GOOGLEFINANCE(""CURRENCY:AUDINR"")"),1400452607282.14)</f>
        <v>1400452607282.1399</v>
      </c>
    </row>
    <row r="393" spans="1:3" x14ac:dyDescent="0.25">
      <c r="A393" s="2">
        <v>392</v>
      </c>
      <c r="B393" s="2">
        <v>26462447619.0476</v>
      </c>
      <c r="C393" s="3">
        <f ca="1">IFERROR(__xludf.DUMMYFUNCTION("B393*GOOGLEFINANCE(""CURRENCY:AUDINR"")"),1407216070118.57)</f>
        <v>1407216070118.5701</v>
      </c>
    </row>
    <row r="394" spans="1:3" x14ac:dyDescent="0.25">
      <c r="A394" s="2">
        <v>393</v>
      </c>
      <c r="B394" s="2">
        <v>26589633333.333302</v>
      </c>
      <c r="C394" s="3">
        <f ca="1">IFERROR(__xludf.DUMMYFUNCTION("B394*GOOGLEFINANCE(""CURRENCY:AUDINR"")"),1413979532954.99)</f>
        <v>1413979532954.99</v>
      </c>
    </row>
    <row r="395" spans="1:3" x14ac:dyDescent="0.25">
      <c r="A395" s="2">
        <v>394</v>
      </c>
      <c r="B395" s="2">
        <v>26716819047.618999</v>
      </c>
      <c r="C395" s="3">
        <f ca="1">IFERROR(__xludf.DUMMYFUNCTION("B395*GOOGLEFINANCE(""CURRENCY:AUDINR"")"),1420742995791.42)</f>
        <v>1420742995791.4199</v>
      </c>
    </row>
    <row r="396" spans="1:3" x14ac:dyDescent="0.25">
      <c r="A396" s="2">
        <v>395</v>
      </c>
      <c r="B396" s="2">
        <v>26844004761.904701</v>
      </c>
      <c r="C396" s="3">
        <f ca="1">IFERROR(__xludf.DUMMYFUNCTION("B396*GOOGLEFINANCE(""CURRENCY:AUDINR"")"),1427506458627.85)</f>
        <v>1427506458627.8501</v>
      </c>
    </row>
    <row r="397" spans="1:3" x14ac:dyDescent="0.25">
      <c r="A397" s="2">
        <v>396</v>
      </c>
      <c r="B397" s="2">
        <v>26971190476.190399</v>
      </c>
      <c r="C397" s="3">
        <f ca="1">IFERROR(__xludf.DUMMYFUNCTION("B397*GOOGLEFINANCE(""CURRENCY:AUDINR"")"),1434269921464.28)</f>
        <v>1434269921464.28</v>
      </c>
    </row>
    <row r="398" spans="1:3" x14ac:dyDescent="0.25">
      <c r="A398" s="2">
        <v>397</v>
      </c>
      <c r="B398" s="2">
        <v>27098376190.476101</v>
      </c>
      <c r="C398" s="3">
        <f ca="1">IFERROR(__xludf.DUMMYFUNCTION("B398*GOOGLEFINANCE(""CURRENCY:AUDINR"")"),1441033384300.7)</f>
        <v>1441033384300.7</v>
      </c>
    </row>
    <row r="399" spans="1:3" x14ac:dyDescent="0.25">
      <c r="A399" s="2">
        <v>398</v>
      </c>
      <c r="B399" s="2">
        <v>27225561904.761902</v>
      </c>
      <c r="C399" s="3">
        <f ca="1">IFERROR(__xludf.DUMMYFUNCTION("B399*GOOGLEFINANCE(""CURRENCY:AUDINR"")"),1447796847137.14)</f>
        <v>1447796847137.1399</v>
      </c>
    </row>
    <row r="400" spans="1:3" x14ac:dyDescent="0.25">
      <c r="A400" s="2">
        <v>399</v>
      </c>
      <c r="B400" s="2">
        <v>27352747619.0476</v>
      </c>
      <c r="C400" s="3">
        <f ca="1">IFERROR(__xludf.DUMMYFUNCTION("B400*GOOGLEFINANCE(""CURRENCY:AUDINR"")"),1454560309973.57)</f>
        <v>1454560309973.5701</v>
      </c>
    </row>
    <row r="401" spans="1:3" x14ac:dyDescent="0.25">
      <c r="A401" s="2">
        <v>400</v>
      </c>
      <c r="B401" s="2">
        <v>27479933333.333302</v>
      </c>
      <c r="C401" s="3">
        <f ca="1">IFERROR(__xludf.DUMMYFUNCTION("B401*GOOGLEFINANCE(""CURRENCY:AUDINR"")"),1461323772809.99)</f>
        <v>1461323772809.99</v>
      </c>
    </row>
    <row r="402" spans="1:3" x14ac:dyDescent="0.25">
      <c r="A402" s="2">
        <v>401</v>
      </c>
      <c r="B402" s="2">
        <v>27607119047.618999</v>
      </c>
      <c r="C402" s="3">
        <f ca="1">IFERROR(__xludf.DUMMYFUNCTION("B402*GOOGLEFINANCE(""CURRENCY:AUDINR"")"),1468087235646.42)</f>
        <v>1468087235646.4199</v>
      </c>
    </row>
    <row r="403" spans="1:3" x14ac:dyDescent="0.25">
      <c r="A403" s="2">
        <v>402</v>
      </c>
      <c r="B403" s="2">
        <v>27734304761.904701</v>
      </c>
      <c r="C403" s="3">
        <f ca="1">IFERROR(__xludf.DUMMYFUNCTION("B403*GOOGLEFINANCE(""CURRENCY:AUDINR"")"),1474850698482.85)</f>
        <v>1474850698482.8501</v>
      </c>
    </row>
    <row r="404" spans="1:3" x14ac:dyDescent="0.25">
      <c r="A404" s="2">
        <v>403</v>
      </c>
      <c r="B404" s="2">
        <v>27861490476.190399</v>
      </c>
      <c r="C404" s="3">
        <f ca="1">IFERROR(__xludf.DUMMYFUNCTION("B404*GOOGLEFINANCE(""CURRENCY:AUDINR"")"),1481614161319.28)</f>
        <v>1481614161319.28</v>
      </c>
    </row>
    <row r="405" spans="1:3" x14ac:dyDescent="0.25">
      <c r="A405" s="2">
        <v>404</v>
      </c>
      <c r="B405" s="2">
        <v>27988676190.476101</v>
      </c>
      <c r="C405" s="3">
        <f ca="1">IFERROR(__xludf.DUMMYFUNCTION("B405*GOOGLEFINANCE(""CURRENCY:AUDINR"")"),1488377624155.7)</f>
        <v>1488377624155.7</v>
      </c>
    </row>
    <row r="406" spans="1:3" x14ac:dyDescent="0.25">
      <c r="A406" s="2">
        <v>405</v>
      </c>
      <c r="B406" s="2">
        <v>28115861904.761799</v>
      </c>
      <c r="C406" s="3">
        <f ca="1">IFERROR(__xludf.DUMMYFUNCTION("B406*GOOGLEFINANCE(""CURRENCY:AUDINR"")"),1495141086992.13)</f>
        <v>1495141086992.1299</v>
      </c>
    </row>
    <row r="407" spans="1:3" x14ac:dyDescent="0.25">
      <c r="A407" s="2">
        <v>406</v>
      </c>
      <c r="B407" s="2">
        <v>28243047619.0476</v>
      </c>
      <c r="C407" s="3">
        <f ca="1">IFERROR(__xludf.DUMMYFUNCTION("B407*GOOGLEFINANCE(""CURRENCY:AUDINR"")"),1501904549828.57)</f>
        <v>1501904549828.5701</v>
      </c>
    </row>
    <row r="408" spans="1:3" x14ac:dyDescent="0.25">
      <c r="A408" s="2">
        <v>407</v>
      </c>
      <c r="B408" s="2">
        <v>28370233333.333302</v>
      </c>
      <c r="C408" s="3">
        <f ca="1">IFERROR(__xludf.DUMMYFUNCTION("B408*GOOGLEFINANCE(""CURRENCY:AUDINR"")"),1508668012664.99)</f>
        <v>1508668012664.99</v>
      </c>
    </row>
    <row r="409" spans="1:3" x14ac:dyDescent="0.25">
      <c r="A409" s="2">
        <v>408</v>
      </c>
      <c r="B409" s="2">
        <v>28497419047.618999</v>
      </c>
      <c r="C409" s="3">
        <f ca="1">IFERROR(__xludf.DUMMYFUNCTION("B409*GOOGLEFINANCE(""CURRENCY:AUDINR"")"),1515431475501.42)</f>
        <v>1515431475501.4199</v>
      </c>
    </row>
    <row r="410" spans="1:3" x14ac:dyDescent="0.25">
      <c r="A410" s="2">
        <v>409</v>
      </c>
      <c r="B410" s="2">
        <v>28624604761.904701</v>
      </c>
      <c r="C410" s="3">
        <f ca="1">IFERROR(__xludf.DUMMYFUNCTION("B410*GOOGLEFINANCE(""CURRENCY:AUDINR"")"),1522194938337.85)</f>
        <v>1522194938337.8501</v>
      </c>
    </row>
    <row r="411" spans="1:3" x14ac:dyDescent="0.25">
      <c r="A411" s="2">
        <v>410</v>
      </c>
      <c r="B411" s="2">
        <v>28751790476.190399</v>
      </c>
      <c r="C411" s="3">
        <f ca="1">IFERROR(__xludf.DUMMYFUNCTION("B411*GOOGLEFINANCE(""CURRENCY:AUDINR"")"),1528958401174.28)</f>
        <v>1528958401174.28</v>
      </c>
    </row>
    <row r="412" spans="1:3" x14ac:dyDescent="0.25">
      <c r="A412" s="2">
        <v>411</v>
      </c>
      <c r="B412" s="2">
        <v>28878976190.476101</v>
      </c>
      <c r="C412" s="3">
        <f ca="1">IFERROR(__xludf.DUMMYFUNCTION("B412*GOOGLEFINANCE(""CURRENCY:AUDINR"")"),1535721864010.7)</f>
        <v>1535721864010.7</v>
      </c>
    </row>
    <row r="413" spans="1:3" x14ac:dyDescent="0.25">
      <c r="A413" s="2">
        <v>412</v>
      </c>
      <c r="B413" s="2">
        <v>29006161904.761799</v>
      </c>
      <c r="C413" s="3">
        <f ca="1">IFERROR(__xludf.DUMMYFUNCTION("B413*GOOGLEFINANCE(""CURRENCY:AUDINR"")"),1542485326847.13)</f>
        <v>1542485326847.1299</v>
      </c>
    </row>
    <row r="414" spans="1:3" x14ac:dyDescent="0.25">
      <c r="A414" s="2">
        <v>413</v>
      </c>
      <c r="B414" s="2">
        <v>29133347619.0476</v>
      </c>
      <c r="C414" s="3">
        <f ca="1">IFERROR(__xludf.DUMMYFUNCTION("B414*GOOGLEFINANCE(""CURRENCY:AUDINR"")"),1549248789683.57)</f>
        <v>1549248789683.5701</v>
      </c>
    </row>
    <row r="415" spans="1:3" x14ac:dyDescent="0.25">
      <c r="A415" s="2">
        <v>414</v>
      </c>
      <c r="B415" s="2">
        <v>29260533333.333302</v>
      </c>
      <c r="C415" s="3">
        <f ca="1">IFERROR(__xludf.DUMMYFUNCTION("B415*GOOGLEFINANCE(""CURRENCY:AUDINR"")"),1556012252519.99)</f>
        <v>1556012252519.99</v>
      </c>
    </row>
    <row r="416" spans="1:3" x14ac:dyDescent="0.25">
      <c r="A416" s="2">
        <v>415</v>
      </c>
      <c r="B416" s="2">
        <v>29387719047.618999</v>
      </c>
      <c r="C416" s="3">
        <f ca="1">IFERROR(__xludf.DUMMYFUNCTION("B416*GOOGLEFINANCE(""CURRENCY:AUDINR"")"),1562775715356.42)</f>
        <v>1562775715356.4199</v>
      </c>
    </row>
    <row r="417" spans="1:3" x14ac:dyDescent="0.25">
      <c r="A417" s="2">
        <v>416</v>
      </c>
      <c r="B417" s="2">
        <v>29514904761.904701</v>
      </c>
      <c r="C417" s="3">
        <f ca="1">IFERROR(__xludf.DUMMYFUNCTION("B417*GOOGLEFINANCE(""CURRENCY:AUDINR"")"),1569539178192.85)</f>
        <v>1569539178192.8501</v>
      </c>
    </row>
    <row r="418" spans="1:3" x14ac:dyDescent="0.25">
      <c r="A418" s="2">
        <v>417</v>
      </c>
      <c r="B418" s="2">
        <v>29642090476.190399</v>
      </c>
      <c r="C418" s="3">
        <f ca="1">IFERROR(__xludf.DUMMYFUNCTION("B418*GOOGLEFINANCE(""CURRENCY:AUDINR"")"),1576302641029.28)</f>
        <v>1576302641029.28</v>
      </c>
    </row>
    <row r="419" spans="1:3" x14ac:dyDescent="0.25">
      <c r="A419" s="2">
        <v>418</v>
      </c>
      <c r="B419" s="2">
        <v>29769276190.476101</v>
      </c>
      <c r="C419" s="3">
        <f ca="1">IFERROR(__xludf.DUMMYFUNCTION("B419*GOOGLEFINANCE(""CURRENCY:AUDINR"")"),1583066103865.7)</f>
        <v>1583066103865.7</v>
      </c>
    </row>
    <row r="420" spans="1:3" x14ac:dyDescent="0.25">
      <c r="A420" s="2">
        <v>419</v>
      </c>
      <c r="B420" s="2">
        <v>29896461904.761799</v>
      </c>
      <c r="C420" s="3">
        <f ca="1">IFERROR(__xludf.DUMMYFUNCTION("B420*GOOGLEFINANCE(""CURRENCY:AUDINR"")"),1589829566702.13)</f>
        <v>1589829566702.1299</v>
      </c>
    </row>
    <row r="421" spans="1:3" x14ac:dyDescent="0.25">
      <c r="A421" s="2">
        <v>420</v>
      </c>
      <c r="B421" s="2">
        <v>30023647619.0476</v>
      </c>
      <c r="C421" s="3">
        <f ca="1">IFERROR(__xludf.DUMMYFUNCTION("B421*GOOGLEFINANCE(""CURRENCY:AUDINR"")"),1596593029538.57)</f>
        <v>1596593029538.5701</v>
      </c>
    </row>
    <row r="422" spans="1:3" x14ac:dyDescent="0.25">
      <c r="A422" s="2">
        <v>421</v>
      </c>
      <c r="B422" s="2">
        <v>30150833333.333302</v>
      </c>
      <c r="C422" s="3">
        <f ca="1">IFERROR(__xludf.DUMMYFUNCTION("B422*GOOGLEFINANCE(""CURRENCY:AUDINR"")"),1603356492374.99)</f>
        <v>1603356492374.99</v>
      </c>
    </row>
    <row r="423" spans="1:3" x14ac:dyDescent="0.25">
      <c r="A423" s="2">
        <v>422</v>
      </c>
      <c r="B423" s="2">
        <v>30278019047.618999</v>
      </c>
      <c r="C423" s="3">
        <f ca="1">IFERROR(__xludf.DUMMYFUNCTION("B423*GOOGLEFINANCE(""CURRENCY:AUDINR"")"),1610119955211.42)</f>
        <v>1610119955211.4199</v>
      </c>
    </row>
    <row r="424" spans="1:3" x14ac:dyDescent="0.25">
      <c r="A424" s="2">
        <v>423</v>
      </c>
      <c r="B424" s="2">
        <v>30405204761.904701</v>
      </c>
      <c r="C424" s="3">
        <f ca="1">IFERROR(__xludf.DUMMYFUNCTION("B424*GOOGLEFINANCE(""CURRENCY:AUDINR"")"),1616883418047.85)</f>
        <v>1616883418047.8501</v>
      </c>
    </row>
    <row r="425" spans="1:3" x14ac:dyDescent="0.25">
      <c r="A425" s="2">
        <v>424</v>
      </c>
      <c r="B425" s="2">
        <v>30532390476.190399</v>
      </c>
      <c r="C425" s="3">
        <f ca="1">IFERROR(__xludf.DUMMYFUNCTION("B425*GOOGLEFINANCE(""CURRENCY:AUDINR"")"),1623646880884.28)</f>
        <v>1623646880884.28</v>
      </c>
    </row>
    <row r="426" spans="1:3" x14ac:dyDescent="0.25">
      <c r="A426" s="2">
        <v>425</v>
      </c>
      <c r="B426" s="2">
        <v>30659576190.476101</v>
      </c>
      <c r="C426" s="3">
        <f ca="1">IFERROR(__xludf.DUMMYFUNCTION("B426*GOOGLEFINANCE(""CURRENCY:AUDINR"")"),1630410343720.7)</f>
        <v>1630410343720.7</v>
      </c>
    </row>
    <row r="427" spans="1:3" x14ac:dyDescent="0.25">
      <c r="A427" s="2">
        <v>426</v>
      </c>
      <c r="B427" s="2">
        <v>30786761904.761799</v>
      </c>
      <c r="C427" s="3">
        <f ca="1">IFERROR(__xludf.DUMMYFUNCTION("B427*GOOGLEFINANCE(""CURRENCY:AUDINR"")"),1637173806557.13)</f>
        <v>1637173806557.1299</v>
      </c>
    </row>
    <row r="428" spans="1:3" x14ac:dyDescent="0.25">
      <c r="A428" s="2">
        <v>427</v>
      </c>
      <c r="B428" s="2">
        <v>30913947619.0476</v>
      </c>
      <c r="C428" s="3">
        <f ca="1">IFERROR(__xludf.DUMMYFUNCTION("B428*GOOGLEFINANCE(""CURRENCY:AUDINR"")"),1643937269393.57)</f>
        <v>1643937269393.5701</v>
      </c>
    </row>
    <row r="429" spans="1:3" x14ac:dyDescent="0.25">
      <c r="A429" s="2">
        <v>428</v>
      </c>
      <c r="B429" s="2">
        <v>31041133333.333302</v>
      </c>
      <c r="C429" s="3">
        <f ca="1">IFERROR(__xludf.DUMMYFUNCTION("B429*GOOGLEFINANCE(""CURRENCY:AUDINR"")"),1650700732229.99)</f>
        <v>1650700732229.99</v>
      </c>
    </row>
    <row r="430" spans="1:3" x14ac:dyDescent="0.25">
      <c r="A430" s="2">
        <v>429</v>
      </c>
      <c r="B430" s="2">
        <v>31168319047.618999</v>
      </c>
      <c r="C430" s="3">
        <f ca="1">IFERROR(__xludf.DUMMYFUNCTION("B430*GOOGLEFINANCE(""CURRENCY:AUDINR"")"),1657464195066.42)</f>
        <v>1657464195066.4199</v>
      </c>
    </row>
    <row r="431" spans="1:3" x14ac:dyDescent="0.25">
      <c r="A431" s="2">
        <v>430</v>
      </c>
      <c r="B431" s="2">
        <v>31295504761.904701</v>
      </c>
      <c r="C431" s="3">
        <f ca="1">IFERROR(__xludf.DUMMYFUNCTION("B431*GOOGLEFINANCE(""CURRENCY:AUDINR"")"),1664227657902.85)</f>
        <v>1664227657902.8501</v>
      </c>
    </row>
    <row r="432" spans="1:3" x14ac:dyDescent="0.25">
      <c r="A432" s="2">
        <v>431</v>
      </c>
      <c r="B432" s="2">
        <v>31422690476.190399</v>
      </c>
      <c r="C432" s="3">
        <f ca="1">IFERROR(__xludf.DUMMYFUNCTION("B432*GOOGLEFINANCE(""CURRENCY:AUDINR"")"),1670991120739.28)</f>
        <v>1670991120739.28</v>
      </c>
    </row>
    <row r="433" spans="1:3" x14ac:dyDescent="0.25">
      <c r="A433" s="2">
        <v>432</v>
      </c>
      <c r="B433" s="2">
        <v>31549876190.476101</v>
      </c>
      <c r="C433" s="3">
        <f ca="1">IFERROR(__xludf.DUMMYFUNCTION("B433*GOOGLEFINANCE(""CURRENCY:AUDINR"")"),1677754583575.7)</f>
        <v>1677754583575.7</v>
      </c>
    </row>
    <row r="434" spans="1:3" x14ac:dyDescent="0.25">
      <c r="A434" s="2">
        <v>433</v>
      </c>
      <c r="B434" s="2">
        <v>31677061904.761799</v>
      </c>
      <c r="C434" s="3">
        <f ca="1">IFERROR(__xludf.DUMMYFUNCTION("B434*GOOGLEFINANCE(""CURRENCY:AUDINR"")"),1684518046412.13)</f>
        <v>1684518046412.1299</v>
      </c>
    </row>
    <row r="435" spans="1:3" x14ac:dyDescent="0.25">
      <c r="A435" s="2">
        <v>434</v>
      </c>
      <c r="B435" s="2">
        <v>31804247619.0476</v>
      </c>
      <c r="C435" s="3">
        <f ca="1">IFERROR(__xludf.DUMMYFUNCTION("B435*GOOGLEFINANCE(""CURRENCY:AUDINR"")"),1691281509248.57)</f>
        <v>1691281509248.5701</v>
      </c>
    </row>
    <row r="436" spans="1:3" x14ac:dyDescent="0.25">
      <c r="A436" s="2">
        <v>435</v>
      </c>
      <c r="B436" s="2">
        <v>31931433333.333302</v>
      </c>
      <c r="C436" s="3">
        <f ca="1">IFERROR(__xludf.DUMMYFUNCTION("B436*GOOGLEFINANCE(""CURRENCY:AUDINR"")"),1698044972084.99)</f>
        <v>1698044972084.99</v>
      </c>
    </row>
    <row r="437" spans="1:3" x14ac:dyDescent="0.25">
      <c r="A437" s="2">
        <v>436</v>
      </c>
      <c r="B437" s="2">
        <v>32058619047.618999</v>
      </c>
      <c r="C437" s="3">
        <f ca="1">IFERROR(__xludf.DUMMYFUNCTION("B437*GOOGLEFINANCE(""CURRENCY:AUDINR"")"),1704808434921.42)</f>
        <v>1704808434921.4199</v>
      </c>
    </row>
    <row r="438" spans="1:3" x14ac:dyDescent="0.25">
      <c r="A438" s="2">
        <v>437</v>
      </c>
      <c r="B438" s="2">
        <v>32185804761.904701</v>
      </c>
      <c r="C438" s="3">
        <f ca="1">IFERROR(__xludf.DUMMYFUNCTION("B438*GOOGLEFINANCE(""CURRENCY:AUDINR"")"),1711571897757.85)</f>
        <v>1711571897757.8501</v>
      </c>
    </row>
    <row r="439" spans="1:3" x14ac:dyDescent="0.25">
      <c r="A439" s="2">
        <v>438</v>
      </c>
      <c r="B439" s="2">
        <v>32312990476.190399</v>
      </c>
      <c r="C439" s="3">
        <f ca="1">IFERROR(__xludf.DUMMYFUNCTION("B439*GOOGLEFINANCE(""CURRENCY:AUDINR"")"),1718335360594.28)</f>
        <v>1718335360594.28</v>
      </c>
    </row>
    <row r="440" spans="1:3" x14ac:dyDescent="0.25">
      <c r="A440" s="2">
        <v>439</v>
      </c>
      <c r="B440" s="2">
        <v>32440176190.476101</v>
      </c>
      <c r="C440" s="3">
        <f ca="1">IFERROR(__xludf.DUMMYFUNCTION("B440*GOOGLEFINANCE(""CURRENCY:AUDINR"")"),1725098823430.7)</f>
        <v>1725098823430.7</v>
      </c>
    </row>
    <row r="441" spans="1:3" x14ac:dyDescent="0.25">
      <c r="A441" s="2">
        <v>440</v>
      </c>
      <c r="B441" s="2">
        <v>32567361904.761799</v>
      </c>
      <c r="C441" s="3">
        <f ca="1">IFERROR(__xludf.DUMMYFUNCTION("B441*GOOGLEFINANCE(""CURRENCY:AUDINR"")"),1731862286267.13)</f>
        <v>1731862286267.1299</v>
      </c>
    </row>
    <row r="442" spans="1:3" x14ac:dyDescent="0.25">
      <c r="A442" s="2">
        <v>441</v>
      </c>
      <c r="B442" s="2">
        <v>32694547619.0476</v>
      </c>
      <c r="C442" s="3">
        <f ca="1">IFERROR(__xludf.DUMMYFUNCTION("B442*GOOGLEFINANCE(""CURRENCY:AUDINR"")"),1738625749103.57)</f>
        <v>1738625749103.5701</v>
      </c>
    </row>
    <row r="443" spans="1:3" x14ac:dyDescent="0.25">
      <c r="A443" s="2">
        <v>442</v>
      </c>
      <c r="B443" s="2">
        <v>32821733333.333302</v>
      </c>
      <c r="C443" s="3">
        <f ca="1">IFERROR(__xludf.DUMMYFUNCTION("B443*GOOGLEFINANCE(""CURRENCY:AUDINR"")"),1745389211939.99)</f>
        <v>1745389211939.99</v>
      </c>
    </row>
    <row r="444" spans="1:3" x14ac:dyDescent="0.25">
      <c r="A444" s="2">
        <v>443</v>
      </c>
      <c r="B444" s="2">
        <v>32948919047.618999</v>
      </c>
      <c r="C444" s="3">
        <f ca="1">IFERROR(__xludf.DUMMYFUNCTION("B444*GOOGLEFINANCE(""CURRENCY:AUDINR"")"),1752152674776.42)</f>
        <v>1752152674776.4199</v>
      </c>
    </row>
    <row r="445" spans="1:3" x14ac:dyDescent="0.25">
      <c r="A445" s="2">
        <v>444</v>
      </c>
      <c r="B445" s="2">
        <v>33076104761.904701</v>
      </c>
      <c r="C445" s="3">
        <f ca="1">IFERROR(__xludf.DUMMYFUNCTION("B445*GOOGLEFINANCE(""CURRENCY:AUDINR"")"),1758916137612.85)</f>
        <v>1758916137612.8501</v>
      </c>
    </row>
    <row r="446" spans="1:3" x14ac:dyDescent="0.25">
      <c r="A446" s="2">
        <v>445</v>
      </c>
      <c r="B446" s="2">
        <v>33203290476.190399</v>
      </c>
      <c r="C446" s="3">
        <f ca="1">IFERROR(__xludf.DUMMYFUNCTION("B446*GOOGLEFINANCE(""CURRENCY:AUDINR"")"),1765679600449.28)</f>
        <v>1765679600449.28</v>
      </c>
    </row>
    <row r="447" spans="1:3" x14ac:dyDescent="0.25">
      <c r="A447" s="2">
        <v>446</v>
      </c>
      <c r="B447" s="2">
        <v>33330476190.476101</v>
      </c>
      <c r="C447" s="3">
        <f ca="1">IFERROR(__xludf.DUMMYFUNCTION("B447*GOOGLEFINANCE(""CURRENCY:AUDINR"")"),1772443063285.7)</f>
        <v>1772443063285.7</v>
      </c>
    </row>
    <row r="448" spans="1:3" x14ac:dyDescent="0.25">
      <c r="A448" s="2">
        <v>447</v>
      </c>
      <c r="B448" s="2">
        <v>33457661904.761799</v>
      </c>
      <c r="C448" s="3">
        <f ca="1">IFERROR(__xludf.DUMMYFUNCTION("B448*GOOGLEFINANCE(""CURRENCY:AUDINR"")"),1779206526122.13)</f>
        <v>1779206526122.1299</v>
      </c>
    </row>
    <row r="449" spans="1:3" x14ac:dyDescent="0.25">
      <c r="A449" s="2">
        <v>448</v>
      </c>
      <c r="B449" s="2">
        <v>33584847619.047501</v>
      </c>
      <c r="C449" s="3">
        <f ca="1">IFERROR(__xludf.DUMMYFUNCTION("B449*GOOGLEFINANCE(""CURRENCY:AUDINR"")"),1785969988958.56)</f>
        <v>1785969988958.5601</v>
      </c>
    </row>
    <row r="450" spans="1:3" x14ac:dyDescent="0.25">
      <c r="A450" s="2">
        <v>449</v>
      </c>
      <c r="B450" s="2">
        <v>33712033333.333302</v>
      </c>
      <c r="C450" s="3">
        <f ca="1">IFERROR(__xludf.DUMMYFUNCTION("B450*GOOGLEFINANCE(""CURRENCY:AUDINR"")"),1792733451794.99)</f>
        <v>1792733451794.99</v>
      </c>
    </row>
    <row r="451" spans="1:3" x14ac:dyDescent="0.25">
      <c r="A451" s="2">
        <v>450</v>
      </c>
      <c r="B451" s="2">
        <v>33839219047.618999</v>
      </c>
      <c r="C451" s="3">
        <f ca="1">IFERROR(__xludf.DUMMYFUNCTION("B451*GOOGLEFINANCE(""CURRENCY:AUDINR"")"),1799496914631.42)</f>
        <v>1799496914631.4199</v>
      </c>
    </row>
    <row r="452" spans="1:3" x14ac:dyDescent="0.25">
      <c r="A452" s="2">
        <v>451</v>
      </c>
      <c r="B452" s="2">
        <v>33966404761.904701</v>
      </c>
      <c r="C452" s="3">
        <f ca="1">IFERROR(__xludf.DUMMYFUNCTION("B452*GOOGLEFINANCE(""CURRENCY:AUDINR"")"),1806260377467.85)</f>
        <v>1806260377467.8501</v>
      </c>
    </row>
    <row r="453" spans="1:3" x14ac:dyDescent="0.25">
      <c r="A453" s="2">
        <v>452</v>
      </c>
      <c r="B453" s="2">
        <v>34093590476.190399</v>
      </c>
      <c r="C453" s="3">
        <f ca="1">IFERROR(__xludf.DUMMYFUNCTION("B453*GOOGLEFINANCE(""CURRENCY:AUDINR"")"),1813023840304.28)</f>
        <v>1813023840304.28</v>
      </c>
    </row>
    <row r="454" spans="1:3" x14ac:dyDescent="0.25">
      <c r="A454" s="2">
        <v>453</v>
      </c>
      <c r="B454" s="2">
        <v>34220776190.476101</v>
      </c>
      <c r="C454" s="3">
        <f ca="1">IFERROR(__xludf.DUMMYFUNCTION("B454*GOOGLEFINANCE(""CURRENCY:AUDINR"")"),1819787303140.7)</f>
        <v>1819787303140.7</v>
      </c>
    </row>
    <row r="455" spans="1:3" x14ac:dyDescent="0.25">
      <c r="A455" s="2">
        <v>454</v>
      </c>
      <c r="B455" s="2">
        <v>34347961904.761799</v>
      </c>
      <c r="C455" s="3">
        <f ca="1">IFERROR(__xludf.DUMMYFUNCTION("B455*GOOGLEFINANCE(""CURRENCY:AUDINR"")"),1826550765977.13)</f>
        <v>1826550765977.1299</v>
      </c>
    </row>
    <row r="456" spans="1:3" x14ac:dyDescent="0.25">
      <c r="A456" s="2">
        <v>455</v>
      </c>
      <c r="B456" s="2">
        <v>34475147619.047501</v>
      </c>
      <c r="C456" s="3">
        <f ca="1">IFERROR(__xludf.DUMMYFUNCTION("B456*GOOGLEFINANCE(""CURRENCY:AUDINR"")"),1833314228813.56)</f>
        <v>1833314228813.5601</v>
      </c>
    </row>
    <row r="457" spans="1:3" x14ac:dyDescent="0.25">
      <c r="A457" s="2">
        <v>456</v>
      </c>
      <c r="B457" s="2">
        <v>34602333333.333298</v>
      </c>
      <c r="C457" s="3">
        <f ca="1">IFERROR(__xludf.DUMMYFUNCTION("B457*GOOGLEFINANCE(""CURRENCY:AUDINR"")"),1840077691649.99)</f>
        <v>1840077691649.99</v>
      </c>
    </row>
    <row r="458" spans="1:3" x14ac:dyDescent="0.25">
      <c r="A458" s="2">
        <v>457</v>
      </c>
      <c r="B458" s="2">
        <v>34729519047.619003</v>
      </c>
      <c r="C458" s="3">
        <f ca="1">IFERROR(__xludf.DUMMYFUNCTION("B458*GOOGLEFINANCE(""CURRENCY:AUDINR"")"),1846841154486.42)</f>
        <v>1846841154486.4199</v>
      </c>
    </row>
    <row r="459" spans="1:3" x14ac:dyDescent="0.25">
      <c r="A459" s="2">
        <v>458</v>
      </c>
      <c r="B459" s="2">
        <v>34856704761.904701</v>
      </c>
      <c r="C459" s="3">
        <f ca="1">IFERROR(__xludf.DUMMYFUNCTION("B459*GOOGLEFINANCE(""CURRENCY:AUDINR"")"),1853604617322.85)</f>
        <v>1853604617322.8501</v>
      </c>
    </row>
    <row r="460" spans="1:3" x14ac:dyDescent="0.25">
      <c r="A460" s="2">
        <v>459</v>
      </c>
      <c r="B460" s="2">
        <v>34983890476.190399</v>
      </c>
      <c r="C460" s="3">
        <f ca="1">IFERROR(__xludf.DUMMYFUNCTION("B460*GOOGLEFINANCE(""CURRENCY:AUDINR"")"),1860368080159.28)</f>
        <v>1860368080159.28</v>
      </c>
    </row>
    <row r="461" spans="1:3" x14ac:dyDescent="0.25">
      <c r="A461" s="2">
        <v>460</v>
      </c>
      <c r="B461" s="2">
        <v>35111076190.476097</v>
      </c>
      <c r="C461" s="3">
        <f ca="1">IFERROR(__xludf.DUMMYFUNCTION("B461*GOOGLEFINANCE(""CURRENCY:AUDINR"")"),1867131542995.7)</f>
        <v>1867131542995.7</v>
      </c>
    </row>
    <row r="462" spans="1:3" x14ac:dyDescent="0.25">
      <c r="A462" s="2">
        <v>461</v>
      </c>
      <c r="B462" s="2">
        <v>35238261904.761803</v>
      </c>
      <c r="C462" s="3">
        <f ca="1">IFERROR(__xludf.DUMMYFUNCTION("B462*GOOGLEFINANCE(""CURRENCY:AUDINR"")"),1873895005832.13)</f>
        <v>1873895005832.1299</v>
      </c>
    </row>
    <row r="463" spans="1:3" x14ac:dyDescent="0.25">
      <c r="A463" s="2">
        <v>462</v>
      </c>
      <c r="B463" s="2">
        <v>35365447619.047501</v>
      </c>
      <c r="C463" s="3">
        <f ca="1">IFERROR(__xludf.DUMMYFUNCTION("B463*GOOGLEFINANCE(""CURRENCY:AUDINR"")"),1880658468668.56)</f>
        <v>1880658468668.5601</v>
      </c>
    </row>
    <row r="464" spans="1:3" x14ac:dyDescent="0.25">
      <c r="A464" s="2">
        <v>463</v>
      </c>
      <c r="B464" s="2">
        <v>35492633333.333298</v>
      </c>
      <c r="C464" s="3">
        <f ca="1">IFERROR(__xludf.DUMMYFUNCTION("B464*GOOGLEFINANCE(""CURRENCY:AUDINR"")"),1887421931504.99)</f>
        <v>1887421931504.99</v>
      </c>
    </row>
    <row r="465" spans="1:3" x14ac:dyDescent="0.25">
      <c r="A465" s="2">
        <v>464</v>
      </c>
      <c r="B465" s="2">
        <v>35619819047.619003</v>
      </c>
      <c r="C465" s="3">
        <f ca="1">IFERROR(__xludf.DUMMYFUNCTION("B465*GOOGLEFINANCE(""CURRENCY:AUDINR"")"),1894185394341.42)</f>
        <v>1894185394341.4199</v>
      </c>
    </row>
    <row r="466" spans="1:3" x14ac:dyDescent="0.25">
      <c r="A466" s="2">
        <v>465</v>
      </c>
      <c r="B466" s="2">
        <v>35747004761.904701</v>
      </c>
      <c r="C466" s="3">
        <f ca="1">IFERROR(__xludf.DUMMYFUNCTION("B466*GOOGLEFINANCE(""CURRENCY:AUDINR"")"),1900948857177.85)</f>
        <v>1900948857177.8501</v>
      </c>
    </row>
    <row r="467" spans="1:3" x14ac:dyDescent="0.25">
      <c r="A467" s="2">
        <v>466</v>
      </c>
      <c r="B467" s="2">
        <v>35874190476.190399</v>
      </c>
      <c r="C467" s="3">
        <f ca="1">IFERROR(__xludf.DUMMYFUNCTION("B467*GOOGLEFINANCE(""CURRENCY:AUDINR"")"),1907712320014.28)</f>
        <v>1907712320014.28</v>
      </c>
    </row>
    <row r="468" spans="1:3" x14ac:dyDescent="0.25">
      <c r="A468" s="2">
        <v>467</v>
      </c>
      <c r="B468" s="2">
        <v>36001376190.476097</v>
      </c>
      <c r="C468" s="3">
        <f ca="1">IFERROR(__xludf.DUMMYFUNCTION("B468*GOOGLEFINANCE(""CURRENCY:AUDINR"")"),1914475782850.7)</f>
        <v>1914475782850.7</v>
      </c>
    </row>
    <row r="469" spans="1:3" x14ac:dyDescent="0.25">
      <c r="A469" s="2">
        <v>468</v>
      </c>
      <c r="B469" s="2">
        <v>36128561904.761803</v>
      </c>
      <c r="C469" s="3">
        <f ca="1">IFERROR(__xludf.DUMMYFUNCTION("B469*GOOGLEFINANCE(""CURRENCY:AUDINR"")"),1921239245687.13)</f>
        <v>1921239245687.1299</v>
      </c>
    </row>
    <row r="470" spans="1:3" x14ac:dyDescent="0.25">
      <c r="A470" s="2">
        <v>469</v>
      </c>
      <c r="B470" s="2">
        <v>36255747619.047501</v>
      </c>
      <c r="C470" s="3">
        <f ca="1">IFERROR(__xludf.DUMMYFUNCTION("B470*GOOGLEFINANCE(""CURRENCY:AUDINR"")"),1928002708523.56)</f>
        <v>1928002708523.5601</v>
      </c>
    </row>
    <row r="471" spans="1:3" x14ac:dyDescent="0.25">
      <c r="A471" s="2">
        <v>470</v>
      </c>
      <c r="B471" s="2">
        <v>36382933333.333298</v>
      </c>
      <c r="C471" s="3">
        <f ca="1">IFERROR(__xludf.DUMMYFUNCTION("B471*GOOGLEFINANCE(""CURRENCY:AUDINR"")"),1934766171359.99)</f>
        <v>1934766171359.99</v>
      </c>
    </row>
    <row r="472" spans="1:3" x14ac:dyDescent="0.25">
      <c r="A472" s="2">
        <v>471</v>
      </c>
      <c r="B472" s="2">
        <v>36510119047.619003</v>
      </c>
      <c r="C472" s="3">
        <f ca="1">IFERROR(__xludf.DUMMYFUNCTION("B472*GOOGLEFINANCE(""CURRENCY:AUDINR"")"),1941529634196.42)</f>
        <v>1941529634196.4199</v>
      </c>
    </row>
    <row r="473" spans="1:3" x14ac:dyDescent="0.25">
      <c r="A473" s="2">
        <v>472</v>
      </c>
      <c r="B473" s="2">
        <v>36637304761.904701</v>
      </c>
      <c r="C473" s="3">
        <f ca="1">IFERROR(__xludf.DUMMYFUNCTION("B473*GOOGLEFINANCE(""CURRENCY:AUDINR"")"),1948293097032.85)</f>
        <v>1948293097032.8501</v>
      </c>
    </row>
    <row r="474" spans="1:3" x14ac:dyDescent="0.25">
      <c r="A474" s="2">
        <v>473</v>
      </c>
      <c r="B474" s="2">
        <v>36764490476.190399</v>
      </c>
      <c r="C474" s="3">
        <f ca="1">IFERROR(__xludf.DUMMYFUNCTION("B474*GOOGLEFINANCE(""CURRENCY:AUDINR"")"),1955056559869.28)</f>
        <v>1955056559869.28</v>
      </c>
    </row>
    <row r="475" spans="1:3" x14ac:dyDescent="0.25">
      <c r="A475" s="2">
        <v>474</v>
      </c>
      <c r="B475" s="2">
        <v>36891676190.476097</v>
      </c>
      <c r="C475" s="3">
        <f ca="1">IFERROR(__xludf.DUMMYFUNCTION("B475*GOOGLEFINANCE(""CURRENCY:AUDINR"")"),1961820022705.7)</f>
        <v>1961820022705.7</v>
      </c>
    </row>
    <row r="476" spans="1:3" x14ac:dyDescent="0.25">
      <c r="A476" s="2">
        <v>475</v>
      </c>
      <c r="B476" s="2">
        <v>37018861904.761803</v>
      </c>
      <c r="C476" s="3">
        <f ca="1">IFERROR(__xludf.DUMMYFUNCTION("B476*GOOGLEFINANCE(""CURRENCY:AUDINR"")"),1968583485542.13)</f>
        <v>1968583485542.1299</v>
      </c>
    </row>
    <row r="477" spans="1:3" x14ac:dyDescent="0.25">
      <c r="A477" s="2">
        <v>476</v>
      </c>
      <c r="B477" s="2">
        <v>37146047619.047501</v>
      </c>
      <c r="C477" s="3">
        <f ca="1">IFERROR(__xludf.DUMMYFUNCTION("B477*GOOGLEFINANCE(""CURRENCY:AUDINR"")"),1975346948378.56)</f>
        <v>1975346948378.5601</v>
      </c>
    </row>
    <row r="478" spans="1:3" x14ac:dyDescent="0.25">
      <c r="A478" s="2">
        <v>477</v>
      </c>
      <c r="B478" s="2">
        <v>37273233333.333298</v>
      </c>
      <c r="C478" s="3">
        <f ca="1">IFERROR(__xludf.DUMMYFUNCTION("B478*GOOGLEFINANCE(""CURRENCY:AUDINR"")"),1982110411214.99)</f>
        <v>1982110411214.99</v>
      </c>
    </row>
    <row r="479" spans="1:3" x14ac:dyDescent="0.25">
      <c r="A479" s="2">
        <v>478</v>
      </c>
      <c r="B479" s="2">
        <v>37400419047.619003</v>
      </c>
      <c r="C479" s="3">
        <f ca="1">IFERROR(__xludf.DUMMYFUNCTION("B479*GOOGLEFINANCE(""CURRENCY:AUDINR"")"),1988873874051.42)</f>
        <v>1988873874051.4199</v>
      </c>
    </row>
    <row r="480" spans="1:3" x14ac:dyDescent="0.25">
      <c r="A480" s="2">
        <v>479</v>
      </c>
      <c r="B480" s="2">
        <v>37527604761.904701</v>
      </c>
      <c r="C480" s="3">
        <f ca="1">IFERROR(__xludf.DUMMYFUNCTION("B480*GOOGLEFINANCE(""CURRENCY:AUDINR"")"),1995637336887.85)</f>
        <v>1995637336887.8501</v>
      </c>
    </row>
    <row r="481" spans="1:3" x14ac:dyDescent="0.25">
      <c r="A481" s="2">
        <v>480</v>
      </c>
      <c r="B481" s="2">
        <v>37654790476.190399</v>
      </c>
      <c r="C481" s="3">
        <f ca="1">IFERROR(__xludf.DUMMYFUNCTION("B481*GOOGLEFINANCE(""CURRENCY:AUDINR"")"),2002400799724.28)</f>
        <v>2002400799724.28</v>
      </c>
    </row>
    <row r="482" spans="1:3" x14ac:dyDescent="0.25">
      <c r="A482" s="2">
        <v>481</v>
      </c>
      <c r="B482" s="2">
        <v>37781976190.476097</v>
      </c>
      <c r="C482" s="3">
        <f ca="1">IFERROR(__xludf.DUMMYFUNCTION("B482*GOOGLEFINANCE(""CURRENCY:AUDINR"")"),2009164262560.7)</f>
        <v>2009164262560.7</v>
      </c>
    </row>
    <row r="483" spans="1:3" x14ac:dyDescent="0.25">
      <c r="A483" s="2">
        <v>482</v>
      </c>
      <c r="B483" s="2">
        <v>37909161904.761803</v>
      </c>
      <c r="C483" s="3">
        <f ca="1">IFERROR(__xludf.DUMMYFUNCTION("B483*GOOGLEFINANCE(""CURRENCY:AUDINR"")"),2015927725397.13)</f>
        <v>2015927725397.1299</v>
      </c>
    </row>
    <row r="484" spans="1:3" x14ac:dyDescent="0.25">
      <c r="A484" s="2">
        <v>483</v>
      </c>
      <c r="B484" s="2">
        <v>38036347619.047501</v>
      </c>
      <c r="C484" s="3">
        <f ca="1">IFERROR(__xludf.DUMMYFUNCTION("B484*GOOGLEFINANCE(""CURRENCY:AUDINR"")"),2022691188233.56)</f>
        <v>2022691188233.5601</v>
      </c>
    </row>
    <row r="485" spans="1:3" x14ac:dyDescent="0.25">
      <c r="A485" s="2">
        <v>484</v>
      </c>
      <c r="B485" s="2">
        <v>38163533333.333298</v>
      </c>
      <c r="C485" s="3">
        <f ca="1">IFERROR(__xludf.DUMMYFUNCTION("B485*GOOGLEFINANCE(""CURRENCY:AUDINR"")"),2029454651069.99)</f>
        <v>2029454651069.99</v>
      </c>
    </row>
    <row r="486" spans="1:3" x14ac:dyDescent="0.25">
      <c r="A486" s="2">
        <v>485</v>
      </c>
      <c r="B486" s="2">
        <v>38290719047.619003</v>
      </c>
      <c r="C486" s="3">
        <f ca="1">IFERROR(__xludf.DUMMYFUNCTION("B486*GOOGLEFINANCE(""CURRENCY:AUDINR"")"),2036218113906.42)</f>
        <v>2036218113906.4199</v>
      </c>
    </row>
    <row r="487" spans="1:3" x14ac:dyDescent="0.25">
      <c r="A487" s="2">
        <v>486</v>
      </c>
      <c r="B487" s="2">
        <v>38417904761.904701</v>
      </c>
      <c r="C487" s="3">
        <f ca="1">IFERROR(__xludf.DUMMYFUNCTION("B487*GOOGLEFINANCE(""CURRENCY:AUDINR"")"),2042981576742.85)</f>
        <v>2042981576742.8501</v>
      </c>
    </row>
    <row r="488" spans="1:3" x14ac:dyDescent="0.25">
      <c r="A488" s="2">
        <v>487</v>
      </c>
      <c r="B488" s="2">
        <v>38545090476.190399</v>
      </c>
      <c r="C488" s="3">
        <f ca="1">IFERROR(__xludf.DUMMYFUNCTION("B488*GOOGLEFINANCE(""CURRENCY:AUDINR"")"),2049745039579.28)</f>
        <v>2049745039579.28</v>
      </c>
    </row>
    <row r="489" spans="1:3" x14ac:dyDescent="0.25">
      <c r="A489" s="2">
        <v>488</v>
      </c>
      <c r="B489" s="2">
        <v>38672276190.476097</v>
      </c>
      <c r="C489" s="3">
        <f ca="1">IFERROR(__xludf.DUMMYFUNCTION("B489*GOOGLEFINANCE(""CURRENCY:AUDINR"")"),2056508502415.7)</f>
        <v>2056508502415.7</v>
      </c>
    </row>
    <row r="490" spans="1:3" x14ac:dyDescent="0.25">
      <c r="A490" s="2">
        <v>489</v>
      </c>
      <c r="B490" s="2">
        <v>38799461904.761803</v>
      </c>
      <c r="C490" s="3">
        <f ca="1">IFERROR(__xludf.DUMMYFUNCTION("B490*GOOGLEFINANCE(""CURRENCY:AUDINR"")"),2063271965252.13)</f>
        <v>2063271965252.1299</v>
      </c>
    </row>
    <row r="491" spans="1:3" x14ac:dyDescent="0.25">
      <c r="A491" s="2">
        <v>490</v>
      </c>
      <c r="B491" s="2">
        <v>38926647619.047501</v>
      </c>
      <c r="C491" s="3">
        <f ca="1">IFERROR(__xludf.DUMMYFUNCTION("B491*GOOGLEFINANCE(""CURRENCY:AUDINR"")"),2070035428088.56)</f>
        <v>2070035428088.5601</v>
      </c>
    </row>
    <row r="492" spans="1:3" x14ac:dyDescent="0.25">
      <c r="A492" s="2">
        <v>491</v>
      </c>
      <c r="B492" s="2">
        <v>39053833333.333298</v>
      </c>
      <c r="C492" s="3">
        <f ca="1">IFERROR(__xludf.DUMMYFUNCTION("B492*GOOGLEFINANCE(""CURRENCY:AUDINR"")"),2076798890924.99)</f>
        <v>2076798890924.99</v>
      </c>
    </row>
    <row r="493" spans="1:3" x14ac:dyDescent="0.25">
      <c r="A493" s="2">
        <v>492</v>
      </c>
      <c r="B493" s="2">
        <v>39181019047.619003</v>
      </c>
      <c r="C493" s="3">
        <f ca="1">IFERROR(__xludf.DUMMYFUNCTION("B493*GOOGLEFINANCE(""CURRENCY:AUDINR"")"),2083562353761.42)</f>
        <v>2083562353761.4199</v>
      </c>
    </row>
    <row r="494" spans="1:3" x14ac:dyDescent="0.25">
      <c r="A494" s="2">
        <v>493</v>
      </c>
      <c r="B494" s="2">
        <v>39308204761.904701</v>
      </c>
      <c r="C494" s="3">
        <f ca="1">IFERROR(__xludf.DUMMYFUNCTION("B494*GOOGLEFINANCE(""CURRENCY:AUDINR"")"),2090325816597.85)</f>
        <v>2090325816597.8501</v>
      </c>
    </row>
    <row r="495" spans="1:3" x14ac:dyDescent="0.25">
      <c r="A495" s="2">
        <v>494</v>
      </c>
      <c r="B495" s="2">
        <v>39435390476.190399</v>
      </c>
      <c r="C495" s="3">
        <f ca="1">IFERROR(__xludf.DUMMYFUNCTION("B495*GOOGLEFINANCE(""CURRENCY:AUDINR"")"),2097089279434.28)</f>
        <v>2097089279434.28</v>
      </c>
    </row>
    <row r="496" spans="1:3" x14ac:dyDescent="0.25">
      <c r="A496" s="2">
        <v>495</v>
      </c>
      <c r="B496" s="2">
        <v>39562576190.476097</v>
      </c>
      <c r="C496" s="3">
        <f ca="1">IFERROR(__xludf.DUMMYFUNCTION("B496*GOOGLEFINANCE(""CURRENCY:AUDINR"")"),2103852742270.7)</f>
        <v>2103852742270.7</v>
      </c>
    </row>
    <row r="497" spans="1:3" x14ac:dyDescent="0.25">
      <c r="A497" s="2">
        <v>496</v>
      </c>
      <c r="B497" s="2">
        <v>39689761904.761803</v>
      </c>
      <c r="C497" s="3">
        <f ca="1">IFERROR(__xludf.DUMMYFUNCTION("B497*GOOGLEFINANCE(""CURRENCY:AUDINR"")"),2110616205107.13)</f>
        <v>2110616205107.1299</v>
      </c>
    </row>
    <row r="498" spans="1:3" x14ac:dyDescent="0.25">
      <c r="A498" s="2">
        <v>497</v>
      </c>
      <c r="B498" s="2">
        <v>39816947619.047501</v>
      </c>
      <c r="C498" s="3">
        <f ca="1">IFERROR(__xludf.DUMMYFUNCTION("B498*GOOGLEFINANCE(""CURRENCY:AUDINR"")"),2117379667943.56)</f>
        <v>2117379667943.5601</v>
      </c>
    </row>
    <row r="499" spans="1:3" x14ac:dyDescent="0.25">
      <c r="A499" s="2">
        <v>498</v>
      </c>
      <c r="B499" s="2">
        <v>39944133333.333199</v>
      </c>
      <c r="C499" s="3">
        <f ca="1">IFERROR(__xludf.DUMMYFUNCTION("B499*GOOGLEFINANCE(""CURRENCY:AUDINR"")"),2124143130779.99)</f>
        <v>2124143130779.99</v>
      </c>
    </row>
    <row r="500" spans="1:3" x14ac:dyDescent="0.25">
      <c r="A500" s="2">
        <v>499</v>
      </c>
      <c r="B500" s="2">
        <v>40071319047.619003</v>
      </c>
      <c r="C500" s="3">
        <f ca="1">IFERROR(__xludf.DUMMYFUNCTION("B500*GOOGLEFINANCE(""CURRENCY:AUDINR"")"),2130906593616.42)</f>
        <v>2130906593616.4199</v>
      </c>
    </row>
    <row r="501" spans="1:3" x14ac:dyDescent="0.25">
      <c r="A501" s="2">
        <v>500</v>
      </c>
      <c r="B501" s="2">
        <v>40198504761.904701</v>
      </c>
      <c r="C501" s="3">
        <f ca="1">IFERROR(__xludf.DUMMYFUNCTION("B501*GOOGLEFINANCE(""CURRENCY:AUDINR"")"),2137670056452.85)</f>
        <v>2137670056452.8501</v>
      </c>
    </row>
    <row r="502" spans="1:3" x14ac:dyDescent="0.25">
      <c r="A502" s="2">
        <v>501</v>
      </c>
      <c r="B502" s="2">
        <v>40325690476.190399</v>
      </c>
      <c r="C502" s="3">
        <f ca="1">IFERROR(__xludf.DUMMYFUNCTION("B502*GOOGLEFINANCE(""CURRENCY:AUDINR"")"),2144433519289.28)</f>
        <v>2144433519289.28</v>
      </c>
    </row>
    <row r="503" spans="1:3" x14ac:dyDescent="0.25">
      <c r="A503" s="2">
        <v>502</v>
      </c>
      <c r="B503" s="2">
        <v>40452876190.476097</v>
      </c>
      <c r="C503" s="3">
        <f ca="1">IFERROR(__xludf.DUMMYFUNCTION("B503*GOOGLEFINANCE(""CURRENCY:AUDINR"")"),2151196982125.7)</f>
        <v>2151196982125.7</v>
      </c>
    </row>
    <row r="504" spans="1:3" x14ac:dyDescent="0.25">
      <c r="A504" s="2">
        <v>503</v>
      </c>
      <c r="B504" s="2">
        <v>40580061904.761803</v>
      </c>
      <c r="C504" s="3">
        <f ca="1">IFERROR(__xludf.DUMMYFUNCTION("B504*GOOGLEFINANCE(""CURRENCY:AUDINR"")"),2157960444962.13)</f>
        <v>2157960444962.1299</v>
      </c>
    </row>
    <row r="505" spans="1:3" x14ac:dyDescent="0.25">
      <c r="A505" s="2">
        <v>504</v>
      </c>
      <c r="B505" s="2">
        <v>40707247619.047501</v>
      </c>
      <c r="C505" s="3">
        <f ca="1">IFERROR(__xludf.DUMMYFUNCTION("B505*GOOGLEFINANCE(""CURRENCY:AUDINR"")"),2164723907798.56)</f>
        <v>2164723907798.5601</v>
      </c>
    </row>
    <row r="506" spans="1:3" x14ac:dyDescent="0.25">
      <c r="A506" s="2">
        <v>505</v>
      </c>
      <c r="B506" s="2">
        <v>40834433333.333199</v>
      </c>
      <c r="C506" s="3">
        <f ca="1">IFERROR(__xludf.DUMMYFUNCTION("B506*GOOGLEFINANCE(""CURRENCY:AUDINR"")"),2171487370634.99)</f>
        <v>2171487370634.99</v>
      </c>
    </row>
    <row r="507" spans="1:3" x14ac:dyDescent="0.25">
      <c r="A507" s="2">
        <v>506</v>
      </c>
      <c r="B507" s="2">
        <v>40961619047.619003</v>
      </c>
      <c r="C507" s="3">
        <f ca="1">IFERROR(__xludf.DUMMYFUNCTION("B507*GOOGLEFINANCE(""CURRENCY:AUDINR"")"),2178250833471.42)</f>
        <v>2178250833471.4199</v>
      </c>
    </row>
    <row r="508" spans="1:3" x14ac:dyDescent="0.25">
      <c r="A508" s="2">
        <v>507</v>
      </c>
      <c r="B508" s="2">
        <v>41088804761.904701</v>
      </c>
      <c r="C508" s="3">
        <f ca="1">IFERROR(__xludf.DUMMYFUNCTION("B508*GOOGLEFINANCE(""CURRENCY:AUDINR"")"),2185014296307.85)</f>
        <v>2185014296307.8501</v>
      </c>
    </row>
    <row r="509" spans="1:3" x14ac:dyDescent="0.25">
      <c r="A509" s="2">
        <v>508</v>
      </c>
      <c r="B509" s="2">
        <v>41215990476.190399</v>
      </c>
      <c r="C509" s="3">
        <f ca="1">IFERROR(__xludf.DUMMYFUNCTION("B509*GOOGLEFINANCE(""CURRENCY:AUDINR"")"),2191777759144.28)</f>
        <v>2191777759144.28</v>
      </c>
    </row>
    <row r="510" spans="1:3" x14ac:dyDescent="0.25">
      <c r="A510" s="2">
        <v>509</v>
      </c>
      <c r="B510" s="2">
        <v>41343176190.476097</v>
      </c>
      <c r="C510" s="3">
        <f ca="1">IFERROR(__xludf.DUMMYFUNCTION("B510*GOOGLEFINANCE(""CURRENCY:AUDINR"")"),2198541221980.7)</f>
        <v>2198541221980.7</v>
      </c>
    </row>
    <row r="511" spans="1:3" x14ac:dyDescent="0.25">
      <c r="A511" s="2">
        <v>510</v>
      </c>
      <c r="B511" s="2">
        <v>41470361904.761803</v>
      </c>
      <c r="C511" s="3">
        <f ca="1">IFERROR(__xludf.DUMMYFUNCTION("B511*GOOGLEFINANCE(""CURRENCY:AUDINR"")"),2205304684817.13)</f>
        <v>2205304684817.1299</v>
      </c>
    </row>
    <row r="512" spans="1:3" x14ac:dyDescent="0.25">
      <c r="A512" s="2">
        <v>511</v>
      </c>
      <c r="B512" s="2">
        <v>41597547619.047501</v>
      </c>
      <c r="C512" s="3">
        <f ca="1">IFERROR(__xludf.DUMMYFUNCTION("B512*GOOGLEFINANCE(""CURRENCY:AUDINR"")"),2212068147653.56)</f>
        <v>2212068147653.5601</v>
      </c>
    </row>
    <row r="513" spans="1:3" x14ac:dyDescent="0.25">
      <c r="A513" s="2">
        <v>512</v>
      </c>
      <c r="B513" s="2">
        <v>41724733333.333199</v>
      </c>
      <c r="C513" s="3">
        <f ca="1">IFERROR(__xludf.DUMMYFUNCTION("B513*GOOGLEFINANCE(""CURRENCY:AUDINR"")"),2218831610489.99)</f>
        <v>2218831610489.9902</v>
      </c>
    </row>
    <row r="514" spans="1:3" x14ac:dyDescent="0.25">
      <c r="A514" s="2">
        <v>513</v>
      </c>
      <c r="B514" s="2">
        <v>41851919047.619003</v>
      </c>
      <c r="C514" s="3">
        <f ca="1">IFERROR(__xludf.DUMMYFUNCTION("B514*GOOGLEFINANCE(""CURRENCY:AUDINR"")"),2225595073326.42)</f>
        <v>2225595073326.4199</v>
      </c>
    </row>
    <row r="515" spans="1:3" x14ac:dyDescent="0.25">
      <c r="A515" s="2">
        <v>514</v>
      </c>
      <c r="B515" s="2">
        <v>41979104761.904701</v>
      </c>
      <c r="C515" s="3">
        <f ca="1">IFERROR(__xludf.DUMMYFUNCTION("B515*GOOGLEFINANCE(""CURRENCY:AUDINR"")"),2232358536162.85)</f>
        <v>2232358536162.8501</v>
      </c>
    </row>
    <row r="516" spans="1:3" x14ac:dyDescent="0.25">
      <c r="A516" s="2">
        <v>515</v>
      </c>
      <c r="B516" s="2">
        <v>42106290476.190399</v>
      </c>
      <c r="C516" s="3">
        <f ca="1">IFERROR(__xludf.DUMMYFUNCTION("B516*GOOGLEFINANCE(""CURRENCY:AUDINR"")"),2239121998999.28)</f>
        <v>2239121998999.2798</v>
      </c>
    </row>
    <row r="517" spans="1:3" x14ac:dyDescent="0.25">
      <c r="A517" s="2">
        <v>516</v>
      </c>
      <c r="B517" s="2">
        <v>42233476190.476097</v>
      </c>
      <c r="C517" s="3">
        <f ca="1">IFERROR(__xludf.DUMMYFUNCTION("B517*GOOGLEFINANCE(""CURRENCY:AUDINR"")"),2245885461835.7)</f>
        <v>2245885461835.7002</v>
      </c>
    </row>
    <row r="518" spans="1:3" x14ac:dyDescent="0.25">
      <c r="A518" s="2">
        <v>517</v>
      </c>
      <c r="B518" s="2">
        <v>42360661904.761803</v>
      </c>
      <c r="C518" s="3">
        <f ca="1">IFERROR(__xludf.DUMMYFUNCTION("B518*GOOGLEFINANCE(""CURRENCY:AUDINR"")"),2252648924672.13)</f>
        <v>2252648924672.1299</v>
      </c>
    </row>
    <row r="519" spans="1:3" x14ac:dyDescent="0.25">
      <c r="A519" s="2">
        <v>518</v>
      </c>
      <c r="B519" s="2">
        <v>42487847619.047501</v>
      </c>
      <c r="C519" s="3">
        <f ca="1">IFERROR(__xludf.DUMMYFUNCTION("B519*GOOGLEFINANCE(""CURRENCY:AUDINR"")"),2259412387508.56)</f>
        <v>2259412387508.5601</v>
      </c>
    </row>
    <row r="520" spans="1:3" x14ac:dyDescent="0.25">
      <c r="A520" s="2">
        <v>519</v>
      </c>
      <c r="B520" s="2">
        <v>42615033333.333199</v>
      </c>
      <c r="C520" s="3">
        <f ca="1">IFERROR(__xludf.DUMMYFUNCTION("B520*GOOGLEFINANCE(""CURRENCY:AUDINR"")"),2266175850344.99)</f>
        <v>2266175850344.9902</v>
      </c>
    </row>
    <row r="521" spans="1:3" x14ac:dyDescent="0.25">
      <c r="A521" s="2">
        <v>520</v>
      </c>
      <c r="B521" s="2">
        <v>42742219047.619003</v>
      </c>
      <c r="C521" s="3">
        <f ca="1">IFERROR(__xludf.DUMMYFUNCTION("B521*GOOGLEFINANCE(""CURRENCY:AUDINR"")"),2272939313181.42)</f>
        <v>2272939313181.4199</v>
      </c>
    </row>
    <row r="522" spans="1:3" x14ac:dyDescent="0.25">
      <c r="A522" s="2">
        <v>521</v>
      </c>
      <c r="B522" s="2">
        <v>42869404761.904701</v>
      </c>
      <c r="C522" s="3">
        <f ca="1">IFERROR(__xludf.DUMMYFUNCTION("B522*GOOGLEFINANCE(""CURRENCY:AUDINR"")"),2279702776017.85)</f>
        <v>2279702776017.8501</v>
      </c>
    </row>
    <row r="523" spans="1:3" x14ac:dyDescent="0.25">
      <c r="A523" s="2">
        <v>522</v>
      </c>
      <c r="B523" s="2">
        <v>42996590476.190399</v>
      </c>
      <c r="C523" s="3">
        <f ca="1">IFERROR(__xludf.DUMMYFUNCTION("B523*GOOGLEFINANCE(""CURRENCY:AUDINR"")"),2286466238854.28)</f>
        <v>2286466238854.2798</v>
      </c>
    </row>
    <row r="524" spans="1:3" x14ac:dyDescent="0.25">
      <c r="A524" s="2">
        <v>523</v>
      </c>
      <c r="B524" s="2">
        <v>43123776190.476097</v>
      </c>
      <c r="C524" s="3">
        <f ca="1">IFERROR(__xludf.DUMMYFUNCTION("B524*GOOGLEFINANCE(""CURRENCY:AUDINR"")"),2293229701690.7)</f>
        <v>2293229701690.7002</v>
      </c>
    </row>
    <row r="525" spans="1:3" x14ac:dyDescent="0.25">
      <c r="A525" s="2">
        <v>524</v>
      </c>
      <c r="B525" s="2">
        <v>43250961904.761803</v>
      </c>
      <c r="C525" s="3">
        <f ca="1">IFERROR(__xludf.DUMMYFUNCTION("B525*GOOGLEFINANCE(""CURRENCY:AUDINR"")"),2299993164527.13)</f>
        <v>2299993164527.1299</v>
      </c>
    </row>
    <row r="526" spans="1:3" x14ac:dyDescent="0.25">
      <c r="A526" s="2">
        <v>525</v>
      </c>
      <c r="B526" s="2">
        <v>43378147619.047501</v>
      </c>
      <c r="C526" s="3">
        <f ca="1">IFERROR(__xludf.DUMMYFUNCTION("B526*GOOGLEFINANCE(""CURRENCY:AUDINR"")"),2306756627363.56)</f>
        <v>2306756627363.5601</v>
      </c>
    </row>
    <row r="527" spans="1:3" x14ac:dyDescent="0.25">
      <c r="A527" s="2">
        <v>526</v>
      </c>
      <c r="B527" s="2">
        <v>43505333333.333199</v>
      </c>
      <c r="C527" s="3">
        <f ca="1">IFERROR(__xludf.DUMMYFUNCTION("B527*GOOGLEFINANCE(""CURRENCY:AUDINR"")"),2313520090199.99)</f>
        <v>2313520090199.9902</v>
      </c>
    </row>
    <row r="528" spans="1:3" x14ac:dyDescent="0.25">
      <c r="A528" s="2">
        <v>527</v>
      </c>
      <c r="B528" s="2">
        <v>43632519047.619003</v>
      </c>
      <c r="C528" s="3">
        <f ca="1">IFERROR(__xludf.DUMMYFUNCTION("B528*GOOGLEFINANCE(""CURRENCY:AUDINR"")"),2320283553036.42)</f>
        <v>2320283553036.4199</v>
      </c>
    </row>
    <row r="529" spans="1:3" x14ac:dyDescent="0.25">
      <c r="A529" s="2">
        <v>528</v>
      </c>
      <c r="B529" s="2">
        <v>43759704761.904701</v>
      </c>
      <c r="C529" s="3">
        <f ca="1">IFERROR(__xludf.DUMMYFUNCTION("B529*GOOGLEFINANCE(""CURRENCY:AUDINR"")"),2327047015872.85)</f>
        <v>2327047015872.8501</v>
      </c>
    </row>
    <row r="530" spans="1:3" x14ac:dyDescent="0.25">
      <c r="A530" s="2">
        <v>529</v>
      </c>
      <c r="B530" s="2">
        <v>43886890476.190399</v>
      </c>
      <c r="C530" s="3">
        <f ca="1">IFERROR(__xludf.DUMMYFUNCTION("B530*GOOGLEFINANCE(""CURRENCY:AUDINR"")"),2333810478709.28)</f>
        <v>2333810478709.2798</v>
      </c>
    </row>
    <row r="531" spans="1:3" x14ac:dyDescent="0.25">
      <c r="A531" s="2">
        <v>530</v>
      </c>
      <c r="B531" s="2">
        <v>44014076190.476097</v>
      </c>
      <c r="C531" s="3">
        <f ca="1">IFERROR(__xludf.DUMMYFUNCTION("B531*GOOGLEFINANCE(""CURRENCY:AUDINR"")"),2340573941545.7)</f>
        <v>2340573941545.7002</v>
      </c>
    </row>
    <row r="532" spans="1:3" x14ac:dyDescent="0.25">
      <c r="A532" s="2">
        <v>531</v>
      </c>
      <c r="B532" s="2">
        <v>44141261904.761803</v>
      </c>
      <c r="C532" s="3">
        <f ca="1">IFERROR(__xludf.DUMMYFUNCTION("B532*GOOGLEFINANCE(""CURRENCY:AUDINR"")"),2347337404382.13)</f>
        <v>2347337404382.1299</v>
      </c>
    </row>
    <row r="533" spans="1:3" x14ac:dyDescent="0.25">
      <c r="A533" s="2">
        <v>532</v>
      </c>
      <c r="B533" s="2">
        <v>44268447619.047501</v>
      </c>
      <c r="C533" s="3">
        <f ca="1">IFERROR(__xludf.DUMMYFUNCTION("B533*GOOGLEFINANCE(""CURRENCY:AUDINR"")"),2354100867218.56)</f>
        <v>2354100867218.5601</v>
      </c>
    </row>
    <row r="534" spans="1:3" x14ac:dyDescent="0.25">
      <c r="A534" s="2">
        <v>533</v>
      </c>
      <c r="B534" s="2">
        <v>44395633333.333199</v>
      </c>
      <c r="C534" s="3">
        <f ca="1">IFERROR(__xludf.DUMMYFUNCTION("B534*GOOGLEFINANCE(""CURRENCY:AUDINR"")"),2360864330054.99)</f>
        <v>2360864330054.9902</v>
      </c>
    </row>
    <row r="535" spans="1:3" x14ac:dyDescent="0.25">
      <c r="A535" s="2">
        <v>534</v>
      </c>
      <c r="B535" s="2">
        <v>44522819047.619003</v>
      </c>
      <c r="C535" s="3">
        <f ca="1">IFERROR(__xludf.DUMMYFUNCTION("B535*GOOGLEFINANCE(""CURRENCY:AUDINR"")"),2367627792891.42)</f>
        <v>2367627792891.4199</v>
      </c>
    </row>
    <row r="536" spans="1:3" x14ac:dyDescent="0.25">
      <c r="A536" s="2">
        <v>535</v>
      </c>
      <c r="B536" s="2">
        <v>44650004761.904701</v>
      </c>
      <c r="C536" s="3">
        <f ca="1">IFERROR(__xludf.DUMMYFUNCTION("B536*GOOGLEFINANCE(""CURRENCY:AUDINR"")"),2374391255727.85)</f>
        <v>2374391255727.8501</v>
      </c>
    </row>
    <row r="537" spans="1:3" x14ac:dyDescent="0.25">
      <c r="A537" s="2">
        <v>536</v>
      </c>
      <c r="B537" s="2">
        <v>44777190476.190399</v>
      </c>
      <c r="C537" s="3">
        <f ca="1">IFERROR(__xludf.DUMMYFUNCTION("B537*GOOGLEFINANCE(""CURRENCY:AUDINR"")"),2381154718564.28)</f>
        <v>2381154718564.2798</v>
      </c>
    </row>
    <row r="538" spans="1:3" x14ac:dyDescent="0.25">
      <c r="A538" s="2">
        <v>537</v>
      </c>
      <c r="B538" s="2">
        <v>44904376190.476097</v>
      </c>
      <c r="C538" s="3">
        <f ca="1">IFERROR(__xludf.DUMMYFUNCTION("B538*GOOGLEFINANCE(""CURRENCY:AUDINR"")"),2387918181400.7)</f>
        <v>2387918181400.7002</v>
      </c>
    </row>
    <row r="539" spans="1:3" x14ac:dyDescent="0.25">
      <c r="A539" s="2">
        <v>538</v>
      </c>
      <c r="B539" s="2">
        <v>45031561904.761803</v>
      </c>
      <c r="C539" s="3">
        <f ca="1">IFERROR(__xludf.DUMMYFUNCTION("B539*GOOGLEFINANCE(""CURRENCY:AUDINR"")"),2394681644237.13)</f>
        <v>2394681644237.1299</v>
      </c>
    </row>
    <row r="540" spans="1:3" x14ac:dyDescent="0.25">
      <c r="A540" s="2">
        <v>539</v>
      </c>
      <c r="B540" s="2">
        <v>45158747619.047501</v>
      </c>
      <c r="C540" s="3">
        <f ca="1">IFERROR(__xludf.DUMMYFUNCTION("B540*GOOGLEFINANCE(""CURRENCY:AUDINR"")"),2401445107073.56)</f>
        <v>2401445107073.5601</v>
      </c>
    </row>
    <row r="541" spans="1:3" x14ac:dyDescent="0.25">
      <c r="A541" s="2">
        <v>540</v>
      </c>
      <c r="B541" s="2">
        <v>45285933333.333199</v>
      </c>
      <c r="C541" s="3">
        <f ca="1">IFERROR(__xludf.DUMMYFUNCTION("B541*GOOGLEFINANCE(""CURRENCY:AUDINR"")"),2408208569909.99)</f>
        <v>2408208569909.9902</v>
      </c>
    </row>
    <row r="542" spans="1:3" x14ac:dyDescent="0.25">
      <c r="A542" s="2">
        <v>541</v>
      </c>
      <c r="B542" s="2">
        <v>45413119047.619003</v>
      </c>
      <c r="C542" s="3">
        <f ca="1">IFERROR(__xludf.DUMMYFUNCTION("B542*GOOGLEFINANCE(""CURRENCY:AUDINR"")"),2414972032746.42)</f>
        <v>2414972032746.4199</v>
      </c>
    </row>
    <row r="543" spans="1:3" x14ac:dyDescent="0.25">
      <c r="A543" s="2">
        <v>542</v>
      </c>
      <c r="B543" s="2">
        <v>45540304761.904701</v>
      </c>
      <c r="C543" s="3">
        <f ca="1">IFERROR(__xludf.DUMMYFUNCTION("B543*GOOGLEFINANCE(""CURRENCY:AUDINR"")"),2421735495582.85)</f>
        <v>2421735495582.8501</v>
      </c>
    </row>
    <row r="544" spans="1:3" x14ac:dyDescent="0.25">
      <c r="A544" s="2">
        <v>543</v>
      </c>
      <c r="B544" s="2">
        <v>45667490476.190399</v>
      </c>
      <c r="C544" s="3">
        <f ca="1">IFERROR(__xludf.DUMMYFUNCTION("B544*GOOGLEFINANCE(""CURRENCY:AUDINR"")"),2428498958419.28)</f>
        <v>2428498958419.2798</v>
      </c>
    </row>
    <row r="545" spans="1:3" x14ac:dyDescent="0.25">
      <c r="A545" s="2">
        <v>544</v>
      </c>
      <c r="B545" s="2">
        <v>45794676190.476097</v>
      </c>
      <c r="C545" s="3">
        <f ca="1">IFERROR(__xludf.DUMMYFUNCTION("B545*GOOGLEFINANCE(""CURRENCY:AUDINR"")"),2435262421255.7)</f>
        <v>2435262421255.7002</v>
      </c>
    </row>
    <row r="546" spans="1:3" x14ac:dyDescent="0.25">
      <c r="A546" s="2">
        <v>545</v>
      </c>
      <c r="B546" s="2">
        <v>45921861904.761803</v>
      </c>
      <c r="C546" s="3">
        <f ca="1">IFERROR(__xludf.DUMMYFUNCTION("B546*GOOGLEFINANCE(""CURRENCY:AUDINR"")"),2442025884092.13)</f>
        <v>2442025884092.1299</v>
      </c>
    </row>
    <row r="547" spans="1:3" x14ac:dyDescent="0.25">
      <c r="A547" s="2">
        <v>546</v>
      </c>
      <c r="B547" s="2">
        <v>46049047619.047501</v>
      </c>
      <c r="C547" s="3">
        <f ca="1">IFERROR(__xludf.DUMMYFUNCTION("B547*GOOGLEFINANCE(""CURRENCY:AUDINR"")"),2448789346928.56)</f>
        <v>2448789346928.5601</v>
      </c>
    </row>
    <row r="548" spans="1:3" x14ac:dyDescent="0.25">
      <c r="A548" s="2">
        <v>547</v>
      </c>
      <c r="B548" s="2">
        <v>46176233333.333199</v>
      </c>
      <c r="C548" s="3">
        <f ca="1">IFERROR(__xludf.DUMMYFUNCTION("B548*GOOGLEFINANCE(""CURRENCY:AUDINR"")"),2455552809764.99)</f>
        <v>2455552809764.9902</v>
      </c>
    </row>
    <row r="549" spans="1:3" x14ac:dyDescent="0.25">
      <c r="A549" s="2">
        <v>548</v>
      </c>
      <c r="B549" s="2">
        <v>46303419047.619003</v>
      </c>
      <c r="C549" s="3">
        <f ca="1">IFERROR(__xludf.DUMMYFUNCTION("B549*GOOGLEFINANCE(""CURRENCY:AUDINR"")"),2462316272601.42)</f>
        <v>2462316272601.4199</v>
      </c>
    </row>
    <row r="550" spans="1:3" x14ac:dyDescent="0.25">
      <c r="A550" s="2">
        <v>549</v>
      </c>
      <c r="B550" s="2">
        <v>46430604761.904701</v>
      </c>
      <c r="C550" s="3">
        <f ca="1">IFERROR(__xludf.DUMMYFUNCTION("B550*GOOGLEFINANCE(""CURRENCY:AUDINR"")"),2469079735437.85)</f>
        <v>2469079735437.8501</v>
      </c>
    </row>
    <row r="551" spans="1:3" x14ac:dyDescent="0.25">
      <c r="A551" s="2">
        <v>550</v>
      </c>
      <c r="B551" s="2">
        <v>46557790476.190399</v>
      </c>
      <c r="C551" s="3">
        <f ca="1">IFERROR(__xludf.DUMMYFUNCTION("B551*GOOGLEFINANCE(""CURRENCY:AUDINR"")"),2475843198274.28)</f>
        <v>2475843198274.2798</v>
      </c>
    </row>
    <row r="552" spans="1:3" x14ac:dyDescent="0.25">
      <c r="A552" s="2">
        <v>551</v>
      </c>
      <c r="B552" s="2">
        <v>46684976190.476097</v>
      </c>
      <c r="C552" s="3">
        <f ca="1">IFERROR(__xludf.DUMMYFUNCTION("B552*GOOGLEFINANCE(""CURRENCY:AUDINR"")"),2482606661110.7)</f>
        <v>2482606661110.7002</v>
      </c>
    </row>
    <row r="553" spans="1:3" x14ac:dyDescent="0.25">
      <c r="A553" s="2">
        <v>552</v>
      </c>
      <c r="B553" s="2">
        <v>46812161904.761803</v>
      </c>
      <c r="C553" s="3">
        <f ca="1">IFERROR(__xludf.DUMMYFUNCTION("B553*GOOGLEFINANCE(""CURRENCY:AUDINR"")"),2489370123947.13)</f>
        <v>2489370123947.1299</v>
      </c>
    </row>
    <row r="554" spans="1:3" x14ac:dyDescent="0.25">
      <c r="A554" s="2">
        <v>553</v>
      </c>
      <c r="B554" s="2">
        <v>46939347619.047501</v>
      </c>
      <c r="C554" s="3">
        <f ca="1">IFERROR(__xludf.DUMMYFUNCTION("B554*GOOGLEFINANCE(""CURRENCY:AUDINR"")"),2496133586783.56)</f>
        <v>2496133586783.5601</v>
      </c>
    </row>
    <row r="555" spans="1:3" x14ac:dyDescent="0.25">
      <c r="A555" s="2">
        <v>554</v>
      </c>
      <c r="B555" s="2">
        <v>47066533333.333199</v>
      </c>
      <c r="C555" s="3">
        <f ca="1">IFERROR(__xludf.DUMMYFUNCTION("B555*GOOGLEFINANCE(""CURRENCY:AUDINR"")"),2502897049619.99)</f>
        <v>2502897049619.9902</v>
      </c>
    </row>
    <row r="556" spans="1:3" x14ac:dyDescent="0.25">
      <c r="A556" s="2">
        <v>555</v>
      </c>
      <c r="B556" s="2">
        <v>47193719047.618896</v>
      </c>
      <c r="C556" s="3">
        <f ca="1">IFERROR(__xludf.DUMMYFUNCTION("B556*GOOGLEFINANCE(""CURRENCY:AUDINR"")"),2509660512456.42)</f>
        <v>2509660512456.4199</v>
      </c>
    </row>
    <row r="557" spans="1:3" x14ac:dyDescent="0.25">
      <c r="A557" s="2">
        <v>556</v>
      </c>
      <c r="B557" s="2">
        <v>47320904761.904701</v>
      </c>
      <c r="C557" s="3">
        <f ca="1">IFERROR(__xludf.DUMMYFUNCTION("B557*GOOGLEFINANCE(""CURRENCY:AUDINR"")"),2516423975292.85)</f>
        <v>2516423975292.8501</v>
      </c>
    </row>
    <row r="558" spans="1:3" x14ac:dyDescent="0.25">
      <c r="A558" s="2">
        <v>557</v>
      </c>
      <c r="B558" s="2">
        <v>47448090476.190399</v>
      </c>
      <c r="C558" s="3">
        <f ca="1">IFERROR(__xludf.DUMMYFUNCTION("B558*GOOGLEFINANCE(""CURRENCY:AUDINR"")"),2523187438129.28)</f>
        <v>2523187438129.2798</v>
      </c>
    </row>
    <row r="559" spans="1:3" x14ac:dyDescent="0.25">
      <c r="A559" s="2">
        <v>558</v>
      </c>
      <c r="B559" s="2">
        <v>47575276190.476097</v>
      </c>
      <c r="C559" s="3">
        <f ca="1">IFERROR(__xludf.DUMMYFUNCTION("B559*GOOGLEFINANCE(""CURRENCY:AUDINR"")"),2529950900965.7)</f>
        <v>2529950900965.7002</v>
      </c>
    </row>
    <row r="560" spans="1:3" x14ac:dyDescent="0.25">
      <c r="A560" s="2">
        <v>559</v>
      </c>
      <c r="B560" s="2">
        <v>47702461904.761803</v>
      </c>
      <c r="C560" s="3">
        <f ca="1">IFERROR(__xludf.DUMMYFUNCTION("B560*GOOGLEFINANCE(""CURRENCY:AUDINR"")"),2536714363802.13)</f>
        <v>2536714363802.1299</v>
      </c>
    </row>
    <row r="561" spans="1:3" x14ac:dyDescent="0.25">
      <c r="A561" s="2">
        <v>560</v>
      </c>
      <c r="B561" s="2">
        <v>47829647619.047501</v>
      </c>
      <c r="C561" s="3">
        <f ca="1">IFERROR(__xludf.DUMMYFUNCTION("B561*GOOGLEFINANCE(""CURRENCY:AUDINR"")"),2543477826638.56)</f>
        <v>2543477826638.5601</v>
      </c>
    </row>
    <row r="562" spans="1:3" x14ac:dyDescent="0.25">
      <c r="A562" s="2">
        <v>561</v>
      </c>
      <c r="B562" s="2">
        <v>47956833333.333199</v>
      </c>
      <c r="C562" s="3">
        <f ca="1">IFERROR(__xludf.DUMMYFUNCTION("B562*GOOGLEFINANCE(""CURRENCY:AUDINR"")"),2550241289474.99)</f>
        <v>2550241289474.9902</v>
      </c>
    </row>
    <row r="563" spans="1:3" x14ac:dyDescent="0.25">
      <c r="A563" s="2">
        <v>562</v>
      </c>
      <c r="B563" s="2">
        <v>48084019047.618896</v>
      </c>
      <c r="C563" s="3">
        <f ca="1">IFERROR(__xludf.DUMMYFUNCTION("B563*GOOGLEFINANCE(""CURRENCY:AUDINR"")"),2557004752311.42)</f>
        <v>2557004752311.4199</v>
      </c>
    </row>
    <row r="564" spans="1:3" x14ac:dyDescent="0.25">
      <c r="A564" s="2">
        <v>563</v>
      </c>
      <c r="B564" s="2">
        <v>48211204761.904701</v>
      </c>
      <c r="C564" s="3">
        <f ca="1">IFERROR(__xludf.DUMMYFUNCTION("B564*GOOGLEFINANCE(""CURRENCY:AUDINR"")"),2563768215147.85)</f>
        <v>2563768215147.8501</v>
      </c>
    </row>
    <row r="565" spans="1:3" x14ac:dyDescent="0.25">
      <c r="A565" s="2">
        <v>564</v>
      </c>
      <c r="B565" s="2">
        <v>48338390476.190399</v>
      </c>
      <c r="C565" s="3">
        <f ca="1">IFERROR(__xludf.DUMMYFUNCTION("B565*GOOGLEFINANCE(""CURRENCY:AUDINR"")"),2570531677984.28)</f>
        <v>2570531677984.2798</v>
      </c>
    </row>
    <row r="566" spans="1:3" x14ac:dyDescent="0.25">
      <c r="A566" s="2">
        <v>565</v>
      </c>
      <c r="B566" s="2">
        <v>48465576190.476097</v>
      </c>
      <c r="C566" s="3">
        <f ca="1">IFERROR(__xludf.DUMMYFUNCTION("B566*GOOGLEFINANCE(""CURRENCY:AUDINR"")"),2577295140820.7)</f>
        <v>2577295140820.7002</v>
      </c>
    </row>
    <row r="567" spans="1:3" x14ac:dyDescent="0.25">
      <c r="A567" s="2">
        <v>566</v>
      </c>
      <c r="B567" s="2">
        <v>48592761904.761803</v>
      </c>
      <c r="C567" s="3">
        <f ca="1">IFERROR(__xludf.DUMMYFUNCTION("B567*GOOGLEFINANCE(""CURRENCY:AUDINR"")"),2584058603657.13)</f>
        <v>2584058603657.1299</v>
      </c>
    </row>
    <row r="568" spans="1:3" x14ac:dyDescent="0.25">
      <c r="A568" s="2">
        <v>567</v>
      </c>
      <c r="B568" s="2">
        <v>48719947619.047501</v>
      </c>
      <c r="C568" s="3">
        <f ca="1">IFERROR(__xludf.DUMMYFUNCTION("B568*GOOGLEFINANCE(""CURRENCY:AUDINR"")"),2590822066493.56)</f>
        <v>2590822066493.5601</v>
      </c>
    </row>
    <row r="569" spans="1:3" x14ac:dyDescent="0.25">
      <c r="A569" s="2">
        <v>568</v>
      </c>
      <c r="B569" s="2">
        <v>48847133333.333199</v>
      </c>
      <c r="C569" s="3">
        <f ca="1">IFERROR(__xludf.DUMMYFUNCTION("B569*GOOGLEFINANCE(""CURRENCY:AUDINR"")"),2597585529329.99)</f>
        <v>2597585529329.9902</v>
      </c>
    </row>
    <row r="570" spans="1:3" x14ac:dyDescent="0.25">
      <c r="A570" s="2">
        <v>569</v>
      </c>
      <c r="B570" s="2">
        <v>48974319047.618896</v>
      </c>
      <c r="C570" s="3">
        <f ca="1">IFERROR(__xludf.DUMMYFUNCTION("B570*GOOGLEFINANCE(""CURRENCY:AUDINR"")"),2604348992166.42)</f>
        <v>2604348992166.4199</v>
      </c>
    </row>
    <row r="571" spans="1:3" x14ac:dyDescent="0.25">
      <c r="A571" s="2">
        <v>570</v>
      </c>
      <c r="B571" s="2">
        <v>49101504761.904701</v>
      </c>
      <c r="C571" s="3">
        <f ca="1">IFERROR(__xludf.DUMMYFUNCTION("B571*GOOGLEFINANCE(""CURRENCY:AUDINR"")"),2611112455002.85)</f>
        <v>2611112455002.8501</v>
      </c>
    </row>
    <row r="572" spans="1:3" x14ac:dyDescent="0.25">
      <c r="A572" s="2">
        <v>571</v>
      </c>
      <c r="B572" s="2">
        <v>49228690476.190399</v>
      </c>
      <c r="C572" s="3">
        <f ca="1">IFERROR(__xludf.DUMMYFUNCTION("B572*GOOGLEFINANCE(""CURRENCY:AUDINR"")"),2617875917839.28)</f>
        <v>2617875917839.2798</v>
      </c>
    </row>
    <row r="573" spans="1:3" x14ac:dyDescent="0.25">
      <c r="A573" s="2">
        <v>572</v>
      </c>
      <c r="B573" s="2">
        <v>49355876190.476097</v>
      </c>
      <c r="C573" s="3">
        <f ca="1">IFERROR(__xludf.DUMMYFUNCTION("B573*GOOGLEFINANCE(""CURRENCY:AUDINR"")"),2624639380675.7)</f>
        <v>2624639380675.7002</v>
      </c>
    </row>
    <row r="574" spans="1:3" x14ac:dyDescent="0.25">
      <c r="A574" s="2">
        <v>573</v>
      </c>
      <c r="B574" s="2">
        <v>49483061904.761803</v>
      </c>
      <c r="C574" s="3">
        <f ca="1">IFERROR(__xludf.DUMMYFUNCTION("B574*GOOGLEFINANCE(""CURRENCY:AUDINR"")"),2631402843512.13)</f>
        <v>2631402843512.1299</v>
      </c>
    </row>
    <row r="575" spans="1:3" x14ac:dyDescent="0.25">
      <c r="A575" s="2">
        <v>574</v>
      </c>
      <c r="B575" s="2">
        <v>49610247619.047501</v>
      </c>
      <c r="C575" s="3">
        <f ca="1">IFERROR(__xludf.DUMMYFUNCTION("B575*GOOGLEFINANCE(""CURRENCY:AUDINR"")"),2638166306348.56)</f>
        <v>2638166306348.5601</v>
      </c>
    </row>
    <row r="576" spans="1:3" x14ac:dyDescent="0.25">
      <c r="A576" s="2">
        <v>575</v>
      </c>
      <c r="B576" s="2">
        <v>49737433333.333199</v>
      </c>
      <c r="C576" s="3">
        <f ca="1">IFERROR(__xludf.DUMMYFUNCTION("B576*GOOGLEFINANCE(""CURRENCY:AUDINR"")"),2644929769184.99)</f>
        <v>2644929769184.9902</v>
      </c>
    </row>
    <row r="577" spans="1:3" x14ac:dyDescent="0.25">
      <c r="A577" s="2">
        <v>576</v>
      </c>
      <c r="B577" s="2">
        <v>49864619047.618896</v>
      </c>
      <c r="C577" s="3">
        <f ca="1">IFERROR(__xludf.DUMMYFUNCTION("B577*GOOGLEFINANCE(""CURRENCY:AUDINR"")"),2651693232021.42)</f>
        <v>2651693232021.4199</v>
      </c>
    </row>
    <row r="578" spans="1:3" x14ac:dyDescent="0.25">
      <c r="A578" s="2">
        <v>577</v>
      </c>
      <c r="B578" s="2">
        <v>49991804761.904701</v>
      </c>
      <c r="C578" s="3">
        <f ca="1">IFERROR(__xludf.DUMMYFUNCTION("B578*GOOGLEFINANCE(""CURRENCY:AUDINR"")"),2658456694857.85)</f>
        <v>2658456694857.8501</v>
      </c>
    </row>
    <row r="579" spans="1:3" x14ac:dyDescent="0.25">
      <c r="A579" s="2">
        <v>578</v>
      </c>
      <c r="B579" s="2">
        <v>50118990476.190399</v>
      </c>
      <c r="C579" s="3">
        <f ca="1">IFERROR(__xludf.DUMMYFUNCTION("B579*GOOGLEFINANCE(""CURRENCY:AUDINR"")"),2665220157694.28)</f>
        <v>2665220157694.2798</v>
      </c>
    </row>
    <row r="580" spans="1:3" x14ac:dyDescent="0.25">
      <c r="A580" s="2">
        <v>579</v>
      </c>
      <c r="B580" s="2">
        <v>50246176190.476097</v>
      </c>
      <c r="C580" s="3">
        <f ca="1">IFERROR(__xludf.DUMMYFUNCTION("B580*GOOGLEFINANCE(""CURRENCY:AUDINR"")"),2671983620530.7)</f>
        <v>2671983620530.7002</v>
      </c>
    </row>
    <row r="581" spans="1:3" x14ac:dyDescent="0.25">
      <c r="A581" s="2">
        <v>580</v>
      </c>
      <c r="B581" s="2">
        <v>50373361904.761803</v>
      </c>
      <c r="C581" s="3">
        <f ca="1">IFERROR(__xludf.DUMMYFUNCTION("B581*GOOGLEFINANCE(""CURRENCY:AUDINR"")"),2678747083367.13)</f>
        <v>2678747083367.1299</v>
      </c>
    </row>
    <row r="582" spans="1:3" x14ac:dyDescent="0.25">
      <c r="A582" s="2">
        <v>581</v>
      </c>
      <c r="B582" s="2">
        <v>50500547619.047501</v>
      </c>
      <c r="C582" s="3">
        <f ca="1">IFERROR(__xludf.DUMMYFUNCTION("B582*GOOGLEFINANCE(""CURRENCY:AUDINR"")"),2685510546203.56)</f>
        <v>2685510546203.5601</v>
      </c>
    </row>
    <row r="583" spans="1:3" x14ac:dyDescent="0.25">
      <c r="A583" s="2">
        <v>582</v>
      </c>
      <c r="B583" s="2">
        <v>50627733333.333199</v>
      </c>
      <c r="C583" s="3">
        <f ca="1">IFERROR(__xludf.DUMMYFUNCTION("B583*GOOGLEFINANCE(""CURRENCY:AUDINR"")"),2692274009039.99)</f>
        <v>2692274009039.9902</v>
      </c>
    </row>
    <row r="584" spans="1:3" x14ac:dyDescent="0.25">
      <c r="A584" s="2">
        <v>583</v>
      </c>
      <c r="B584" s="2">
        <v>50754919047.618896</v>
      </c>
      <c r="C584" s="3">
        <f ca="1">IFERROR(__xludf.DUMMYFUNCTION("B584*GOOGLEFINANCE(""CURRENCY:AUDINR"")"),2699037471876.42)</f>
        <v>2699037471876.4199</v>
      </c>
    </row>
    <row r="585" spans="1:3" x14ac:dyDescent="0.25">
      <c r="A585" s="2">
        <v>584</v>
      </c>
      <c r="B585" s="2">
        <v>50882104761.904701</v>
      </c>
      <c r="C585" s="3">
        <f ca="1">IFERROR(__xludf.DUMMYFUNCTION("B585*GOOGLEFINANCE(""CURRENCY:AUDINR"")"),2705800934712.85)</f>
        <v>2705800934712.8501</v>
      </c>
    </row>
    <row r="586" spans="1:3" x14ac:dyDescent="0.25">
      <c r="A586" s="2">
        <v>585</v>
      </c>
      <c r="B586" s="2">
        <v>51009290476.190399</v>
      </c>
      <c r="C586" s="3">
        <f ca="1">IFERROR(__xludf.DUMMYFUNCTION("B586*GOOGLEFINANCE(""CURRENCY:AUDINR"")"),2712564397549.28)</f>
        <v>2712564397549.2798</v>
      </c>
    </row>
    <row r="587" spans="1:3" x14ac:dyDescent="0.25">
      <c r="A587" s="2">
        <v>586</v>
      </c>
      <c r="B587" s="2">
        <v>51136476190.476097</v>
      </c>
      <c r="C587" s="3">
        <f ca="1">IFERROR(__xludf.DUMMYFUNCTION("B587*GOOGLEFINANCE(""CURRENCY:AUDINR"")"),2719327860385.7)</f>
        <v>2719327860385.7002</v>
      </c>
    </row>
    <row r="588" spans="1:3" x14ac:dyDescent="0.25">
      <c r="A588" s="2">
        <v>587</v>
      </c>
      <c r="B588" s="2">
        <v>51263661904.761803</v>
      </c>
      <c r="C588" s="3">
        <f ca="1">IFERROR(__xludf.DUMMYFUNCTION("B588*GOOGLEFINANCE(""CURRENCY:AUDINR"")"),2726091323222.13)</f>
        <v>2726091323222.1299</v>
      </c>
    </row>
    <row r="589" spans="1:3" x14ac:dyDescent="0.25">
      <c r="A589" s="2">
        <v>588</v>
      </c>
      <c r="B589" s="2">
        <v>51390847619.047501</v>
      </c>
      <c r="C589" s="3">
        <f ca="1">IFERROR(__xludf.DUMMYFUNCTION("B589*GOOGLEFINANCE(""CURRENCY:AUDINR"")"),2732854786058.56)</f>
        <v>2732854786058.5601</v>
      </c>
    </row>
    <row r="590" spans="1:3" x14ac:dyDescent="0.25">
      <c r="A590" s="2">
        <v>589</v>
      </c>
      <c r="B590" s="2">
        <v>51518033333.333199</v>
      </c>
      <c r="C590" s="3">
        <f ca="1">IFERROR(__xludf.DUMMYFUNCTION("B590*GOOGLEFINANCE(""CURRENCY:AUDINR"")"),2739618248894.99)</f>
        <v>2739618248894.9902</v>
      </c>
    </row>
    <row r="591" spans="1:3" x14ac:dyDescent="0.25">
      <c r="A591" s="2">
        <v>590</v>
      </c>
      <c r="B591" s="2">
        <v>51645219047.618896</v>
      </c>
      <c r="C591" s="3">
        <f ca="1">IFERROR(__xludf.DUMMYFUNCTION("B591*GOOGLEFINANCE(""CURRENCY:AUDINR"")"),2746381711731.42)</f>
        <v>2746381711731.4199</v>
      </c>
    </row>
    <row r="592" spans="1:3" x14ac:dyDescent="0.25">
      <c r="A592" s="2">
        <v>591</v>
      </c>
      <c r="B592" s="2">
        <v>51772404761.904701</v>
      </c>
      <c r="C592" s="3">
        <f ca="1">IFERROR(__xludf.DUMMYFUNCTION("B592*GOOGLEFINANCE(""CURRENCY:AUDINR"")"),2753145174567.85)</f>
        <v>2753145174567.8501</v>
      </c>
    </row>
    <row r="593" spans="1:3" x14ac:dyDescent="0.25">
      <c r="A593" s="2">
        <v>592</v>
      </c>
      <c r="B593" s="2">
        <v>51899590476.190399</v>
      </c>
      <c r="C593" s="3">
        <f ca="1">IFERROR(__xludf.DUMMYFUNCTION("B593*GOOGLEFINANCE(""CURRENCY:AUDINR"")"),2759908637404.28)</f>
        <v>2759908637404.2798</v>
      </c>
    </row>
    <row r="594" spans="1:3" x14ac:dyDescent="0.25">
      <c r="A594" s="2">
        <v>593</v>
      </c>
      <c r="B594" s="2">
        <v>52026776190.476097</v>
      </c>
      <c r="C594" s="3">
        <f ca="1">IFERROR(__xludf.DUMMYFUNCTION("B594*GOOGLEFINANCE(""CURRENCY:AUDINR"")"),2766672100240.7)</f>
        <v>2766672100240.7002</v>
      </c>
    </row>
    <row r="595" spans="1:3" x14ac:dyDescent="0.25">
      <c r="A595" s="2">
        <v>594</v>
      </c>
      <c r="B595" s="2">
        <v>52153961904.761803</v>
      </c>
      <c r="C595" s="3">
        <f ca="1">IFERROR(__xludf.DUMMYFUNCTION("B595*GOOGLEFINANCE(""CURRENCY:AUDINR"")"),2773435563077.13)</f>
        <v>2773435563077.1299</v>
      </c>
    </row>
    <row r="596" spans="1:3" x14ac:dyDescent="0.25">
      <c r="A596" s="2">
        <v>595</v>
      </c>
      <c r="B596" s="2">
        <v>52281147619.047501</v>
      </c>
      <c r="C596" s="3">
        <f ca="1">IFERROR(__xludf.DUMMYFUNCTION("B596*GOOGLEFINANCE(""CURRENCY:AUDINR"")"),2780199025913.56)</f>
        <v>2780199025913.5601</v>
      </c>
    </row>
    <row r="597" spans="1:3" x14ac:dyDescent="0.25">
      <c r="A597" s="2">
        <v>596</v>
      </c>
      <c r="B597" s="2">
        <v>52408333333.333199</v>
      </c>
      <c r="C597" s="3">
        <f ca="1">IFERROR(__xludf.DUMMYFUNCTION("B597*GOOGLEFINANCE(""CURRENCY:AUDINR"")"),2786962488749.99)</f>
        <v>2786962488749.9902</v>
      </c>
    </row>
    <row r="598" spans="1:3" x14ac:dyDescent="0.25">
      <c r="A598" s="2">
        <v>597</v>
      </c>
      <c r="B598" s="2">
        <v>52535519047.618896</v>
      </c>
      <c r="C598" s="3">
        <f ca="1">IFERROR(__xludf.DUMMYFUNCTION("B598*GOOGLEFINANCE(""CURRENCY:AUDINR"")"),2793725951586.42)</f>
        <v>2793725951586.4199</v>
      </c>
    </row>
    <row r="599" spans="1:3" x14ac:dyDescent="0.25">
      <c r="A599" s="2">
        <v>598</v>
      </c>
      <c r="B599" s="2">
        <v>52662704761.904701</v>
      </c>
      <c r="C599" s="3">
        <f ca="1">IFERROR(__xludf.DUMMYFUNCTION("B599*GOOGLEFINANCE(""CURRENCY:AUDINR"")"),2800489414422.85)</f>
        <v>2800489414422.8501</v>
      </c>
    </row>
    <row r="600" spans="1:3" x14ac:dyDescent="0.25">
      <c r="A600" s="2">
        <v>599</v>
      </c>
      <c r="B600" s="2">
        <v>52789890476.190399</v>
      </c>
      <c r="C600" s="3">
        <f ca="1">IFERROR(__xludf.DUMMYFUNCTION("B600*GOOGLEFINANCE(""CURRENCY:AUDINR"")"),2807252877259.28)</f>
        <v>2807252877259.2798</v>
      </c>
    </row>
    <row r="601" spans="1:3" x14ac:dyDescent="0.25">
      <c r="A601" s="2">
        <v>600</v>
      </c>
      <c r="B601" s="2">
        <v>52917076190.476097</v>
      </c>
      <c r="C601" s="3">
        <f ca="1">IFERROR(__xludf.DUMMYFUNCTION("B601*GOOGLEFINANCE(""CURRENCY:AUDINR"")"),2814016340095.7)</f>
        <v>2814016340095.7002</v>
      </c>
    </row>
    <row r="602" spans="1:3" x14ac:dyDescent="0.25">
      <c r="A602" s="2">
        <v>601</v>
      </c>
      <c r="B602" s="2">
        <v>53044261904.761803</v>
      </c>
      <c r="C602" s="3">
        <f ca="1">IFERROR(__xludf.DUMMYFUNCTION("B602*GOOGLEFINANCE(""CURRENCY:AUDINR"")"),2820779802932.13)</f>
        <v>2820779802932.1299</v>
      </c>
    </row>
    <row r="603" spans="1:3" x14ac:dyDescent="0.25">
      <c r="A603" s="2">
        <v>602</v>
      </c>
      <c r="B603" s="2">
        <v>53171447619.047501</v>
      </c>
      <c r="C603" s="3">
        <f ca="1">IFERROR(__xludf.DUMMYFUNCTION("B603*GOOGLEFINANCE(""CURRENCY:AUDINR"")"),2827543265768.56)</f>
        <v>2827543265768.5601</v>
      </c>
    </row>
    <row r="604" spans="1:3" x14ac:dyDescent="0.25">
      <c r="A604" s="2">
        <v>603</v>
      </c>
      <c r="B604" s="2">
        <v>53298633333.333199</v>
      </c>
      <c r="C604" s="3">
        <f ca="1">IFERROR(__xludf.DUMMYFUNCTION("B604*GOOGLEFINANCE(""CURRENCY:AUDINR"")"),2834306728604.99)</f>
        <v>2834306728604.9902</v>
      </c>
    </row>
    <row r="605" spans="1:3" x14ac:dyDescent="0.25">
      <c r="A605" s="2">
        <v>604</v>
      </c>
      <c r="B605" s="2">
        <v>53425819047.618896</v>
      </c>
      <c r="C605" s="3">
        <f ca="1">IFERROR(__xludf.DUMMYFUNCTION("B605*GOOGLEFINANCE(""CURRENCY:AUDINR"")"),2841070191441.42)</f>
        <v>2841070191441.4199</v>
      </c>
    </row>
    <row r="606" spans="1:3" x14ac:dyDescent="0.25">
      <c r="A606" s="2">
        <v>605</v>
      </c>
      <c r="B606" s="2">
        <v>53553004761.904701</v>
      </c>
      <c r="C606" s="3">
        <f ca="1">IFERROR(__xludf.DUMMYFUNCTION("B606*GOOGLEFINANCE(""CURRENCY:AUDINR"")"),2847833654277.85)</f>
        <v>2847833654277.8501</v>
      </c>
    </row>
    <row r="607" spans="1:3" x14ac:dyDescent="0.25">
      <c r="A607" s="2">
        <v>606</v>
      </c>
      <c r="B607" s="2">
        <v>53680190476.190399</v>
      </c>
      <c r="C607" s="3">
        <f ca="1">IFERROR(__xludf.DUMMYFUNCTION("B607*GOOGLEFINANCE(""CURRENCY:AUDINR"")"),2854597117114.28)</f>
        <v>2854597117114.2798</v>
      </c>
    </row>
    <row r="608" spans="1:3" x14ac:dyDescent="0.25">
      <c r="A608" s="2">
        <v>607</v>
      </c>
      <c r="B608" s="2">
        <v>53807376190.476097</v>
      </c>
      <c r="C608" s="3">
        <f ca="1">IFERROR(__xludf.DUMMYFUNCTION("B608*GOOGLEFINANCE(""CURRENCY:AUDINR"")"),2861360579950.7)</f>
        <v>2861360579950.7002</v>
      </c>
    </row>
    <row r="609" spans="1:3" x14ac:dyDescent="0.25">
      <c r="A609" s="2">
        <v>608</v>
      </c>
      <c r="B609" s="2">
        <v>53934561904.761803</v>
      </c>
      <c r="C609" s="3">
        <f ca="1">IFERROR(__xludf.DUMMYFUNCTION("B609*GOOGLEFINANCE(""CURRENCY:AUDINR"")"),2868124042787.13)</f>
        <v>2868124042787.1299</v>
      </c>
    </row>
    <row r="610" spans="1:3" x14ac:dyDescent="0.25">
      <c r="A610" s="2">
        <v>609</v>
      </c>
      <c r="B610" s="2">
        <v>54061747619.047501</v>
      </c>
      <c r="C610" s="3">
        <f ca="1">IFERROR(__xludf.DUMMYFUNCTION("B610*GOOGLEFINANCE(""CURRENCY:AUDINR"")"),2874887505623.56)</f>
        <v>2874887505623.5601</v>
      </c>
    </row>
    <row r="611" spans="1:3" x14ac:dyDescent="0.25">
      <c r="A611" s="2">
        <v>610</v>
      </c>
      <c r="B611" s="2">
        <v>54188933333.333199</v>
      </c>
      <c r="C611" s="3">
        <f ca="1">IFERROR(__xludf.DUMMYFUNCTION("B611*GOOGLEFINANCE(""CURRENCY:AUDINR"")"),2881650968459.99)</f>
        <v>2881650968459.9902</v>
      </c>
    </row>
    <row r="612" spans="1:3" x14ac:dyDescent="0.25">
      <c r="A612" s="2">
        <v>611</v>
      </c>
      <c r="B612" s="2">
        <v>54316119047.618896</v>
      </c>
      <c r="C612" s="3">
        <f ca="1">IFERROR(__xludf.DUMMYFUNCTION("B612*GOOGLEFINANCE(""CURRENCY:AUDINR"")"),2888414431296.42)</f>
        <v>2888414431296.4199</v>
      </c>
    </row>
    <row r="613" spans="1:3" x14ac:dyDescent="0.25">
      <c r="A613" s="2">
        <v>612</v>
      </c>
      <c r="B613" s="2">
        <v>54443304761.904602</v>
      </c>
      <c r="C613" s="3">
        <f ca="1">IFERROR(__xludf.DUMMYFUNCTION("B613*GOOGLEFINANCE(""CURRENCY:AUDINR"")"),2895177894132.84)</f>
        <v>2895177894132.8398</v>
      </c>
    </row>
    <row r="614" spans="1:3" x14ac:dyDescent="0.25">
      <c r="A614" s="2">
        <v>613</v>
      </c>
      <c r="B614" s="2">
        <v>54570490476.190399</v>
      </c>
      <c r="C614" s="3">
        <f ca="1">IFERROR(__xludf.DUMMYFUNCTION("B614*GOOGLEFINANCE(""CURRENCY:AUDINR"")"),2901941356969.28)</f>
        <v>2901941356969.2798</v>
      </c>
    </row>
    <row r="615" spans="1:3" x14ac:dyDescent="0.25">
      <c r="A615" s="2">
        <v>614</v>
      </c>
      <c r="B615" s="2">
        <v>54697676190.476097</v>
      </c>
      <c r="C615" s="3">
        <f ca="1">IFERROR(__xludf.DUMMYFUNCTION("B615*GOOGLEFINANCE(""CURRENCY:AUDINR"")"),2908704819805.7)</f>
        <v>2908704819805.7002</v>
      </c>
    </row>
    <row r="616" spans="1:3" x14ac:dyDescent="0.25">
      <c r="A616" s="2">
        <v>615</v>
      </c>
      <c r="B616" s="2">
        <v>54824861904.761803</v>
      </c>
      <c r="C616" s="3">
        <f ca="1">IFERROR(__xludf.DUMMYFUNCTION("B616*GOOGLEFINANCE(""CURRENCY:AUDINR"")"),2915468282642.13)</f>
        <v>2915468282642.1299</v>
      </c>
    </row>
    <row r="617" spans="1:3" x14ac:dyDescent="0.25">
      <c r="A617" s="2">
        <v>616</v>
      </c>
      <c r="B617" s="2">
        <v>54952047619.047501</v>
      </c>
      <c r="C617" s="3">
        <f ca="1">IFERROR(__xludf.DUMMYFUNCTION("B617*GOOGLEFINANCE(""CURRENCY:AUDINR"")"),2922231745478.56)</f>
        <v>2922231745478.5601</v>
      </c>
    </row>
    <row r="618" spans="1:3" x14ac:dyDescent="0.25">
      <c r="A618" s="2">
        <v>617</v>
      </c>
      <c r="B618" s="2">
        <v>55079233333.333199</v>
      </c>
      <c r="C618" s="3">
        <f ca="1">IFERROR(__xludf.DUMMYFUNCTION("B618*GOOGLEFINANCE(""CURRENCY:AUDINR"")"),2928995208314.99)</f>
        <v>2928995208314.9902</v>
      </c>
    </row>
    <row r="619" spans="1:3" x14ac:dyDescent="0.25">
      <c r="A619" s="2">
        <v>618</v>
      </c>
      <c r="B619" s="2">
        <v>55206419047.618896</v>
      </c>
      <c r="C619" s="3">
        <f ca="1">IFERROR(__xludf.DUMMYFUNCTION("B619*GOOGLEFINANCE(""CURRENCY:AUDINR"")"),2935758671151.42)</f>
        <v>2935758671151.4199</v>
      </c>
    </row>
    <row r="620" spans="1:3" x14ac:dyDescent="0.25">
      <c r="A620" s="2">
        <v>619</v>
      </c>
      <c r="B620" s="2">
        <v>55333604761.904602</v>
      </c>
      <c r="C620" s="3">
        <f ca="1">IFERROR(__xludf.DUMMYFUNCTION("B620*GOOGLEFINANCE(""CURRENCY:AUDINR"")"),2942522133987.84)</f>
        <v>2942522133987.8398</v>
      </c>
    </row>
    <row r="621" spans="1:3" x14ac:dyDescent="0.25">
      <c r="A621" s="2">
        <v>620</v>
      </c>
      <c r="B621" s="2">
        <v>55460790476.190399</v>
      </c>
      <c r="C621" s="3">
        <f ca="1">IFERROR(__xludf.DUMMYFUNCTION("B621*GOOGLEFINANCE(""CURRENCY:AUDINR"")"),2949285596824.28)</f>
        <v>2949285596824.2798</v>
      </c>
    </row>
    <row r="622" spans="1:3" x14ac:dyDescent="0.25">
      <c r="A622" s="2">
        <v>621</v>
      </c>
      <c r="B622" s="2">
        <v>55587976190.476097</v>
      </c>
      <c r="C622" s="3">
        <f ca="1">IFERROR(__xludf.DUMMYFUNCTION("B622*GOOGLEFINANCE(""CURRENCY:AUDINR"")"),2956049059660.7)</f>
        <v>2956049059660.7002</v>
      </c>
    </row>
    <row r="623" spans="1:3" x14ac:dyDescent="0.25">
      <c r="A623" s="2">
        <v>622</v>
      </c>
      <c r="B623" s="2">
        <v>55715161904.761803</v>
      </c>
      <c r="C623" s="3">
        <f ca="1">IFERROR(__xludf.DUMMYFUNCTION("B623*GOOGLEFINANCE(""CURRENCY:AUDINR"")"),2962812522497.13)</f>
        <v>2962812522497.1299</v>
      </c>
    </row>
    <row r="624" spans="1:3" x14ac:dyDescent="0.25">
      <c r="A624" s="2">
        <v>623</v>
      </c>
      <c r="B624" s="2">
        <v>55842347619.047501</v>
      </c>
      <c r="C624" s="3">
        <f ca="1">IFERROR(__xludf.DUMMYFUNCTION("B624*GOOGLEFINANCE(""CURRENCY:AUDINR"")"),2969575985333.56)</f>
        <v>2969575985333.5601</v>
      </c>
    </row>
    <row r="625" spans="1:3" x14ac:dyDescent="0.25">
      <c r="A625" s="2">
        <v>624</v>
      </c>
      <c r="B625" s="2">
        <v>55969533333.333199</v>
      </c>
      <c r="C625" s="3">
        <f ca="1">IFERROR(__xludf.DUMMYFUNCTION("B625*GOOGLEFINANCE(""CURRENCY:AUDINR"")"),2976339448169.99)</f>
        <v>2976339448169.9902</v>
      </c>
    </row>
    <row r="626" spans="1:3" x14ac:dyDescent="0.25">
      <c r="A626" s="2">
        <v>625</v>
      </c>
      <c r="B626" s="2">
        <v>56096719047.618896</v>
      </c>
      <c r="C626" s="3">
        <f ca="1">IFERROR(__xludf.DUMMYFUNCTION("B626*GOOGLEFINANCE(""CURRENCY:AUDINR"")"),2983102911006.42)</f>
        <v>2983102911006.4199</v>
      </c>
    </row>
    <row r="627" spans="1:3" x14ac:dyDescent="0.25">
      <c r="A627" s="2">
        <v>626</v>
      </c>
      <c r="B627" s="2">
        <v>56223904761.904602</v>
      </c>
      <c r="C627" s="3">
        <f ca="1">IFERROR(__xludf.DUMMYFUNCTION("B627*GOOGLEFINANCE(""CURRENCY:AUDINR"")"),2989866373842.84)</f>
        <v>2989866373842.8398</v>
      </c>
    </row>
    <row r="628" spans="1:3" x14ac:dyDescent="0.25">
      <c r="A628" s="2">
        <v>627</v>
      </c>
      <c r="B628" s="2">
        <v>56351090476.190399</v>
      </c>
      <c r="C628" s="3">
        <f ca="1">IFERROR(__xludf.DUMMYFUNCTION("B628*GOOGLEFINANCE(""CURRENCY:AUDINR"")"),2996629836679.28)</f>
        <v>2996629836679.2798</v>
      </c>
    </row>
    <row r="629" spans="1:3" x14ac:dyDescent="0.25">
      <c r="A629" s="2">
        <v>628</v>
      </c>
      <c r="B629" s="2">
        <v>56478276190.476097</v>
      </c>
      <c r="C629" s="3">
        <f ca="1">IFERROR(__xludf.DUMMYFUNCTION("B629*GOOGLEFINANCE(""CURRENCY:AUDINR"")"),3003393299515.7)</f>
        <v>3003393299515.7002</v>
      </c>
    </row>
    <row r="630" spans="1:3" x14ac:dyDescent="0.25">
      <c r="A630" s="2">
        <v>629</v>
      </c>
      <c r="B630" s="2">
        <v>56605461904.761803</v>
      </c>
      <c r="C630" s="3">
        <f ca="1">IFERROR(__xludf.DUMMYFUNCTION("B630*GOOGLEFINANCE(""CURRENCY:AUDINR"")"),3010156762352.13)</f>
        <v>3010156762352.1299</v>
      </c>
    </row>
    <row r="631" spans="1:3" x14ac:dyDescent="0.25">
      <c r="A631" s="2">
        <v>630</v>
      </c>
      <c r="B631" s="2">
        <v>56732647619.047501</v>
      </c>
      <c r="C631" s="3">
        <f ca="1">IFERROR(__xludf.DUMMYFUNCTION("B631*GOOGLEFINANCE(""CURRENCY:AUDINR"")"),3016920225188.56)</f>
        <v>3016920225188.5601</v>
      </c>
    </row>
    <row r="632" spans="1:3" x14ac:dyDescent="0.25">
      <c r="A632" s="2">
        <v>631</v>
      </c>
      <c r="B632" s="2">
        <v>56859833333.333199</v>
      </c>
      <c r="C632" s="3">
        <f ca="1">IFERROR(__xludf.DUMMYFUNCTION("B632*GOOGLEFINANCE(""CURRENCY:AUDINR"")"),3023683688024.99)</f>
        <v>3023683688024.9902</v>
      </c>
    </row>
    <row r="633" spans="1:3" x14ac:dyDescent="0.25">
      <c r="A633" s="2">
        <v>632</v>
      </c>
      <c r="B633" s="2">
        <v>56987019047.618896</v>
      </c>
      <c r="C633" s="3">
        <f ca="1">IFERROR(__xludf.DUMMYFUNCTION("B633*GOOGLEFINANCE(""CURRENCY:AUDINR"")"),3030447150861.42)</f>
        <v>3030447150861.4199</v>
      </c>
    </row>
    <row r="634" spans="1:3" x14ac:dyDescent="0.25">
      <c r="A634" s="2">
        <v>633</v>
      </c>
      <c r="B634" s="2">
        <v>57114204761.904602</v>
      </c>
      <c r="C634" s="3">
        <f ca="1">IFERROR(__xludf.DUMMYFUNCTION("B634*GOOGLEFINANCE(""CURRENCY:AUDINR"")"),3037210613697.84)</f>
        <v>3037210613697.8398</v>
      </c>
    </row>
    <row r="635" spans="1:3" x14ac:dyDescent="0.25">
      <c r="A635" s="2">
        <v>634</v>
      </c>
      <c r="B635" s="2">
        <v>57241390476.190399</v>
      </c>
      <c r="C635" s="3">
        <f ca="1">IFERROR(__xludf.DUMMYFUNCTION("B635*GOOGLEFINANCE(""CURRENCY:AUDINR"")"),3043974076534.28)</f>
        <v>3043974076534.2798</v>
      </c>
    </row>
    <row r="636" spans="1:3" x14ac:dyDescent="0.25">
      <c r="A636" s="2">
        <v>635</v>
      </c>
      <c r="B636" s="2">
        <v>57368576190.476097</v>
      </c>
      <c r="C636" s="3">
        <f ca="1">IFERROR(__xludf.DUMMYFUNCTION("B636*GOOGLEFINANCE(""CURRENCY:AUDINR"")"),3050737539370.7)</f>
        <v>3050737539370.7002</v>
      </c>
    </row>
    <row r="637" spans="1:3" x14ac:dyDescent="0.25">
      <c r="A637" s="2">
        <v>636</v>
      </c>
      <c r="B637" s="2">
        <v>57495761904.761803</v>
      </c>
      <c r="C637" s="3">
        <f ca="1">IFERROR(__xludf.DUMMYFUNCTION("B637*GOOGLEFINANCE(""CURRENCY:AUDINR"")"),3057501002207.13)</f>
        <v>3057501002207.1299</v>
      </c>
    </row>
    <row r="638" spans="1:3" x14ac:dyDescent="0.25">
      <c r="A638" s="2">
        <v>637</v>
      </c>
      <c r="B638" s="2">
        <v>57622947619.047501</v>
      </c>
      <c r="C638" s="3">
        <f ca="1">IFERROR(__xludf.DUMMYFUNCTION("B638*GOOGLEFINANCE(""CURRENCY:AUDINR"")"),3064264465043.56)</f>
        <v>3064264465043.5601</v>
      </c>
    </row>
    <row r="639" spans="1:3" x14ac:dyDescent="0.25">
      <c r="A639" s="2">
        <v>638</v>
      </c>
      <c r="B639" s="2">
        <v>57750133333.333199</v>
      </c>
      <c r="C639" s="3">
        <f ca="1">IFERROR(__xludf.DUMMYFUNCTION("B639*GOOGLEFINANCE(""CURRENCY:AUDINR"")"),3071027927879.99)</f>
        <v>3071027927879.9902</v>
      </c>
    </row>
    <row r="640" spans="1:3" x14ac:dyDescent="0.25">
      <c r="A640" s="2">
        <v>639</v>
      </c>
      <c r="B640" s="2">
        <v>57877319047.618896</v>
      </c>
      <c r="C640" s="3">
        <f ca="1">IFERROR(__xludf.DUMMYFUNCTION("B640*GOOGLEFINANCE(""CURRENCY:AUDINR"")"),3077791390716.42)</f>
        <v>3077791390716.4199</v>
      </c>
    </row>
    <row r="641" spans="1:3" x14ac:dyDescent="0.25">
      <c r="A641" s="2">
        <v>640</v>
      </c>
      <c r="B641" s="2">
        <v>58004504761.904602</v>
      </c>
      <c r="C641" s="3">
        <f ca="1">IFERROR(__xludf.DUMMYFUNCTION("B641*GOOGLEFINANCE(""CURRENCY:AUDINR"")"),3084554853552.84)</f>
        <v>3084554853552.8398</v>
      </c>
    </row>
    <row r="642" spans="1:3" x14ac:dyDescent="0.25">
      <c r="A642" s="2">
        <v>641</v>
      </c>
      <c r="B642" s="2">
        <v>58131690476.190399</v>
      </c>
      <c r="C642" s="3">
        <f ca="1">IFERROR(__xludf.DUMMYFUNCTION("B642*GOOGLEFINANCE(""CURRENCY:AUDINR"")"),3091318316389.28)</f>
        <v>3091318316389.2798</v>
      </c>
    </row>
    <row r="643" spans="1:3" x14ac:dyDescent="0.25">
      <c r="A643" s="2">
        <v>642</v>
      </c>
      <c r="B643" s="2">
        <v>58258876190.476097</v>
      </c>
      <c r="C643" s="3">
        <f ca="1">IFERROR(__xludf.DUMMYFUNCTION("B643*GOOGLEFINANCE(""CURRENCY:AUDINR"")"),3098081779225.7)</f>
        <v>3098081779225.7002</v>
      </c>
    </row>
    <row r="644" spans="1:3" x14ac:dyDescent="0.25">
      <c r="A644" s="2">
        <v>643</v>
      </c>
      <c r="B644" s="2">
        <v>58386061904.761803</v>
      </c>
      <c r="C644" s="3">
        <f ca="1">IFERROR(__xludf.DUMMYFUNCTION("B644*GOOGLEFINANCE(""CURRENCY:AUDINR"")"),3104845242062.13)</f>
        <v>3104845242062.1299</v>
      </c>
    </row>
    <row r="645" spans="1:3" x14ac:dyDescent="0.25">
      <c r="A645" s="2">
        <v>644</v>
      </c>
      <c r="B645" s="2">
        <v>58513247619.047501</v>
      </c>
      <c r="C645" s="3">
        <f ca="1">IFERROR(__xludf.DUMMYFUNCTION("B645*GOOGLEFINANCE(""CURRENCY:AUDINR"")"),3111608704898.56)</f>
        <v>3111608704898.5601</v>
      </c>
    </row>
    <row r="646" spans="1:3" x14ac:dyDescent="0.25">
      <c r="A646" s="2">
        <v>645</v>
      </c>
      <c r="B646" s="2">
        <v>58640433333.333199</v>
      </c>
      <c r="C646" s="3">
        <f ca="1">IFERROR(__xludf.DUMMYFUNCTION("B646*GOOGLEFINANCE(""CURRENCY:AUDINR"")"),3118372167734.99)</f>
        <v>3118372167734.9902</v>
      </c>
    </row>
    <row r="647" spans="1:3" x14ac:dyDescent="0.25">
      <c r="A647" s="2">
        <v>646</v>
      </c>
      <c r="B647" s="2">
        <v>58767619047.618896</v>
      </c>
      <c r="C647" s="3">
        <f ca="1">IFERROR(__xludf.DUMMYFUNCTION("B647*GOOGLEFINANCE(""CURRENCY:AUDINR"")"),3125135630571.42)</f>
        <v>3125135630571.4199</v>
      </c>
    </row>
    <row r="648" spans="1:3" x14ac:dyDescent="0.25">
      <c r="A648" s="2">
        <v>647</v>
      </c>
      <c r="B648" s="2">
        <v>58894804761.904602</v>
      </c>
      <c r="C648" s="3">
        <f ca="1">IFERROR(__xludf.DUMMYFUNCTION("B648*GOOGLEFINANCE(""CURRENCY:AUDINR"")"),3131899093407.84)</f>
        <v>3131899093407.8398</v>
      </c>
    </row>
    <row r="649" spans="1:3" x14ac:dyDescent="0.25">
      <c r="A649" s="2">
        <v>648</v>
      </c>
      <c r="B649" s="2">
        <v>59021990476.190399</v>
      </c>
      <c r="C649" s="3">
        <f ca="1">IFERROR(__xludf.DUMMYFUNCTION("B649*GOOGLEFINANCE(""CURRENCY:AUDINR"")"),3138662556244.28)</f>
        <v>3138662556244.2798</v>
      </c>
    </row>
    <row r="650" spans="1:3" x14ac:dyDescent="0.25">
      <c r="A650" s="2">
        <v>649</v>
      </c>
      <c r="B650" s="2">
        <v>59149176190.476097</v>
      </c>
      <c r="C650" s="3">
        <f ca="1">IFERROR(__xludf.DUMMYFUNCTION("B650*GOOGLEFINANCE(""CURRENCY:AUDINR"")"),3145426019080.7)</f>
        <v>3145426019080.7002</v>
      </c>
    </row>
    <row r="651" spans="1:3" x14ac:dyDescent="0.25">
      <c r="A651" s="2">
        <v>650</v>
      </c>
      <c r="B651" s="2">
        <v>59276361904.761803</v>
      </c>
      <c r="C651" s="3">
        <f ca="1">IFERROR(__xludf.DUMMYFUNCTION("B651*GOOGLEFINANCE(""CURRENCY:AUDINR"")"),3152189481917.13)</f>
        <v>3152189481917.1299</v>
      </c>
    </row>
    <row r="652" spans="1:3" x14ac:dyDescent="0.25">
      <c r="A652" s="2">
        <v>651</v>
      </c>
      <c r="B652" s="2">
        <v>59403547619.047501</v>
      </c>
      <c r="C652" s="3">
        <f ca="1">IFERROR(__xludf.DUMMYFUNCTION("B652*GOOGLEFINANCE(""CURRENCY:AUDINR"")"),3158952944753.56)</f>
        <v>3158952944753.5601</v>
      </c>
    </row>
    <row r="653" spans="1:3" x14ac:dyDescent="0.25">
      <c r="A653" s="2">
        <v>652</v>
      </c>
      <c r="B653" s="2">
        <v>59530733333.333199</v>
      </c>
      <c r="C653" s="3">
        <f ca="1">IFERROR(__xludf.DUMMYFUNCTION("B653*GOOGLEFINANCE(""CURRENCY:AUDINR"")"),3165716407589.99)</f>
        <v>3165716407589.9902</v>
      </c>
    </row>
    <row r="654" spans="1:3" x14ac:dyDescent="0.25">
      <c r="A654" s="2">
        <v>653</v>
      </c>
      <c r="B654" s="2">
        <v>59657919047.618896</v>
      </c>
      <c r="C654" s="3">
        <f ca="1">IFERROR(__xludf.DUMMYFUNCTION("B654*GOOGLEFINANCE(""CURRENCY:AUDINR"")"),3172479870426.42)</f>
        <v>3172479870426.4199</v>
      </c>
    </row>
    <row r="655" spans="1:3" x14ac:dyDescent="0.25">
      <c r="A655" s="2">
        <v>654</v>
      </c>
      <c r="B655" s="2">
        <v>59785104761.904602</v>
      </c>
      <c r="C655" s="3">
        <f ca="1">IFERROR(__xludf.DUMMYFUNCTION("B655*GOOGLEFINANCE(""CURRENCY:AUDINR"")"),3179243333262.84)</f>
        <v>3179243333262.8398</v>
      </c>
    </row>
    <row r="656" spans="1:3" x14ac:dyDescent="0.25">
      <c r="A656" s="2">
        <v>655</v>
      </c>
      <c r="B656" s="2">
        <v>59912290476.190399</v>
      </c>
      <c r="C656" s="3">
        <f ca="1">IFERROR(__xludf.DUMMYFUNCTION("B656*GOOGLEFINANCE(""CURRENCY:AUDINR"")"),3186006796099.28)</f>
        <v>3186006796099.2798</v>
      </c>
    </row>
    <row r="657" spans="1:3" x14ac:dyDescent="0.25">
      <c r="A657" s="2">
        <v>656</v>
      </c>
      <c r="B657" s="2">
        <v>60039476190.476097</v>
      </c>
      <c r="C657" s="3">
        <f ca="1">IFERROR(__xludf.DUMMYFUNCTION("B657*GOOGLEFINANCE(""CURRENCY:AUDINR"")"),3192770258935.7)</f>
        <v>3192770258935.7002</v>
      </c>
    </row>
    <row r="658" spans="1:3" x14ac:dyDescent="0.25">
      <c r="A658" s="2">
        <v>657</v>
      </c>
      <c r="B658" s="2">
        <v>60166661904.761803</v>
      </c>
      <c r="C658" s="3">
        <f ca="1">IFERROR(__xludf.DUMMYFUNCTION("B658*GOOGLEFINANCE(""CURRENCY:AUDINR"")"),3199533721772.13)</f>
        <v>3199533721772.1299</v>
      </c>
    </row>
    <row r="659" spans="1:3" x14ac:dyDescent="0.25">
      <c r="A659" s="2">
        <v>658</v>
      </c>
      <c r="B659" s="2">
        <v>60293847619.047501</v>
      </c>
      <c r="C659" s="3">
        <f ca="1">IFERROR(__xludf.DUMMYFUNCTION("B659*GOOGLEFINANCE(""CURRENCY:AUDINR"")"),3206297184608.56)</f>
        <v>3206297184608.5601</v>
      </c>
    </row>
    <row r="660" spans="1:3" x14ac:dyDescent="0.25">
      <c r="A660" s="2">
        <v>659</v>
      </c>
      <c r="B660" s="2">
        <v>60421033333.333199</v>
      </c>
      <c r="C660" s="3">
        <f ca="1">IFERROR(__xludf.DUMMYFUNCTION("B660*GOOGLEFINANCE(""CURRENCY:AUDINR"")"),3213060647444.99)</f>
        <v>3213060647444.9902</v>
      </c>
    </row>
    <row r="661" spans="1:3" x14ac:dyDescent="0.25">
      <c r="A661" s="2">
        <v>660</v>
      </c>
      <c r="B661" s="2">
        <v>60548219047.618896</v>
      </c>
      <c r="C661" s="3">
        <f ca="1">IFERROR(__xludf.DUMMYFUNCTION("B661*GOOGLEFINANCE(""CURRENCY:AUDINR"")"),3219824110281.42)</f>
        <v>3219824110281.4199</v>
      </c>
    </row>
    <row r="662" spans="1:3" x14ac:dyDescent="0.25">
      <c r="A662" s="2">
        <v>661</v>
      </c>
      <c r="B662" s="2">
        <v>60675404761.904602</v>
      </c>
      <c r="C662" s="3">
        <f ca="1">IFERROR(__xludf.DUMMYFUNCTION("B662*GOOGLEFINANCE(""CURRENCY:AUDINR"")"),3226587573117.84)</f>
        <v>3226587573117.8398</v>
      </c>
    </row>
    <row r="663" spans="1:3" x14ac:dyDescent="0.25">
      <c r="A663" s="2">
        <v>662</v>
      </c>
      <c r="B663" s="2">
        <v>60802590476.190399</v>
      </c>
      <c r="C663" s="3">
        <f ca="1">IFERROR(__xludf.DUMMYFUNCTION("B663*GOOGLEFINANCE(""CURRENCY:AUDINR"")"),3233351035954.28)</f>
        <v>3233351035954.2798</v>
      </c>
    </row>
    <row r="664" spans="1:3" x14ac:dyDescent="0.25">
      <c r="A664" s="2">
        <v>663</v>
      </c>
      <c r="B664" s="2">
        <v>60929776190.476097</v>
      </c>
      <c r="C664" s="3">
        <f ca="1">IFERROR(__xludf.DUMMYFUNCTION("B664*GOOGLEFINANCE(""CURRENCY:AUDINR"")"),3240114498790.7)</f>
        <v>3240114498790.7002</v>
      </c>
    </row>
    <row r="665" spans="1:3" x14ac:dyDescent="0.25">
      <c r="A665" s="2">
        <v>664</v>
      </c>
      <c r="B665" s="2">
        <v>61056961904.761803</v>
      </c>
      <c r="C665" s="3">
        <f ca="1">IFERROR(__xludf.DUMMYFUNCTION("B665*GOOGLEFINANCE(""CURRENCY:AUDINR"")"),3246877961627.13)</f>
        <v>3246877961627.1299</v>
      </c>
    </row>
    <row r="666" spans="1:3" x14ac:dyDescent="0.25">
      <c r="A666" s="2">
        <v>665</v>
      </c>
      <c r="B666" s="2">
        <v>61184147619.047501</v>
      </c>
      <c r="C666" s="3">
        <f ca="1">IFERROR(__xludf.DUMMYFUNCTION("B666*GOOGLEFINANCE(""CURRENCY:AUDINR"")"),3253641424463.56)</f>
        <v>3253641424463.5601</v>
      </c>
    </row>
    <row r="667" spans="1:3" x14ac:dyDescent="0.25">
      <c r="A667" s="2">
        <v>666</v>
      </c>
      <c r="B667" s="2">
        <v>61311333333.333199</v>
      </c>
      <c r="C667" s="3">
        <f ca="1">IFERROR(__xludf.DUMMYFUNCTION("B667*GOOGLEFINANCE(""CURRENCY:AUDINR"")"),3260404887299.99)</f>
        <v>3260404887299.9902</v>
      </c>
    </row>
    <row r="668" spans="1:3" x14ac:dyDescent="0.25">
      <c r="A668" s="2">
        <v>667</v>
      </c>
      <c r="B668" s="2">
        <v>61438519047.618896</v>
      </c>
      <c r="C668" s="3">
        <f ca="1">IFERROR(__xludf.DUMMYFUNCTION("B668*GOOGLEFINANCE(""CURRENCY:AUDINR"")"),3267168350136.42)</f>
        <v>3267168350136.4199</v>
      </c>
    </row>
    <row r="669" spans="1:3" x14ac:dyDescent="0.25">
      <c r="A669" s="2">
        <v>668</v>
      </c>
      <c r="B669" s="2">
        <v>61565704761.904602</v>
      </c>
      <c r="C669" s="3">
        <f ca="1">IFERROR(__xludf.DUMMYFUNCTION("B669*GOOGLEFINANCE(""CURRENCY:AUDINR"")"),3273931812972.84)</f>
        <v>3273931812972.8398</v>
      </c>
    </row>
    <row r="670" spans="1:3" x14ac:dyDescent="0.25">
      <c r="A670" s="2">
        <v>669</v>
      </c>
      <c r="B670" s="2">
        <v>61692890476.1903</v>
      </c>
      <c r="C670" s="3">
        <f ca="1">IFERROR(__xludf.DUMMYFUNCTION("B670*GOOGLEFINANCE(""CURRENCY:AUDINR"")"),3280695275809.27)</f>
        <v>3280695275809.27</v>
      </c>
    </row>
    <row r="671" spans="1:3" x14ac:dyDescent="0.25">
      <c r="A671" s="2">
        <v>670</v>
      </c>
      <c r="B671" s="2">
        <v>61820076190.476097</v>
      </c>
      <c r="C671" s="3">
        <f ca="1">IFERROR(__xludf.DUMMYFUNCTION("B671*GOOGLEFINANCE(""CURRENCY:AUDINR"")"),3287458738645.7)</f>
        <v>3287458738645.7002</v>
      </c>
    </row>
    <row r="672" spans="1:3" x14ac:dyDescent="0.25">
      <c r="A672" s="2">
        <v>671</v>
      </c>
      <c r="B672" s="2">
        <v>61947261904.761803</v>
      </c>
      <c r="C672" s="3">
        <f ca="1">IFERROR(__xludf.DUMMYFUNCTION("B672*GOOGLEFINANCE(""CURRENCY:AUDINR"")"),3294222201482.13)</f>
        <v>3294222201482.1299</v>
      </c>
    </row>
    <row r="673" spans="1:3" x14ac:dyDescent="0.25">
      <c r="A673" s="2">
        <v>672</v>
      </c>
      <c r="B673" s="2">
        <v>62074447619.047501</v>
      </c>
      <c r="C673" s="3">
        <f ca="1">IFERROR(__xludf.DUMMYFUNCTION("B673*GOOGLEFINANCE(""CURRENCY:AUDINR"")"),3300985664318.56)</f>
        <v>3300985664318.5601</v>
      </c>
    </row>
    <row r="674" spans="1:3" x14ac:dyDescent="0.25">
      <c r="A674" s="2">
        <v>673</v>
      </c>
      <c r="B674" s="2">
        <v>62201633333.333199</v>
      </c>
      <c r="C674" s="3">
        <f ca="1">IFERROR(__xludf.DUMMYFUNCTION("B674*GOOGLEFINANCE(""CURRENCY:AUDINR"")"),3307749127154.99)</f>
        <v>3307749127154.9902</v>
      </c>
    </row>
    <row r="675" spans="1:3" x14ac:dyDescent="0.25">
      <c r="A675" s="2">
        <v>674</v>
      </c>
      <c r="B675" s="2">
        <v>62328819047.618896</v>
      </c>
      <c r="C675" s="3">
        <f ca="1">IFERROR(__xludf.DUMMYFUNCTION("B675*GOOGLEFINANCE(""CURRENCY:AUDINR"")"),3314512589991.42)</f>
        <v>3314512589991.4199</v>
      </c>
    </row>
    <row r="676" spans="1:3" x14ac:dyDescent="0.25">
      <c r="A676" s="2">
        <v>675</v>
      </c>
      <c r="B676" s="2">
        <v>62456004761.904602</v>
      </c>
      <c r="C676" s="3">
        <f ca="1">IFERROR(__xludf.DUMMYFUNCTION("B676*GOOGLEFINANCE(""CURRENCY:AUDINR"")"),3321276052827.84)</f>
        <v>3321276052827.8398</v>
      </c>
    </row>
    <row r="677" spans="1:3" x14ac:dyDescent="0.25">
      <c r="A677" s="2">
        <v>676</v>
      </c>
      <c r="B677" s="2">
        <v>62583190476.1903</v>
      </c>
      <c r="C677" s="3">
        <f ca="1">IFERROR(__xludf.DUMMYFUNCTION("B677*GOOGLEFINANCE(""CURRENCY:AUDINR"")"),3328039515664.27)</f>
        <v>3328039515664.27</v>
      </c>
    </row>
    <row r="678" spans="1:3" x14ac:dyDescent="0.25">
      <c r="A678" s="2">
        <v>677</v>
      </c>
      <c r="B678" s="2">
        <v>62710376190.476097</v>
      </c>
      <c r="C678" s="3">
        <f ca="1">IFERROR(__xludf.DUMMYFUNCTION("B678*GOOGLEFINANCE(""CURRENCY:AUDINR"")"),3334802978500.7)</f>
        <v>3334802978500.7002</v>
      </c>
    </row>
    <row r="679" spans="1:3" x14ac:dyDescent="0.25">
      <c r="A679" s="2">
        <v>678</v>
      </c>
      <c r="B679" s="2">
        <v>62837561904.761803</v>
      </c>
      <c r="C679" s="3">
        <f ca="1">IFERROR(__xludf.DUMMYFUNCTION("B679*GOOGLEFINANCE(""CURRENCY:AUDINR"")"),3341566441337.13)</f>
        <v>3341566441337.1299</v>
      </c>
    </row>
    <row r="680" spans="1:3" x14ac:dyDescent="0.25">
      <c r="A680" s="2">
        <v>679</v>
      </c>
      <c r="B680" s="2">
        <v>62964747619.047501</v>
      </c>
      <c r="C680" s="3">
        <f ca="1">IFERROR(__xludf.DUMMYFUNCTION("B680*GOOGLEFINANCE(""CURRENCY:AUDINR"")"),3348329904173.56)</f>
        <v>3348329904173.5601</v>
      </c>
    </row>
    <row r="681" spans="1:3" x14ac:dyDescent="0.25">
      <c r="A681" s="2">
        <v>680</v>
      </c>
      <c r="B681" s="2">
        <v>63091933333.333199</v>
      </c>
      <c r="C681" s="3">
        <f ca="1">IFERROR(__xludf.DUMMYFUNCTION("B681*GOOGLEFINANCE(""CURRENCY:AUDINR"")"),3355093367009.99)</f>
        <v>3355093367009.9902</v>
      </c>
    </row>
    <row r="682" spans="1:3" x14ac:dyDescent="0.25">
      <c r="A682" s="2">
        <v>681</v>
      </c>
      <c r="B682" s="2">
        <v>63219119047.618896</v>
      </c>
      <c r="C682" s="3">
        <f ca="1">IFERROR(__xludf.DUMMYFUNCTION("B682*GOOGLEFINANCE(""CURRENCY:AUDINR"")"),3361856829846.42)</f>
        <v>3361856829846.4199</v>
      </c>
    </row>
    <row r="683" spans="1:3" x14ac:dyDescent="0.25">
      <c r="A683" s="2">
        <v>682</v>
      </c>
      <c r="B683" s="2">
        <v>63346304761.904602</v>
      </c>
      <c r="C683" s="3">
        <f ca="1">IFERROR(__xludf.DUMMYFUNCTION("B683*GOOGLEFINANCE(""CURRENCY:AUDINR"")"),3368620292682.84)</f>
        <v>3368620292682.8398</v>
      </c>
    </row>
    <row r="684" spans="1:3" x14ac:dyDescent="0.25">
      <c r="A684" s="2">
        <v>683</v>
      </c>
      <c r="B684" s="2">
        <v>63473490476.1903</v>
      </c>
      <c r="C684" s="3">
        <f ca="1">IFERROR(__xludf.DUMMYFUNCTION("B684*GOOGLEFINANCE(""CURRENCY:AUDINR"")"),3375383755519.27)</f>
        <v>3375383755519.27</v>
      </c>
    </row>
    <row r="685" spans="1:3" x14ac:dyDescent="0.25">
      <c r="A685" s="2">
        <v>684</v>
      </c>
      <c r="B685" s="2">
        <v>63600676190.476097</v>
      </c>
      <c r="C685" s="3">
        <f ca="1">IFERROR(__xludf.DUMMYFUNCTION("B685*GOOGLEFINANCE(""CURRENCY:AUDINR"")"),3382147218355.7)</f>
        <v>3382147218355.7002</v>
      </c>
    </row>
    <row r="686" spans="1:3" x14ac:dyDescent="0.25">
      <c r="A686" s="2">
        <v>685</v>
      </c>
      <c r="B686" s="2">
        <v>63727861904.761803</v>
      </c>
      <c r="C686" s="3">
        <f ca="1">IFERROR(__xludf.DUMMYFUNCTION("B686*GOOGLEFINANCE(""CURRENCY:AUDINR"")"),3388910681192.13)</f>
        <v>3388910681192.1299</v>
      </c>
    </row>
    <row r="687" spans="1:3" x14ac:dyDescent="0.25">
      <c r="A687" s="2">
        <v>686</v>
      </c>
      <c r="B687" s="2">
        <v>63855047619.047501</v>
      </c>
      <c r="C687" s="3">
        <f ca="1">IFERROR(__xludf.DUMMYFUNCTION("B687*GOOGLEFINANCE(""CURRENCY:AUDINR"")"),3395674144028.56)</f>
        <v>3395674144028.5601</v>
      </c>
    </row>
    <row r="688" spans="1:3" x14ac:dyDescent="0.25">
      <c r="A688" s="2">
        <v>687</v>
      </c>
      <c r="B688" s="2">
        <v>63982233333.333199</v>
      </c>
      <c r="C688" s="3">
        <f ca="1">IFERROR(__xludf.DUMMYFUNCTION("B688*GOOGLEFINANCE(""CURRENCY:AUDINR"")"),3402437606864.99)</f>
        <v>3402437606864.9902</v>
      </c>
    </row>
    <row r="689" spans="1:3" x14ac:dyDescent="0.25">
      <c r="A689" s="2">
        <v>688</v>
      </c>
      <c r="B689" s="2">
        <v>64109419047.618896</v>
      </c>
      <c r="C689" s="3">
        <f ca="1">IFERROR(__xludf.DUMMYFUNCTION("B689*GOOGLEFINANCE(""CURRENCY:AUDINR"")"),3409201069701.42)</f>
        <v>3409201069701.4199</v>
      </c>
    </row>
    <row r="690" spans="1:3" x14ac:dyDescent="0.25">
      <c r="A690" s="2">
        <v>689</v>
      </c>
      <c r="B690" s="2">
        <v>64236604761.904602</v>
      </c>
      <c r="C690" s="3">
        <f ca="1">IFERROR(__xludf.DUMMYFUNCTION("B690*GOOGLEFINANCE(""CURRENCY:AUDINR"")"),3415964532537.84)</f>
        <v>3415964532537.8398</v>
      </c>
    </row>
    <row r="691" spans="1:3" x14ac:dyDescent="0.25">
      <c r="A691" s="2">
        <v>690</v>
      </c>
      <c r="B691" s="2">
        <v>64363790476.1903</v>
      </c>
      <c r="C691" s="3">
        <f ca="1">IFERROR(__xludf.DUMMYFUNCTION("B691*GOOGLEFINANCE(""CURRENCY:AUDINR"")"),3422727995374.27)</f>
        <v>3422727995374.27</v>
      </c>
    </row>
    <row r="692" spans="1:3" x14ac:dyDescent="0.25">
      <c r="A692" s="2">
        <v>691</v>
      </c>
      <c r="B692" s="2">
        <v>64490976190.476097</v>
      </c>
      <c r="C692" s="3">
        <f ca="1">IFERROR(__xludf.DUMMYFUNCTION("B692*GOOGLEFINANCE(""CURRENCY:AUDINR"")"),3429491458210.7)</f>
        <v>3429491458210.7002</v>
      </c>
    </row>
    <row r="693" spans="1:3" x14ac:dyDescent="0.25">
      <c r="A693" s="2">
        <v>692</v>
      </c>
      <c r="B693" s="2">
        <v>64618161904.761803</v>
      </c>
      <c r="C693" s="3">
        <f ca="1">IFERROR(__xludf.DUMMYFUNCTION("B693*GOOGLEFINANCE(""CURRENCY:AUDINR"")"),3436254921047.13)</f>
        <v>3436254921047.1299</v>
      </c>
    </row>
    <row r="694" spans="1:3" x14ac:dyDescent="0.25">
      <c r="A694" s="2">
        <v>693</v>
      </c>
      <c r="B694" s="2">
        <v>64745347619.047501</v>
      </c>
      <c r="C694" s="3">
        <f ca="1">IFERROR(__xludf.DUMMYFUNCTION("B694*GOOGLEFINANCE(""CURRENCY:AUDINR"")"),3443018383883.56)</f>
        <v>3443018383883.5601</v>
      </c>
    </row>
    <row r="695" spans="1:3" x14ac:dyDescent="0.25">
      <c r="A695" s="2">
        <v>694</v>
      </c>
      <c r="B695" s="2">
        <v>64872533333.333199</v>
      </c>
      <c r="C695" s="3">
        <f ca="1">IFERROR(__xludf.DUMMYFUNCTION("B695*GOOGLEFINANCE(""CURRENCY:AUDINR"")"),3449781846719.99)</f>
        <v>3449781846719.9902</v>
      </c>
    </row>
    <row r="696" spans="1:3" x14ac:dyDescent="0.25">
      <c r="A696" s="2">
        <v>695</v>
      </c>
      <c r="B696" s="2">
        <v>64999719047.618896</v>
      </c>
      <c r="C696" s="3">
        <f ca="1">IFERROR(__xludf.DUMMYFUNCTION("B696*GOOGLEFINANCE(""CURRENCY:AUDINR"")"),3456545309556.42)</f>
        <v>3456545309556.4199</v>
      </c>
    </row>
    <row r="697" spans="1:3" x14ac:dyDescent="0.25">
      <c r="A697" s="2">
        <v>696</v>
      </c>
      <c r="B697" s="2">
        <v>65126904761.904602</v>
      </c>
      <c r="C697" s="3">
        <f ca="1">IFERROR(__xludf.DUMMYFUNCTION("B697*GOOGLEFINANCE(""CURRENCY:AUDINR"")"),3463308772392.84)</f>
        <v>3463308772392.8398</v>
      </c>
    </row>
    <row r="698" spans="1:3" x14ac:dyDescent="0.25">
      <c r="A698" s="2">
        <v>697</v>
      </c>
      <c r="B698" s="2">
        <v>65254090476.1903</v>
      </c>
      <c r="C698" s="3">
        <f ca="1">IFERROR(__xludf.DUMMYFUNCTION("B698*GOOGLEFINANCE(""CURRENCY:AUDINR"")"),3470072235229.27)</f>
        <v>3470072235229.27</v>
      </c>
    </row>
    <row r="699" spans="1:3" x14ac:dyDescent="0.25">
      <c r="A699" s="2">
        <v>698</v>
      </c>
      <c r="B699" s="2">
        <v>65381276190.475998</v>
      </c>
      <c r="C699" s="3">
        <f ca="1">IFERROR(__xludf.DUMMYFUNCTION("B699*GOOGLEFINANCE(""CURRENCY:AUDINR"")"),3476835698065.7)</f>
        <v>3476835698065.7002</v>
      </c>
    </row>
    <row r="700" spans="1:3" x14ac:dyDescent="0.25">
      <c r="A700" s="2">
        <v>699</v>
      </c>
      <c r="B700" s="2">
        <v>65508461904.761803</v>
      </c>
      <c r="C700" s="3">
        <f ca="1">IFERROR(__xludf.DUMMYFUNCTION("B700*GOOGLEFINANCE(""CURRENCY:AUDINR"")"),3483599160902.13)</f>
        <v>3483599160902.1299</v>
      </c>
    </row>
    <row r="701" spans="1:3" x14ac:dyDescent="0.25">
      <c r="A701" s="2">
        <v>700</v>
      </c>
      <c r="B701" s="2">
        <v>65635647619.047501</v>
      </c>
      <c r="C701" s="3">
        <f ca="1">IFERROR(__xludf.DUMMYFUNCTION("B701*GOOGLEFINANCE(""CURRENCY:AUDINR"")"),3490362623738.56)</f>
        <v>3490362623738.5601</v>
      </c>
    </row>
    <row r="702" spans="1:3" x14ac:dyDescent="0.25">
      <c r="A702" s="2">
        <v>701</v>
      </c>
      <c r="B702" s="2">
        <v>65762833333.333199</v>
      </c>
      <c r="C702" s="3">
        <f ca="1">IFERROR(__xludf.DUMMYFUNCTION("B702*GOOGLEFINANCE(""CURRENCY:AUDINR"")"),3497126086574.99)</f>
        <v>3497126086574.9902</v>
      </c>
    </row>
    <row r="703" spans="1:3" x14ac:dyDescent="0.25">
      <c r="A703" s="2">
        <v>702</v>
      </c>
      <c r="B703" s="2">
        <v>65890019047.618896</v>
      </c>
      <c r="C703" s="3">
        <f ca="1">IFERROR(__xludf.DUMMYFUNCTION("B703*GOOGLEFINANCE(""CURRENCY:AUDINR"")"),3503889549411.42)</f>
        <v>3503889549411.4199</v>
      </c>
    </row>
    <row r="704" spans="1:3" x14ac:dyDescent="0.25">
      <c r="A704" s="2">
        <v>703</v>
      </c>
      <c r="B704" s="2">
        <v>66017204761.904602</v>
      </c>
      <c r="C704" s="3">
        <f ca="1">IFERROR(__xludf.DUMMYFUNCTION("B704*GOOGLEFINANCE(""CURRENCY:AUDINR"")"),3510653012247.84)</f>
        <v>3510653012247.8398</v>
      </c>
    </row>
    <row r="705" spans="1:3" x14ac:dyDescent="0.25">
      <c r="A705" s="2">
        <v>704</v>
      </c>
      <c r="B705" s="2">
        <v>66144390476.1903</v>
      </c>
      <c r="C705" s="3">
        <f ca="1">IFERROR(__xludf.DUMMYFUNCTION("B705*GOOGLEFINANCE(""CURRENCY:AUDINR"")"),3517416475084.27)</f>
        <v>3517416475084.27</v>
      </c>
    </row>
    <row r="706" spans="1:3" x14ac:dyDescent="0.25">
      <c r="A706" s="2">
        <v>705</v>
      </c>
      <c r="B706" s="2">
        <v>66271576190.475998</v>
      </c>
      <c r="C706" s="3">
        <f ca="1">IFERROR(__xludf.DUMMYFUNCTION("B706*GOOGLEFINANCE(""CURRENCY:AUDINR"")"),3524179937920.7)</f>
        <v>3524179937920.7002</v>
      </c>
    </row>
    <row r="707" spans="1:3" x14ac:dyDescent="0.25">
      <c r="A707" s="2">
        <v>706</v>
      </c>
      <c r="B707" s="2">
        <v>66398761904.761803</v>
      </c>
      <c r="C707" s="3">
        <f ca="1">IFERROR(__xludf.DUMMYFUNCTION("B707*GOOGLEFINANCE(""CURRENCY:AUDINR"")"),3530943400757.13)</f>
        <v>3530943400757.1299</v>
      </c>
    </row>
    <row r="708" spans="1:3" x14ac:dyDescent="0.25">
      <c r="A708" s="2">
        <v>707</v>
      </c>
      <c r="B708" s="2">
        <v>66525947619.047501</v>
      </c>
      <c r="C708" s="3">
        <f ca="1">IFERROR(__xludf.DUMMYFUNCTION("B708*GOOGLEFINANCE(""CURRENCY:AUDINR"")"),3537706863593.56)</f>
        <v>3537706863593.5601</v>
      </c>
    </row>
    <row r="709" spans="1:3" x14ac:dyDescent="0.25">
      <c r="A709" s="2">
        <v>708</v>
      </c>
      <c r="B709" s="2">
        <v>66653133333.333199</v>
      </c>
      <c r="C709" s="3">
        <f ca="1">IFERROR(__xludf.DUMMYFUNCTION("B709*GOOGLEFINANCE(""CURRENCY:AUDINR"")"),3544470326429.99)</f>
        <v>3544470326429.9902</v>
      </c>
    </row>
    <row r="710" spans="1:3" x14ac:dyDescent="0.25">
      <c r="A710" s="2">
        <v>709</v>
      </c>
      <c r="B710" s="2">
        <v>66780319047.618896</v>
      </c>
      <c r="C710" s="3">
        <f ca="1">IFERROR(__xludf.DUMMYFUNCTION("B710*GOOGLEFINANCE(""CURRENCY:AUDINR"")"),3551233789266.42)</f>
        <v>3551233789266.4199</v>
      </c>
    </row>
    <row r="711" spans="1:3" x14ac:dyDescent="0.25">
      <c r="A711" s="2">
        <v>710</v>
      </c>
      <c r="B711" s="2">
        <v>66907504761.904602</v>
      </c>
      <c r="C711" s="3">
        <f ca="1">IFERROR(__xludf.DUMMYFUNCTION("B711*GOOGLEFINANCE(""CURRENCY:AUDINR"")"),3557997252102.84)</f>
        <v>3557997252102.8398</v>
      </c>
    </row>
    <row r="712" spans="1:3" x14ac:dyDescent="0.25">
      <c r="A712" s="2">
        <v>711</v>
      </c>
      <c r="B712" s="2">
        <v>67034690476.1903</v>
      </c>
      <c r="C712" s="3">
        <f ca="1">IFERROR(__xludf.DUMMYFUNCTION("B712*GOOGLEFINANCE(""CURRENCY:AUDINR"")"),3564760714939.27)</f>
        <v>3564760714939.27</v>
      </c>
    </row>
    <row r="713" spans="1:3" x14ac:dyDescent="0.25">
      <c r="A713" s="2">
        <v>712</v>
      </c>
      <c r="B713" s="2">
        <v>67161876190.475998</v>
      </c>
      <c r="C713" s="3">
        <f ca="1">IFERROR(__xludf.DUMMYFUNCTION("B713*GOOGLEFINANCE(""CURRENCY:AUDINR"")"),3571524177775.7)</f>
        <v>3571524177775.7002</v>
      </c>
    </row>
    <row r="714" spans="1:3" x14ac:dyDescent="0.25">
      <c r="A714" s="2">
        <v>713</v>
      </c>
      <c r="B714" s="2">
        <v>67289061904.761803</v>
      </c>
      <c r="C714" s="3">
        <f ca="1">IFERROR(__xludf.DUMMYFUNCTION("B714*GOOGLEFINANCE(""CURRENCY:AUDINR"")"),3578287640612.13)</f>
        <v>3578287640612.1299</v>
      </c>
    </row>
    <row r="715" spans="1:3" x14ac:dyDescent="0.25">
      <c r="A715" s="2">
        <v>714</v>
      </c>
      <c r="B715" s="2">
        <v>67416247619.047501</v>
      </c>
      <c r="C715" s="3">
        <f ca="1">IFERROR(__xludf.DUMMYFUNCTION("B715*GOOGLEFINANCE(""CURRENCY:AUDINR"")"),3585051103448.56)</f>
        <v>3585051103448.5601</v>
      </c>
    </row>
    <row r="716" spans="1:3" x14ac:dyDescent="0.25">
      <c r="A716" s="2">
        <v>715</v>
      </c>
      <c r="B716" s="2">
        <v>67543433333.333199</v>
      </c>
      <c r="C716" s="3">
        <f ca="1">IFERROR(__xludf.DUMMYFUNCTION("B716*GOOGLEFINANCE(""CURRENCY:AUDINR"")"),3591814566284.99)</f>
        <v>3591814566284.9902</v>
      </c>
    </row>
    <row r="717" spans="1:3" x14ac:dyDescent="0.25">
      <c r="A717" s="2">
        <v>716</v>
      </c>
      <c r="B717" s="2">
        <v>67670619047.618896</v>
      </c>
      <c r="C717" s="3">
        <f ca="1">IFERROR(__xludf.DUMMYFUNCTION("B717*GOOGLEFINANCE(""CURRENCY:AUDINR"")"),3598578029121.42)</f>
        <v>3598578029121.4199</v>
      </c>
    </row>
    <row r="718" spans="1:3" x14ac:dyDescent="0.25">
      <c r="A718" s="2">
        <v>717</v>
      </c>
      <c r="B718" s="2">
        <v>67797804761.904602</v>
      </c>
      <c r="C718" s="3">
        <f ca="1">IFERROR(__xludf.DUMMYFUNCTION("B718*GOOGLEFINANCE(""CURRENCY:AUDINR"")"),3605341491957.84)</f>
        <v>3605341491957.8398</v>
      </c>
    </row>
    <row r="719" spans="1:3" x14ac:dyDescent="0.25">
      <c r="A719" s="2">
        <v>718</v>
      </c>
      <c r="B719" s="2">
        <v>67924990476.1903</v>
      </c>
      <c r="C719" s="3">
        <f ca="1">IFERROR(__xludf.DUMMYFUNCTION("B719*GOOGLEFINANCE(""CURRENCY:AUDINR"")"),3612104954794.27)</f>
        <v>3612104954794.27</v>
      </c>
    </row>
    <row r="720" spans="1:3" x14ac:dyDescent="0.25">
      <c r="A720" s="2">
        <v>719</v>
      </c>
      <c r="B720" s="2">
        <v>68052176190.475998</v>
      </c>
      <c r="C720" s="3">
        <f ca="1">IFERROR(__xludf.DUMMYFUNCTION("B720*GOOGLEFINANCE(""CURRENCY:AUDINR"")"),3618868417630.7)</f>
        <v>3618868417630.7002</v>
      </c>
    </row>
    <row r="721" spans="1:3" x14ac:dyDescent="0.25">
      <c r="A721" s="2">
        <v>720</v>
      </c>
      <c r="B721" s="2">
        <v>68179361904.761803</v>
      </c>
      <c r="C721" s="3">
        <f ca="1">IFERROR(__xludf.DUMMYFUNCTION("B721*GOOGLEFINANCE(""CURRENCY:AUDINR"")"),3625631880467.13)</f>
        <v>3625631880467.1299</v>
      </c>
    </row>
    <row r="722" spans="1:3" x14ac:dyDescent="0.25">
      <c r="A722" s="2">
        <v>721</v>
      </c>
      <c r="B722" s="2">
        <v>68306547619.047501</v>
      </c>
      <c r="C722" s="3">
        <f ca="1">IFERROR(__xludf.DUMMYFUNCTION("B722*GOOGLEFINANCE(""CURRENCY:AUDINR"")"),3632395343303.56)</f>
        <v>3632395343303.5601</v>
      </c>
    </row>
    <row r="723" spans="1:3" x14ac:dyDescent="0.25">
      <c r="A723" s="2">
        <v>722</v>
      </c>
      <c r="B723" s="2">
        <v>68433733333.333199</v>
      </c>
      <c r="C723" s="3">
        <f ca="1">IFERROR(__xludf.DUMMYFUNCTION("B723*GOOGLEFINANCE(""CURRENCY:AUDINR"")"),3639158806139.99)</f>
        <v>3639158806139.9902</v>
      </c>
    </row>
    <row r="724" spans="1:3" x14ac:dyDescent="0.25">
      <c r="A724" s="2">
        <v>723</v>
      </c>
      <c r="B724" s="2">
        <v>68560919047.618896</v>
      </c>
      <c r="C724" s="3">
        <f ca="1">IFERROR(__xludf.DUMMYFUNCTION("B724*GOOGLEFINANCE(""CURRENCY:AUDINR"")"),3645922268976.42)</f>
        <v>3645922268976.4199</v>
      </c>
    </row>
    <row r="725" spans="1:3" x14ac:dyDescent="0.25">
      <c r="A725" s="2">
        <v>724</v>
      </c>
      <c r="B725" s="2">
        <v>68688104761.904602</v>
      </c>
      <c r="C725" s="3">
        <f ca="1">IFERROR(__xludf.DUMMYFUNCTION("B725*GOOGLEFINANCE(""CURRENCY:AUDINR"")"),3652685731812.84)</f>
        <v>3652685731812.8398</v>
      </c>
    </row>
    <row r="726" spans="1:3" x14ac:dyDescent="0.25">
      <c r="A726" s="2">
        <v>725</v>
      </c>
      <c r="B726" s="2">
        <v>68815290476.190308</v>
      </c>
      <c r="C726" s="3">
        <f ca="1">IFERROR(__xludf.DUMMYFUNCTION("B726*GOOGLEFINANCE(""CURRENCY:AUDINR"")"),3659449194649.27)</f>
        <v>3659449194649.27</v>
      </c>
    </row>
    <row r="727" spans="1:3" x14ac:dyDescent="0.25">
      <c r="A727" s="2">
        <v>726</v>
      </c>
      <c r="B727" s="2">
        <v>68942476190.475998</v>
      </c>
      <c r="C727" s="3">
        <f ca="1">IFERROR(__xludf.DUMMYFUNCTION("B727*GOOGLEFINANCE(""CURRENCY:AUDINR"")"),3666212657485.7)</f>
        <v>3666212657485.7002</v>
      </c>
    </row>
    <row r="728" spans="1:3" x14ac:dyDescent="0.25">
      <c r="A728" s="2">
        <v>727</v>
      </c>
      <c r="B728" s="2">
        <v>69069661904.761795</v>
      </c>
      <c r="C728" s="3">
        <f ca="1">IFERROR(__xludf.DUMMYFUNCTION("B728*GOOGLEFINANCE(""CURRENCY:AUDINR"")"),3672976120322.13)</f>
        <v>3672976120322.1299</v>
      </c>
    </row>
    <row r="729" spans="1:3" x14ac:dyDescent="0.25">
      <c r="A729" s="2">
        <v>728</v>
      </c>
      <c r="B729" s="2">
        <v>69196847619.047501</v>
      </c>
      <c r="C729" s="3">
        <f ca="1">IFERROR(__xludf.DUMMYFUNCTION("B729*GOOGLEFINANCE(""CURRENCY:AUDINR"")"),3679739583158.56)</f>
        <v>3679739583158.5601</v>
      </c>
    </row>
    <row r="730" spans="1:3" x14ac:dyDescent="0.25">
      <c r="A730" s="2">
        <v>729</v>
      </c>
      <c r="B730" s="2">
        <v>69324033333.333206</v>
      </c>
      <c r="C730" s="3">
        <f ca="1">IFERROR(__xludf.DUMMYFUNCTION("B730*GOOGLEFINANCE(""CURRENCY:AUDINR"")"),3686503045994.99)</f>
        <v>3686503045994.9902</v>
      </c>
    </row>
    <row r="731" spans="1:3" x14ac:dyDescent="0.25">
      <c r="A731" s="2">
        <v>730</v>
      </c>
      <c r="B731" s="2">
        <v>69451219047.618896</v>
      </c>
      <c r="C731" s="3">
        <f ca="1">IFERROR(__xludf.DUMMYFUNCTION("B731*GOOGLEFINANCE(""CURRENCY:AUDINR"")"),3693266508831.42)</f>
        <v>3693266508831.4199</v>
      </c>
    </row>
    <row r="732" spans="1:3" x14ac:dyDescent="0.25">
      <c r="A732" s="2">
        <v>731</v>
      </c>
      <c r="B732" s="2">
        <v>69578404761.904602</v>
      </c>
      <c r="C732" s="3">
        <f ca="1">IFERROR(__xludf.DUMMYFUNCTION("B732*GOOGLEFINANCE(""CURRENCY:AUDINR"")"),3700029971667.84)</f>
        <v>3700029971667.8398</v>
      </c>
    </row>
    <row r="733" spans="1:3" x14ac:dyDescent="0.25">
      <c r="A733" s="2">
        <v>732</v>
      </c>
      <c r="B733" s="2">
        <v>69705590476.190308</v>
      </c>
      <c r="C733" s="3">
        <f ca="1">IFERROR(__xludf.DUMMYFUNCTION("B733*GOOGLEFINANCE(""CURRENCY:AUDINR"")"),3706793434504.27)</f>
        <v>3706793434504.27</v>
      </c>
    </row>
    <row r="734" spans="1:3" x14ac:dyDescent="0.25">
      <c r="A734" s="2">
        <v>733</v>
      </c>
      <c r="B734" s="2">
        <v>69832776190.475998</v>
      </c>
      <c r="C734" s="3">
        <f ca="1">IFERROR(__xludf.DUMMYFUNCTION("B734*GOOGLEFINANCE(""CURRENCY:AUDINR"")"),3713556897340.7)</f>
        <v>3713556897340.7002</v>
      </c>
    </row>
    <row r="735" spans="1:3" x14ac:dyDescent="0.25">
      <c r="A735" s="2">
        <v>734</v>
      </c>
      <c r="B735" s="2">
        <v>69959961904.761795</v>
      </c>
      <c r="C735" s="3">
        <f ca="1">IFERROR(__xludf.DUMMYFUNCTION("B735*GOOGLEFINANCE(""CURRENCY:AUDINR"")"),3720320360177.13)</f>
        <v>3720320360177.1299</v>
      </c>
    </row>
    <row r="736" spans="1:3" x14ac:dyDescent="0.25">
      <c r="A736" s="2">
        <v>735</v>
      </c>
      <c r="B736" s="2">
        <v>70087147619.047501</v>
      </c>
      <c r="C736" s="3">
        <f ca="1">IFERROR(__xludf.DUMMYFUNCTION("B736*GOOGLEFINANCE(""CURRENCY:AUDINR"")"),3727083823013.56)</f>
        <v>3727083823013.5601</v>
      </c>
    </row>
    <row r="737" spans="1:3" x14ac:dyDescent="0.25">
      <c r="A737" s="2">
        <v>736</v>
      </c>
      <c r="B737" s="2">
        <v>70214333333.333206</v>
      </c>
      <c r="C737" s="3">
        <f ca="1">IFERROR(__xludf.DUMMYFUNCTION("B737*GOOGLEFINANCE(""CURRENCY:AUDINR"")"),3733847285849.99)</f>
        <v>3733847285849.9902</v>
      </c>
    </row>
    <row r="738" spans="1:3" x14ac:dyDescent="0.25">
      <c r="A738" s="2">
        <v>737</v>
      </c>
      <c r="B738" s="2">
        <v>70341519047.618896</v>
      </c>
      <c r="C738" s="3">
        <f ca="1">IFERROR(__xludf.DUMMYFUNCTION("B738*GOOGLEFINANCE(""CURRENCY:AUDINR"")"),3740610748686.42)</f>
        <v>3740610748686.4199</v>
      </c>
    </row>
    <row r="739" spans="1:3" x14ac:dyDescent="0.25">
      <c r="A739" s="2">
        <v>738</v>
      </c>
      <c r="B739" s="2">
        <v>70468704761.904602</v>
      </c>
      <c r="C739" s="3">
        <f ca="1">IFERROR(__xludf.DUMMYFUNCTION("B739*GOOGLEFINANCE(""CURRENCY:AUDINR"")"),3747374211522.84)</f>
        <v>3747374211522.8398</v>
      </c>
    </row>
    <row r="740" spans="1:3" x14ac:dyDescent="0.25">
      <c r="A740" s="2">
        <v>739</v>
      </c>
      <c r="B740" s="2">
        <v>70595890476.190308</v>
      </c>
      <c r="C740" s="3">
        <f ca="1">IFERROR(__xludf.DUMMYFUNCTION("B740*GOOGLEFINANCE(""CURRENCY:AUDINR"")"),3754137674359.27)</f>
        <v>3754137674359.27</v>
      </c>
    </row>
    <row r="741" spans="1:3" x14ac:dyDescent="0.25">
      <c r="A741" s="2">
        <v>740</v>
      </c>
      <c r="B741" s="2">
        <v>70723076190.475998</v>
      </c>
      <c r="C741" s="3">
        <f ca="1">IFERROR(__xludf.DUMMYFUNCTION("B741*GOOGLEFINANCE(""CURRENCY:AUDINR"")"),3760901137195.7)</f>
        <v>3760901137195.7002</v>
      </c>
    </row>
    <row r="742" spans="1:3" x14ac:dyDescent="0.25">
      <c r="A742" s="2">
        <v>741</v>
      </c>
      <c r="B742" s="2">
        <v>70850261904.761795</v>
      </c>
      <c r="C742" s="3">
        <f ca="1">IFERROR(__xludf.DUMMYFUNCTION("B742*GOOGLEFINANCE(""CURRENCY:AUDINR"")"),3767664600032.13)</f>
        <v>3767664600032.1299</v>
      </c>
    </row>
    <row r="743" spans="1:3" x14ac:dyDescent="0.25">
      <c r="A743" s="2">
        <v>742</v>
      </c>
      <c r="B743" s="2">
        <v>70977447619.047501</v>
      </c>
      <c r="C743" s="3">
        <f ca="1">IFERROR(__xludf.DUMMYFUNCTION("B743*GOOGLEFINANCE(""CURRENCY:AUDINR"")"),3774428062868.56)</f>
        <v>3774428062868.5601</v>
      </c>
    </row>
    <row r="744" spans="1:3" x14ac:dyDescent="0.25">
      <c r="A744" s="2">
        <v>743</v>
      </c>
      <c r="B744" s="2">
        <v>71104633333.333206</v>
      </c>
      <c r="C744" s="3">
        <f ca="1">IFERROR(__xludf.DUMMYFUNCTION("B744*GOOGLEFINANCE(""CURRENCY:AUDINR"")"),3781191525704.99)</f>
        <v>3781191525704.9902</v>
      </c>
    </row>
    <row r="745" spans="1:3" x14ac:dyDescent="0.25">
      <c r="A745" s="2">
        <v>744</v>
      </c>
      <c r="B745" s="2">
        <v>71231819047.618896</v>
      </c>
      <c r="C745" s="3">
        <f ca="1">IFERROR(__xludf.DUMMYFUNCTION("B745*GOOGLEFINANCE(""CURRENCY:AUDINR"")"),3787954988541.42)</f>
        <v>3787954988541.4199</v>
      </c>
    </row>
    <row r="746" spans="1:3" x14ac:dyDescent="0.25">
      <c r="A746" s="2">
        <v>745</v>
      </c>
      <c r="B746" s="2">
        <v>71359004761.904602</v>
      </c>
      <c r="C746" s="3">
        <f ca="1">IFERROR(__xludf.DUMMYFUNCTION("B746*GOOGLEFINANCE(""CURRENCY:AUDINR"")"),3794718451377.84)</f>
        <v>3794718451377.8398</v>
      </c>
    </row>
    <row r="747" spans="1:3" x14ac:dyDescent="0.25">
      <c r="A747" s="2">
        <v>746</v>
      </c>
      <c r="B747" s="2">
        <v>71486190476.190308</v>
      </c>
      <c r="C747" s="3">
        <f ca="1">IFERROR(__xludf.DUMMYFUNCTION("B747*GOOGLEFINANCE(""CURRENCY:AUDINR"")"),3801481914214.27)</f>
        <v>3801481914214.27</v>
      </c>
    </row>
    <row r="748" spans="1:3" x14ac:dyDescent="0.25">
      <c r="A748" s="2">
        <v>747</v>
      </c>
      <c r="B748" s="2">
        <v>71613376190.475998</v>
      </c>
      <c r="C748" s="3">
        <f ca="1">IFERROR(__xludf.DUMMYFUNCTION("B748*GOOGLEFINANCE(""CURRENCY:AUDINR"")"),3808245377050.7)</f>
        <v>3808245377050.7002</v>
      </c>
    </row>
    <row r="749" spans="1:3" x14ac:dyDescent="0.25">
      <c r="A749" s="2">
        <v>748</v>
      </c>
      <c r="B749" s="2">
        <v>71740561904.761795</v>
      </c>
      <c r="C749" s="3">
        <f ca="1">IFERROR(__xludf.DUMMYFUNCTION("B749*GOOGLEFINANCE(""CURRENCY:AUDINR"")"),3815008839887.13)</f>
        <v>3815008839887.1299</v>
      </c>
    </row>
    <row r="750" spans="1:3" x14ac:dyDescent="0.25">
      <c r="A750" s="2">
        <v>749</v>
      </c>
      <c r="B750" s="2">
        <v>71867747619.047501</v>
      </c>
      <c r="C750" s="3">
        <f ca="1">IFERROR(__xludf.DUMMYFUNCTION("B750*GOOGLEFINANCE(""CURRENCY:AUDINR"")"),3821772302723.56)</f>
        <v>3821772302723.5601</v>
      </c>
    </row>
    <row r="751" spans="1:3" x14ac:dyDescent="0.25">
      <c r="A751" s="2">
        <v>750</v>
      </c>
      <c r="B751" s="2">
        <v>71994933333.333206</v>
      </c>
      <c r="C751" s="3">
        <f ca="1">IFERROR(__xludf.DUMMYFUNCTION("B751*GOOGLEFINANCE(""CURRENCY:AUDINR"")"),3828535765559.99)</f>
        <v>3828535765559.9902</v>
      </c>
    </row>
    <row r="752" spans="1:3" x14ac:dyDescent="0.25">
      <c r="A752" s="2">
        <v>751</v>
      </c>
      <c r="B752" s="2">
        <v>72122119047.618896</v>
      </c>
      <c r="C752" s="3">
        <f ca="1">IFERROR(__xludf.DUMMYFUNCTION("B752*GOOGLEFINANCE(""CURRENCY:AUDINR"")"),3835299228396.42)</f>
        <v>3835299228396.4199</v>
      </c>
    </row>
    <row r="753" spans="1:3" x14ac:dyDescent="0.25">
      <c r="A753" s="2">
        <v>752</v>
      </c>
      <c r="B753" s="2">
        <v>72249304761.904602</v>
      </c>
      <c r="C753" s="3">
        <f ca="1">IFERROR(__xludf.DUMMYFUNCTION("B753*GOOGLEFINANCE(""CURRENCY:AUDINR"")"),3842062691232.84)</f>
        <v>3842062691232.8398</v>
      </c>
    </row>
    <row r="754" spans="1:3" x14ac:dyDescent="0.25">
      <c r="A754" s="2">
        <v>753</v>
      </c>
      <c r="B754" s="2">
        <v>72376490476.190308</v>
      </c>
      <c r="C754" s="3">
        <f ca="1">IFERROR(__xludf.DUMMYFUNCTION("B754*GOOGLEFINANCE(""CURRENCY:AUDINR"")"),3848826154069.27)</f>
        <v>3848826154069.27</v>
      </c>
    </row>
    <row r="755" spans="1:3" x14ac:dyDescent="0.25">
      <c r="A755" s="2">
        <v>754</v>
      </c>
      <c r="B755" s="2">
        <v>72503676190.475998</v>
      </c>
      <c r="C755" s="3">
        <f ca="1">IFERROR(__xludf.DUMMYFUNCTION("B755*GOOGLEFINANCE(""CURRENCY:AUDINR"")"),3855589616905.7)</f>
        <v>3855589616905.7002</v>
      </c>
    </row>
    <row r="756" spans="1:3" x14ac:dyDescent="0.25">
      <c r="A756" s="2">
        <v>755</v>
      </c>
      <c r="B756" s="2">
        <v>72630861904.761795</v>
      </c>
      <c r="C756" s="3">
        <f ca="1">IFERROR(__xludf.DUMMYFUNCTION("B756*GOOGLEFINANCE(""CURRENCY:AUDINR"")"),3862353079742.13)</f>
        <v>3862353079742.1299</v>
      </c>
    </row>
    <row r="757" spans="1:3" x14ac:dyDescent="0.25">
      <c r="A757" s="2">
        <v>756</v>
      </c>
      <c r="B757" s="2">
        <v>72758047619.047501</v>
      </c>
      <c r="C757" s="3">
        <f ca="1">IFERROR(__xludf.DUMMYFUNCTION("B757*GOOGLEFINANCE(""CURRENCY:AUDINR"")"),3869116542578.56)</f>
        <v>3869116542578.5601</v>
      </c>
    </row>
    <row r="758" spans="1:3" x14ac:dyDescent="0.25">
      <c r="A758" s="2">
        <v>757</v>
      </c>
      <c r="B758" s="2">
        <v>72885233333.333206</v>
      </c>
      <c r="C758" s="3">
        <f ca="1">IFERROR(__xludf.DUMMYFUNCTION("B758*GOOGLEFINANCE(""CURRENCY:AUDINR"")"),3875880005414.99)</f>
        <v>3875880005414.9902</v>
      </c>
    </row>
    <row r="759" spans="1:3" x14ac:dyDescent="0.25">
      <c r="A759" s="2">
        <v>758</v>
      </c>
      <c r="B759" s="2">
        <v>73012419047.618896</v>
      </c>
      <c r="C759" s="3">
        <f ca="1">IFERROR(__xludf.DUMMYFUNCTION("B759*GOOGLEFINANCE(""CURRENCY:AUDINR"")"),3882643468251.42)</f>
        <v>3882643468251.4199</v>
      </c>
    </row>
    <row r="760" spans="1:3" x14ac:dyDescent="0.25">
      <c r="A760" s="2">
        <v>759</v>
      </c>
      <c r="B760" s="2">
        <v>73139604761.904602</v>
      </c>
      <c r="C760" s="3">
        <f ca="1">IFERROR(__xludf.DUMMYFUNCTION("B760*GOOGLEFINANCE(""CURRENCY:AUDINR"")"),3889406931087.84)</f>
        <v>3889406931087.8398</v>
      </c>
    </row>
    <row r="761" spans="1:3" x14ac:dyDescent="0.25">
      <c r="A761" s="2">
        <v>760</v>
      </c>
      <c r="B761" s="2">
        <v>73266790476.190308</v>
      </c>
      <c r="C761" s="3">
        <f ca="1">IFERROR(__xludf.DUMMYFUNCTION("B761*GOOGLEFINANCE(""CURRENCY:AUDINR"")"),3896170393924.27)</f>
        <v>3896170393924.27</v>
      </c>
    </row>
    <row r="762" spans="1:3" x14ac:dyDescent="0.25">
      <c r="A762" s="2">
        <v>761</v>
      </c>
      <c r="B762" s="2">
        <v>73393976190.475998</v>
      </c>
      <c r="C762" s="3">
        <f ca="1">IFERROR(__xludf.DUMMYFUNCTION("B762*GOOGLEFINANCE(""CURRENCY:AUDINR"")"),3902933856760.7)</f>
        <v>3902933856760.7002</v>
      </c>
    </row>
    <row r="763" spans="1:3" x14ac:dyDescent="0.25">
      <c r="A763" s="2">
        <v>762</v>
      </c>
      <c r="B763" s="2">
        <v>73521161904.761795</v>
      </c>
      <c r="C763" s="3">
        <f ca="1">IFERROR(__xludf.DUMMYFUNCTION("B763*GOOGLEFINANCE(""CURRENCY:AUDINR"")"),3909697319597.13)</f>
        <v>3909697319597.1299</v>
      </c>
    </row>
    <row r="764" spans="1:3" x14ac:dyDescent="0.25">
      <c r="A764" s="2">
        <v>763</v>
      </c>
      <c r="B764" s="2">
        <v>73648347619.047501</v>
      </c>
      <c r="C764" s="3">
        <f ca="1">IFERROR(__xludf.DUMMYFUNCTION("B764*GOOGLEFINANCE(""CURRENCY:AUDINR"")"),3916460782433.56)</f>
        <v>3916460782433.5601</v>
      </c>
    </row>
    <row r="765" spans="1:3" x14ac:dyDescent="0.25">
      <c r="A765" s="2">
        <v>764</v>
      </c>
      <c r="B765" s="2">
        <v>73775533333.333206</v>
      </c>
      <c r="C765" s="3">
        <f ca="1">IFERROR(__xludf.DUMMYFUNCTION("B765*GOOGLEFINANCE(""CURRENCY:AUDINR"")"),3923224245269.99)</f>
        <v>3923224245269.9902</v>
      </c>
    </row>
    <row r="766" spans="1:3" x14ac:dyDescent="0.25">
      <c r="A766" s="2">
        <v>765</v>
      </c>
      <c r="B766" s="2">
        <v>73902719047.618896</v>
      </c>
      <c r="C766" s="3">
        <f ca="1">IFERROR(__xludf.DUMMYFUNCTION("B766*GOOGLEFINANCE(""CURRENCY:AUDINR"")"),3929987708106.42)</f>
        <v>3929987708106.4199</v>
      </c>
    </row>
    <row r="767" spans="1:3" x14ac:dyDescent="0.25">
      <c r="A767" s="2">
        <v>766</v>
      </c>
      <c r="B767" s="2">
        <v>74029904761.904602</v>
      </c>
      <c r="C767" s="3">
        <f ca="1">IFERROR(__xludf.DUMMYFUNCTION("B767*GOOGLEFINANCE(""CURRENCY:AUDINR"")"),3936751170942.84)</f>
        <v>3936751170942.8398</v>
      </c>
    </row>
    <row r="768" spans="1:3" x14ac:dyDescent="0.25">
      <c r="A768" s="2">
        <v>767</v>
      </c>
      <c r="B768" s="2">
        <v>74157090476.190308</v>
      </c>
      <c r="C768" s="3">
        <f ca="1">IFERROR(__xludf.DUMMYFUNCTION("B768*GOOGLEFINANCE(""CURRENCY:AUDINR"")"),3943514633779.27)</f>
        <v>3943514633779.27</v>
      </c>
    </row>
    <row r="769" spans="1:3" x14ac:dyDescent="0.25">
      <c r="A769" s="2">
        <v>768</v>
      </c>
      <c r="B769" s="2">
        <v>74284276190.475998</v>
      </c>
      <c r="C769" s="3">
        <f ca="1">IFERROR(__xludf.DUMMYFUNCTION("B769*GOOGLEFINANCE(""CURRENCY:AUDINR"")"),3950278096615.7)</f>
        <v>3950278096615.7002</v>
      </c>
    </row>
    <row r="770" spans="1:3" x14ac:dyDescent="0.25">
      <c r="A770" s="2">
        <v>769</v>
      </c>
      <c r="B770" s="2">
        <v>74411461904.761795</v>
      </c>
      <c r="C770" s="3">
        <f ca="1">IFERROR(__xludf.DUMMYFUNCTION("B770*GOOGLEFINANCE(""CURRENCY:AUDINR"")"),3957041559452.13)</f>
        <v>3957041559452.1299</v>
      </c>
    </row>
    <row r="771" spans="1:3" x14ac:dyDescent="0.25">
      <c r="A771" s="2">
        <v>770</v>
      </c>
      <c r="B771" s="2">
        <v>74538647619.047501</v>
      </c>
      <c r="C771" s="3">
        <f ca="1">IFERROR(__xludf.DUMMYFUNCTION("B771*GOOGLEFINANCE(""CURRENCY:AUDINR"")"),3963805022288.56)</f>
        <v>3963805022288.5601</v>
      </c>
    </row>
    <row r="772" spans="1:3" x14ac:dyDescent="0.25">
      <c r="A772" s="2">
        <v>771</v>
      </c>
      <c r="B772" s="2">
        <v>74665833333.333206</v>
      </c>
      <c r="C772" s="3">
        <f ca="1">IFERROR(__xludf.DUMMYFUNCTION("B772*GOOGLEFINANCE(""CURRENCY:AUDINR"")"),3970568485124.99)</f>
        <v>3970568485124.9902</v>
      </c>
    </row>
    <row r="773" spans="1:3" x14ac:dyDescent="0.25">
      <c r="A773" s="2">
        <v>772</v>
      </c>
      <c r="B773" s="2">
        <v>74793019047.618896</v>
      </c>
      <c r="C773" s="3">
        <f ca="1">IFERROR(__xludf.DUMMYFUNCTION("B773*GOOGLEFINANCE(""CURRENCY:AUDINR"")"),3977331947961.42)</f>
        <v>3977331947961.4199</v>
      </c>
    </row>
    <row r="774" spans="1:3" x14ac:dyDescent="0.25">
      <c r="A774" s="2">
        <v>773</v>
      </c>
      <c r="B774" s="2">
        <v>74920204761.904602</v>
      </c>
      <c r="C774" s="3">
        <f ca="1">IFERROR(__xludf.DUMMYFUNCTION("B774*GOOGLEFINANCE(""CURRENCY:AUDINR"")"),3984095410797.84)</f>
        <v>3984095410797.8398</v>
      </c>
    </row>
    <row r="775" spans="1:3" x14ac:dyDescent="0.25">
      <c r="A775" s="2">
        <v>774</v>
      </c>
      <c r="B775" s="2">
        <v>75047390476.190308</v>
      </c>
      <c r="C775" s="3">
        <f ca="1">IFERROR(__xludf.DUMMYFUNCTION("B775*GOOGLEFINANCE(""CURRENCY:AUDINR"")"),3990858873634.27)</f>
        <v>3990858873634.27</v>
      </c>
    </row>
    <row r="776" spans="1:3" x14ac:dyDescent="0.25">
      <c r="A776" s="2">
        <v>775</v>
      </c>
      <c r="B776" s="2">
        <v>75174576190.475998</v>
      </c>
      <c r="C776" s="3">
        <f ca="1">IFERROR(__xludf.DUMMYFUNCTION("B776*GOOGLEFINANCE(""CURRENCY:AUDINR"")"),3997622336470.7)</f>
        <v>3997622336470.7002</v>
      </c>
    </row>
    <row r="777" spans="1:3" x14ac:dyDescent="0.25">
      <c r="A777" s="2">
        <v>776</v>
      </c>
      <c r="B777" s="2">
        <v>75301761904.761795</v>
      </c>
      <c r="C777" s="3">
        <f ca="1">IFERROR(__xludf.DUMMYFUNCTION("B777*GOOGLEFINANCE(""CURRENCY:AUDINR"")"),4004385799307.13)</f>
        <v>4004385799307.1299</v>
      </c>
    </row>
    <row r="778" spans="1:3" x14ac:dyDescent="0.25">
      <c r="A778" s="2">
        <v>777</v>
      </c>
      <c r="B778" s="2">
        <v>75428947619.047501</v>
      </c>
      <c r="C778" s="3">
        <f ca="1">IFERROR(__xludf.DUMMYFUNCTION("B778*GOOGLEFINANCE(""CURRENCY:AUDINR"")"),4011149262143.56)</f>
        <v>4011149262143.5601</v>
      </c>
    </row>
    <row r="779" spans="1:3" x14ac:dyDescent="0.25">
      <c r="A779" s="2">
        <v>778</v>
      </c>
      <c r="B779" s="2">
        <v>75556133333.333206</v>
      </c>
      <c r="C779" s="3">
        <f ca="1">IFERROR(__xludf.DUMMYFUNCTION("B779*GOOGLEFINANCE(""CURRENCY:AUDINR"")"),4017912724979.99)</f>
        <v>4017912724979.9902</v>
      </c>
    </row>
    <row r="780" spans="1:3" x14ac:dyDescent="0.25">
      <c r="A780" s="2">
        <v>779</v>
      </c>
      <c r="B780" s="2">
        <v>75683319047.618896</v>
      </c>
      <c r="C780" s="3">
        <f ca="1">IFERROR(__xludf.DUMMYFUNCTION("B780*GOOGLEFINANCE(""CURRENCY:AUDINR"")"),4024676187816.42)</f>
        <v>4024676187816.4199</v>
      </c>
    </row>
    <row r="781" spans="1:3" x14ac:dyDescent="0.25">
      <c r="A781" s="2">
        <v>780</v>
      </c>
      <c r="B781" s="2">
        <v>75810504761.904602</v>
      </c>
      <c r="C781" s="3">
        <f ca="1">IFERROR(__xludf.DUMMYFUNCTION("B781*GOOGLEFINANCE(""CURRENCY:AUDINR"")"),4031439650652.84)</f>
        <v>4031439650652.8398</v>
      </c>
    </row>
    <row r="782" spans="1:3" x14ac:dyDescent="0.25">
      <c r="A782" s="2">
        <v>781</v>
      </c>
      <c r="B782" s="2">
        <v>75937690476.190308</v>
      </c>
      <c r="C782" s="3">
        <f ca="1">IFERROR(__xludf.DUMMYFUNCTION("B782*GOOGLEFINANCE(""CURRENCY:AUDINR"")"),4038203113489.27)</f>
        <v>4038203113489.27</v>
      </c>
    </row>
    <row r="783" spans="1:3" x14ac:dyDescent="0.25">
      <c r="A783" s="2">
        <v>782</v>
      </c>
      <c r="B783" s="2">
        <v>76064876190.475998</v>
      </c>
      <c r="C783" s="3">
        <f ca="1">IFERROR(__xludf.DUMMYFUNCTION("B783*GOOGLEFINANCE(""CURRENCY:AUDINR"")"),4044966576325.7)</f>
        <v>4044966576325.7002</v>
      </c>
    </row>
    <row r="784" spans="1:3" x14ac:dyDescent="0.25">
      <c r="A784" s="2">
        <v>783</v>
      </c>
      <c r="B784" s="2">
        <v>76192061904.761795</v>
      </c>
      <c r="C784" s="3">
        <f ca="1">IFERROR(__xludf.DUMMYFUNCTION("B784*GOOGLEFINANCE(""CURRENCY:AUDINR"")"),4051730039162.13)</f>
        <v>4051730039162.1299</v>
      </c>
    </row>
    <row r="785" spans="1:3" x14ac:dyDescent="0.25">
      <c r="A785" s="2">
        <v>784</v>
      </c>
      <c r="B785" s="2">
        <v>76319247619.047501</v>
      </c>
      <c r="C785" s="3">
        <f ca="1">IFERROR(__xludf.DUMMYFUNCTION("B785*GOOGLEFINANCE(""CURRENCY:AUDINR"")"),4058493501998.56)</f>
        <v>4058493501998.5601</v>
      </c>
    </row>
    <row r="786" spans="1:3" x14ac:dyDescent="0.25">
      <c r="A786" s="2">
        <v>785</v>
      </c>
      <c r="B786" s="2">
        <v>76446433333.333206</v>
      </c>
      <c r="C786" s="3">
        <f ca="1">IFERROR(__xludf.DUMMYFUNCTION("B786*GOOGLEFINANCE(""CURRENCY:AUDINR"")"),4065256964834.99)</f>
        <v>4065256964834.9902</v>
      </c>
    </row>
    <row r="787" spans="1:3" x14ac:dyDescent="0.25">
      <c r="A787" s="2">
        <v>786</v>
      </c>
      <c r="B787" s="2">
        <v>76573619047.618896</v>
      </c>
      <c r="C787" s="3">
        <f ca="1">IFERROR(__xludf.DUMMYFUNCTION("B787*GOOGLEFINANCE(""CURRENCY:AUDINR"")"),4072020427671.42)</f>
        <v>4072020427671.4199</v>
      </c>
    </row>
    <row r="788" spans="1:3" x14ac:dyDescent="0.25">
      <c r="A788" s="2">
        <v>787</v>
      </c>
      <c r="B788" s="2">
        <v>76700804761.904602</v>
      </c>
      <c r="C788" s="3">
        <f ca="1">IFERROR(__xludf.DUMMYFUNCTION("B788*GOOGLEFINANCE(""CURRENCY:AUDINR"")"),4078783890507.84)</f>
        <v>4078783890507.8398</v>
      </c>
    </row>
    <row r="789" spans="1:3" x14ac:dyDescent="0.25">
      <c r="A789" s="2">
        <v>788</v>
      </c>
      <c r="B789" s="2">
        <v>76827990476.190308</v>
      </c>
      <c r="C789" s="3">
        <f ca="1">IFERROR(__xludf.DUMMYFUNCTION("B789*GOOGLEFINANCE(""CURRENCY:AUDINR"")"),4085547353344.27)</f>
        <v>4085547353344.27</v>
      </c>
    </row>
    <row r="790" spans="1:3" x14ac:dyDescent="0.25">
      <c r="A790" s="2">
        <v>789</v>
      </c>
      <c r="B790" s="2">
        <v>76955176190.475998</v>
      </c>
      <c r="C790" s="3">
        <f ca="1">IFERROR(__xludf.DUMMYFUNCTION("B790*GOOGLEFINANCE(""CURRENCY:AUDINR"")"),4092310816180.7)</f>
        <v>4092310816180.7002</v>
      </c>
    </row>
    <row r="791" spans="1:3" x14ac:dyDescent="0.25">
      <c r="A791" s="2">
        <v>790</v>
      </c>
      <c r="B791" s="2">
        <v>77082361904.761795</v>
      </c>
      <c r="C791" s="3">
        <f ca="1">IFERROR(__xludf.DUMMYFUNCTION("B791*GOOGLEFINANCE(""CURRENCY:AUDINR"")"),4099074279017.13)</f>
        <v>4099074279017.1299</v>
      </c>
    </row>
    <row r="792" spans="1:3" x14ac:dyDescent="0.25">
      <c r="A792" s="2">
        <v>791</v>
      </c>
      <c r="B792" s="2">
        <v>77209547619.047501</v>
      </c>
      <c r="C792" s="3">
        <f ca="1">IFERROR(__xludf.DUMMYFUNCTION("B792*GOOGLEFINANCE(""CURRENCY:AUDINR"")"),4105837741853.56)</f>
        <v>4105837741853.5601</v>
      </c>
    </row>
    <row r="793" spans="1:3" x14ac:dyDescent="0.25">
      <c r="A793" s="2">
        <v>792</v>
      </c>
      <c r="B793" s="2">
        <v>77336733333.333206</v>
      </c>
      <c r="C793" s="3">
        <f ca="1">IFERROR(__xludf.DUMMYFUNCTION("B793*GOOGLEFINANCE(""CURRENCY:AUDINR"")"),4112601204689.99)</f>
        <v>4112601204689.9902</v>
      </c>
    </row>
    <row r="794" spans="1:3" x14ac:dyDescent="0.25">
      <c r="A794" s="2">
        <v>793</v>
      </c>
      <c r="B794" s="2">
        <v>77463919047.618896</v>
      </c>
      <c r="C794" s="3">
        <f ca="1">IFERROR(__xludf.DUMMYFUNCTION("B794*GOOGLEFINANCE(""CURRENCY:AUDINR"")"),4119364667526.42)</f>
        <v>4119364667526.4199</v>
      </c>
    </row>
    <row r="795" spans="1:3" x14ac:dyDescent="0.25">
      <c r="A795" s="2">
        <v>794</v>
      </c>
      <c r="B795" s="2">
        <v>77591104761.904602</v>
      </c>
      <c r="C795" s="3">
        <f ca="1">IFERROR(__xludf.DUMMYFUNCTION("B795*GOOGLEFINANCE(""CURRENCY:AUDINR"")"),4126128130362.84)</f>
        <v>4126128130362.8398</v>
      </c>
    </row>
    <row r="796" spans="1:3" x14ac:dyDescent="0.25">
      <c r="A796" s="2">
        <v>795</v>
      </c>
      <c r="B796" s="2">
        <v>77718290476.190308</v>
      </c>
      <c r="C796" s="3">
        <f ca="1">IFERROR(__xludf.DUMMYFUNCTION("B796*GOOGLEFINANCE(""CURRENCY:AUDINR"")"),4132891593199.27)</f>
        <v>4132891593199.27</v>
      </c>
    </row>
    <row r="797" spans="1:3" x14ac:dyDescent="0.25">
      <c r="A797" s="2">
        <v>796</v>
      </c>
      <c r="B797" s="2">
        <v>77845476190.475998</v>
      </c>
      <c r="C797" s="3">
        <f ca="1">IFERROR(__xludf.DUMMYFUNCTION("B797*GOOGLEFINANCE(""CURRENCY:AUDINR"")"),4139655056035.7)</f>
        <v>4139655056035.7002</v>
      </c>
    </row>
    <row r="798" spans="1:3" x14ac:dyDescent="0.25">
      <c r="A798" s="2">
        <v>797</v>
      </c>
      <c r="B798" s="2">
        <v>77972661904.761703</v>
      </c>
      <c r="C798" s="3">
        <f ca="1">IFERROR(__xludf.DUMMYFUNCTION("B798*GOOGLEFINANCE(""CURRENCY:AUDINR"")"),4146418518872.13)</f>
        <v>4146418518872.1299</v>
      </c>
    </row>
    <row r="799" spans="1:3" x14ac:dyDescent="0.25">
      <c r="A799" s="2">
        <v>798</v>
      </c>
      <c r="B799" s="2">
        <v>78099847619.047501</v>
      </c>
      <c r="C799" s="3">
        <f ca="1">IFERROR(__xludf.DUMMYFUNCTION("B799*GOOGLEFINANCE(""CURRENCY:AUDINR"")"),4153181981708.56)</f>
        <v>4153181981708.5601</v>
      </c>
    </row>
    <row r="800" spans="1:3" x14ac:dyDescent="0.25">
      <c r="A800" s="2">
        <v>799</v>
      </c>
      <c r="B800" s="2">
        <v>78227033333.333206</v>
      </c>
      <c r="C800" s="3">
        <f ca="1">IFERROR(__xludf.DUMMYFUNCTION("B800*GOOGLEFINANCE(""CURRENCY:AUDINR"")"),4159945444544.99)</f>
        <v>4159945444544.9902</v>
      </c>
    </row>
    <row r="801" spans="1:3" x14ac:dyDescent="0.25">
      <c r="A801" s="2">
        <v>800</v>
      </c>
      <c r="B801" s="2">
        <v>78354219047.618896</v>
      </c>
      <c r="C801" s="3">
        <f ca="1">IFERROR(__xludf.DUMMYFUNCTION("B801*GOOGLEFINANCE(""CURRENCY:AUDINR"")"),4166708907381.42)</f>
        <v>4166708907381.4199</v>
      </c>
    </row>
    <row r="802" spans="1:3" x14ac:dyDescent="0.25">
      <c r="A802" s="2">
        <v>801</v>
      </c>
      <c r="B802" s="2">
        <v>78481404761.904602</v>
      </c>
      <c r="C802" s="3">
        <f ca="1">IFERROR(__xludf.DUMMYFUNCTION("B802*GOOGLEFINANCE(""CURRENCY:AUDINR"")"),4173472370217.84)</f>
        <v>4173472370217.8398</v>
      </c>
    </row>
    <row r="803" spans="1:3" x14ac:dyDescent="0.25">
      <c r="A803" s="2">
        <v>802</v>
      </c>
      <c r="B803" s="2">
        <v>78608590476.190308</v>
      </c>
      <c r="C803" s="3">
        <f ca="1">IFERROR(__xludf.DUMMYFUNCTION("B803*GOOGLEFINANCE(""CURRENCY:AUDINR"")"),4180235833054.27)</f>
        <v>4180235833054.27</v>
      </c>
    </row>
    <row r="804" spans="1:3" x14ac:dyDescent="0.25">
      <c r="A804" s="2">
        <v>803</v>
      </c>
      <c r="B804" s="2">
        <v>78735776190.475998</v>
      </c>
      <c r="C804" s="3">
        <f ca="1">IFERROR(__xludf.DUMMYFUNCTION("B804*GOOGLEFINANCE(""CURRENCY:AUDINR"")"),4186999295890.7)</f>
        <v>4186999295890.7002</v>
      </c>
    </row>
    <row r="805" spans="1:3" x14ac:dyDescent="0.25">
      <c r="A805" s="2">
        <v>804</v>
      </c>
      <c r="B805" s="2">
        <v>78862961904.761703</v>
      </c>
      <c r="C805" s="3">
        <f ca="1">IFERROR(__xludf.DUMMYFUNCTION("B805*GOOGLEFINANCE(""CURRENCY:AUDINR"")"),4193762758727.13)</f>
        <v>4193762758727.1299</v>
      </c>
    </row>
    <row r="806" spans="1:3" x14ac:dyDescent="0.25">
      <c r="A806" s="2">
        <v>805</v>
      </c>
      <c r="B806" s="2">
        <v>78990147619.047501</v>
      </c>
      <c r="C806" s="3">
        <f ca="1">IFERROR(__xludf.DUMMYFUNCTION("B806*GOOGLEFINANCE(""CURRENCY:AUDINR"")"),4200526221563.56)</f>
        <v>4200526221563.5601</v>
      </c>
    </row>
    <row r="807" spans="1:3" x14ac:dyDescent="0.25">
      <c r="A807" s="2">
        <v>806</v>
      </c>
      <c r="B807" s="2">
        <v>79117333333.333206</v>
      </c>
      <c r="C807" s="3">
        <f ca="1">IFERROR(__xludf.DUMMYFUNCTION("B807*GOOGLEFINANCE(""CURRENCY:AUDINR"")"),4207289684399.99)</f>
        <v>4207289684399.9902</v>
      </c>
    </row>
    <row r="808" spans="1:3" x14ac:dyDescent="0.25">
      <c r="A808" s="2">
        <v>807</v>
      </c>
      <c r="B808" s="2">
        <v>79244519047.618896</v>
      </c>
      <c r="C808" s="3">
        <f ca="1">IFERROR(__xludf.DUMMYFUNCTION("B808*GOOGLEFINANCE(""CURRENCY:AUDINR"")"),4214053147236.42)</f>
        <v>4214053147236.4199</v>
      </c>
    </row>
    <row r="809" spans="1:3" x14ac:dyDescent="0.25">
      <c r="A809" s="2">
        <v>808</v>
      </c>
      <c r="B809" s="2">
        <v>79371704761.904602</v>
      </c>
      <c r="C809" s="3">
        <f ca="1">IFERROR(__xludf.DUMMYFUNCTION("B809*GOOGLEFINANCE(""CURRENCY:AUDINR"")"),4220816610072.84)</f>
        <v>4220816610072.8398</v>
      </c>
    </row>
    <row r="810" spans="1:3" x14ac:dyDescent="0.25">
      <c r="A810" s="2">
        <v>809</v>
      </c>
      <c r="B810" s="2">
        <v>79498890476.190308</v>
      </c>
      <c r="C810" s="3">
        <f ca="1">IFERROR(__xludf.DUMMYFUNCTION("B810*GOOGLEFINANCE(""CURRENCY:AUDINR"")"),4227580072909.27)</f>
        <v>4227580072909.27</v>
      </c>
    </row>
    <row r="811" spans="1:3" x14ac:dyDescent="0.25">
      <c r="A811" s="2">
        <v>810</v>
      </c>
      <c r="B811" s="2">
        <v>79626076190.475998</v>
      </c>
      <c r="C811" s="3">
        <f ca="1">IFERROR(__xludf.DUMMYFUNCTION("B811*GOOGLEFINANCE(""CURRENCY:AUDINR"")"),4234343535745.7)</f>
        <v>4234343535745.7002</v>
      </c>
    </row>
    <row r="812" spans="1:3" x14ac:dyDescent="0.25">
      <c r="A812" s="2">
        <v>811</v>
      </c>
      <c r="B812" s="2">
        <v>79753261904.761703</v>
      </c>
      <c r="C812" s="3">
        <f ca="1">IFERROR(__xludf.DUMMYFUNCTION("B812*GOOGLEFINANCE(""CURRENCY:AUDINR"")"),4241106998582.13)</f>
        <v>4241106998582.1299</v>
      </c>
    </row>
    <row r="813" spans="1:3" x14ac:dyDescent="0.25">
      <c r="A813" s="2">
        <v>812</v>
      </c>
      <c r="B813" s="2">
        <v>79880447619.047501</v>
      </c>
      <c r="C813" s="3">
        <f ca="1">IFERROR(__xludf.DUMMYFUNCTION("B813*GOOGLEFINANCE(""CURRENCY:AUDINR"")"),4247870461418.56)</f>
        <v>4247870461418.5601</v>
      </c>
    </row>
    <row r="814" spans="1:3" x14ac:dyDescent="0.25">
      <c r="A814" s="2">
        <v>813</v>
      </c>
      <c r="B814" s="2">
        <v>80007633333.333206</v>
      </c>
      <c r="C814" s="3">
        <f ca="1">IFERROR(__xludf.DUMMYFUNCTION("B814*GOOGLEFINANCE(""CURRENCY:AUDINR"")"),4254633924254.99)</f>
        <v>4254633924254.9902</v>
      </c>
    </row>
    <row r="815" spans="1:3" x14ac:dyDescent="0.25">
      <c r="A815" s="2">
        <v>814</v>
      </c>
      <c r="B815" s="2">
        <v>80134819047.618896</v>
      </c>
      <c r="C815" s="3">
        <f ca="1">IFERROR(__xludf.DUMMYFUNCTION("B815*GOOGLEFINANCE(""CURRENCY:AUDINR"")"),4261397387091.42)</f>
        <v>4261397387091.4199</v>
      </c>
    </row>
    <row r="816" spans="1:3" x14ac:dyDescent="0.25">
      <c r="A816" s="2">
        <v>815</v>
      </c>
      <c r="B816" s="2">
        <v>80262004761.904602</v>
      </c>
      <c r="C816" s="3">
        <f ca="1">IFERROR(__xludf.DUMMYFUNCTION("B816*GOOGLEFINANCE(""CURRENCY:AUDINR"")"),4268160849927.84)</f>
        <v>4268160849927.8398</v>
      </c>
    </row>
    <row r="817" spans="1:3" x14ac:dyDescent="0.25">
      <c r="A817" s="2">
        <v>816</v>
      </c>
      <c r="B817" s="2">
        <v>80389190476.190308</v>
      </c>
      <c r="C817" s="3">
        <f ca="1">IFERROR(__xludf.DUMMYFUNCTION("B817*GOOGLEFINANCE(""CURRENCY:AUDINR"")"),4274924312764.27)</f>
        <v>4274924312764.27</v>
      </c>
    </row>
    <row r="818" spans="1:3" x14ac:dyDescent="0.25">
      <c r="A818" s="2">
        <v>817</v>
      </c>
      <c r="B818" s="2">
        <v>80516376190.475998</v>
      </c>
      <c r="C818" s="3">
        <f ca="1">IFERROR(__xludf.DUMMYFUNCTION("B818*GOOGLEFINANCE(""CURRENCY:AUDINR"")"),4281687775600.7)</f>
        <v>4281687775600.7002</v>
      </c>
    </row>
    <row r="819" spans="1:3" x14ac:dyDescent="0.25">
      <c r="A819" s="2">
        <v>818</v>
      </c>
      <c r="B819" s="2">
        <v>80643561904.761703</v>
      </c>
      <c r="C819" s="3">
        <f ca="1">IFERROR(__xludf.DUMMYFUNCTION("B819*GOOGLEFINANCE(""CURRENCY:AUDINR"")"),4288451238437.13)</f>
        <v>4288451238437.1299</v>
      </c>
    </row>
    <row r="820" spans="1:3" x14ac:dyDescent="0.25">
      <c r="A820" s="2">
        <v>819</v>
      </c>
      <c r="B820" s="2">
        <v>80770747619.047501</v>
      </c>
      <c r="C820" s="3">
        <f ca="1">IFERROR(__xludf.DUMMYFUNCTION("B820*GOOGLEFINANCE(""CURRENCY:AUDINR"")"),4295214701273.56)</f>
        <v>4295214701273.5601</v>
      </c>
    </row>
    <row r="821" spans="1:3" x14ac:dyDescent="0.25">
      <c r="A821" s="2">
        <v>820</v>
      </c>
      <c r="B821" s="2">
        <v>80897933333.333206</v>
      </c>
      <c r="C821" s="3">
        <f ca="1">IFERROR(__xludf.DUMMYFUNCTION("B821*GOOGLEFINANCE(""CURRENCY:AUDINR"")"),4301978164109.99)</f>
        <v>4301978164109.9902</v>
      </c>
    </row>
    <row r="822" spans="1:3" x14ac:dyDescent="0.25">
      <c r="A822" s="2">
        <v>821</v>
      </c>
      <c r="B822" s="2">
        <v>81025119047.618896</v>
      </c>
      <c r="C822" s="3">
        <f ca="1">IFERROR(__xludf.DUMMYFUNCTION("B822*GOOGLEFINANCE(""CURRENCY:AUDINR"")"),4308741626946.42)</f>
        <v>4308741626946.4199</v>
      </c>
    </row>
    <row r="823" spans="1:3" x14ac:dyDescent="0.25">
      <c r="A823" s="2">
        <v>822</v>
      </c>
      <c r="B823" s="2">
        <v>81152304761.904602</v>
      </c>
      <c r="C823" s="3">
        <f ca="1">IFERROR(__xludf.DUMMYFUNCTION("B823*GOOGLEFINANCE(""CURRENCY:AUDINR"")"),4315505089782.84)</f>
        <v>4315505089782.8398</v>
      </c>
    </row>
    <row r="824" spans="1:3" x14ac:dyDescent="0.25">
      <c r="A824" s="2">
        <v>823</v>
      </c>
      <c r="B824" s="2">
        <v>81279490476.190308</v>
      </c>
      <c r="C824" s="3">
        <f ca="1">IFERROR(__xludf.DUMMYFUNCTION("B824*GOOGLEFINANCE(""CURRENCY:AUDINR"")"),4322268552619.27)</f>
        <v>4322268552619.27</v>
      </c>
    </row>
    <row r="825" spans="1:3" x14ac:dyDescent="0.25">
      <c r="A825" s="2">
        <v>824</v>
      </c>
      <c r="B825" s="2">
        <v>81406676190.475998</v>
      </c>
      <c r="C825" s="3">
        <f ca="1">IFERROR(__xludf.DUMMYFUNCTION("B825*GOOGLEFINANCE(""CURRENCY:AUDINR"")"),4329032015455.7)</f>
        <v>4329032015455.7002</v>
      </c>
    </row>
    <row r="826" spans="1:3" x14ac:dyDescent="0.25">
      <c r="A826" s="2">
        <v>825</v>
      </c>
      <c r="B826" s="2">
        <v>81533861904.761703</v>
      </c>
      <c r="C826" s="3">
        <f ca="1">IFERROR(__xludf.DUMMYFUNCTION("B826*GOOGLEFINANCE(""CURRENCY:AUDINR"")"),4335795478292.13)</f>
        <v>4335795478292.1299</v>
      </c>
    </row>
    <row r="827" spans="1:3" x14ac:dyDescent="0.25">
      <c r="A827" s="2">
        <v>826</v>
      </c>
      <c r="B827" s="2">
        <v>81661047619.047501</v>
      </c>
      <c r="C827" s="3">
        <f ca="1">IFERROR(__xludf.DUMMYFUNCTION("B827*GOOGLEFINANCE(""CURRENCY:AUDINR"")"),4342558941128.56)</f>
        <v>4342558941128.5601</v>
      </c>
    </row>
    <row r="828" spans="1:3" x14ac:dyDescent="0.25">
      <c r="A828" s="2">
        <v>827</v>
      </c>
      <c r="B828" s="2">
        <v>81788233333.333206</v>
      </c>
      <c r="C828" s="3">
        <f ca="1">IFERROR(__xludf.DUMMYFUNCTION("B828*GOOGLEFINANCE(""CURRENCY:AUDINR"")"),4349322403964.99)</f>
        <v>4349322403964.9902</v>
      </c>
    </row>
    <row r="829" spans="1:3" x14ac:dyDescent="0.25">
      <c r="A829" s="2">
        <v>828</v>
      </c>
      <c r="B829" s="2">
        <v>81915419047.618896</v>
      </c>
      <c r="C829" s="3">
        <f ca="1">IFERROR(__xludf.DUMMYFUNCTION("B829*GOOGLEFINANCE(""CURRENCY:AUDINR"")"),4356085866801.42)</f>
        <v>4356085866801.4199</v>
      </c>
    </row>
    <row r="830" spans="1:3" x14ac:dyDescent="0.25">
      <c r="A830" s="2">
        <v>829</v>
      </c>
      <c r="B830" s="2">
        <v>82042604761.904602</v>
      </c>
      <c r="C830" s="3">
        <f ca="1">IFERROR(__xludf.DUMMYFUNCTION("B830*GOOGLEFINANCE(""CURRENCY:AUDINR"")"),4362849329637.84)</f>
        <v>4362849329637.8398</v>
      </c>
    </row>
    <row r="831" spans="1:3" x14ac:dyDescent="0.25">
      <c r="A831" s="2">
        <v>830</v>
      </c>
      <c r="B831" s="2">
        <v>82169790476.190308</v>
      </c>
      <c r="C831" s="3">
        <f ca="1">IFERROR(__xludf.DUMMYFUNCTION("B831*GOOGLEFINANCE(""CURRENCY:AUDINR"")"),4369612792474.27)</f>
        <v>4369612792474.27</v>
      </c>
    </row>
    <row r="832" spans="1:3" x14ac:dyDescent="0.25">
      <c r="A832" s="2">
        <v>831</v>
      </c>
      <c r="B832" s="2">
        <v>82296976190.475998</v>
      </c>
      <c r="C832" s="3">
        <f ca="1">IFERROR(__xludf.DUMMYFUNCTION("B832*GOOGLEFINANCE(""CURRENCY:AUDINR"")"),4376376255310.7)</f>
        <v>4376376255310.7002</v>
      </c>
    </row>
    <row r="833" spans="1:3" x14ac:dyDescent="0.25">
      <c r="A833" s="2">
        <v>832</v>
      </c>
      <c r="B833" s="2">
        <v>82424161904.761703</v>
      </c>
      <c r="C833" s="3">
        <f ca="1">IFERROR(__xludf.DUMMYFUNCTION("B833*GOOGLEFINANCE(""CURRENCY:AUDINR"")"),4383139718147.13)</f>
        <v>4383139718147.1299</v>
      </c>
    </row>
    <row r="834" spans="1:3" x14ac:dyDescent="0.25">
      <c r="A834" s="2">
        <v>833</v>
      </c>
      <c r="B834" s="2">
        <v>82551347619.047394</v>
      </c>
      <c r="C834" s="3">
        <f ca="1">IFERROR(__xludf.DUMMYFUNCTION("B834*GOOGLEFINANCE(""CURRENCY:AUDINR"")"),4389903180983.55)</f>
        <v>4389903180983.5498</v>
      </c>
    </row>
    <row r="835" spans="1:3" x14ac:dyDescent="0.25">
      <c r="A835" s="2">
        <v>834</v>
      </c>
      <c r="B835" s="2">
        <v>82678533333.333206</v>
      </c>
      <c r="C835" s="3">
        <f ca="1">IFERROR(__xludf.DUMMYFUNCTION("B835*GOOGLEFINANCE(""CURRENCY:AUDINR"")"),4396666643819.99)</f>
        <v>4396666643819.9902</v>
      </c>
    </row>
    <row r="836" spans="1:3" x14ac:dyDescent="0.25">
      <c r="A836" s="2">
        <v>835</v>
      </c>
      <c r="B836" s="2">
        <v>82805719047.618896</v>
      </c>
      <c r="C836" s="3">
        <f ca="1">IFERROR(__xludf.DUMMYFUNCTION("B836*GOOGLEFINANCE(""CURRENCY:AUDINR"")"),4403430106656.42)</f>
        <v>4403430106656.4199</v>
      </c>
    </row>
    <row r="837" spans="1:3" x14ac:dyDescent="0.25">
      <c r="A837" s="2">
        <v>836</v>
      </c>
      <c r="B837" s="2">
        <v>82932904761.904602</v>
      </c>
      <c r="C837" s="3">
        <f ca="1">IFERROR(__xludf.DUMMYFUNCTION("B837*GOOGLEFINANCE(""CURRENCY:AUDINR"")"),4410193569492.84)</f>
        <v>4410193569492.8398</v>
      </c>
    </row>
    <row r="838" spans="1:3" x14ac:dyDescent="0.25">
      <c r="A838" s="2">
        <v>837</v>
      </c>
      <c r="B838" s="2">
        <v>83060090476.190308</v>
      </c>
      <c r="C838" s="3">
        <f ca="1">IFERROR(__xludf.DUMMYFUNCTION("B838*GOOGLEFINANCE(""CURRENCY:AUDINR"")"),4416957032329.27)</f>
        <v>4416957032329.2695</v>
      </c>
    </row>
    <row r="839" spans="1:3" x14ac:dyDescent="0.25">
      <c r="A839" s="2">
        <v>838</v>
      </c>
      <c r="B839" s="2">
        <v>83187276190.475998</v>
      </c>
      <c r="C839" s="3">
        <f ca="1">IFERROR(__xludf.DUMMYFUNCTION("B839*GOOGLEFINANCE(""CURRENCY:AUDINR"")"),4423720495165.7)</f>
        <v>4423720495165.7002</v>
      </c>
    </row>
    <row r="840" spans="1:3" x14ac:dyDescent="0.25">
      <c r="A840" s="2">
        <v>839</v>
      </c>
      <c r="B840" s="2">
        <v>83314461904.761703</v>
      </c>
      <c r="C840" s="3">
        <f ca="1">IFERROR(__xludf.DUMMYFUNCTION("B840*GOOGLEFINANCE(""CURRENCY:AUDINR"")"),4430483958002.13)</f>
        <v>4430483958002.1299</v>
      </c>
    </row>
    <row r="841" spans="1:3" x14ac:dyDescent="0.25">
      <c r="A841" s="2">
        <v>840</v>
      </c>
      <c r="B841" s="2">
        <v>83441647619.047394</v>
      </c>
      <c r="C841" s="3">
        <f ca="1">IFERROR(__xludf.DUMMYFUNCTION("B841*GOOGLEFINANCE(""CURRENCY:AUDINR"")"),4437247420838.56)</f>
        <v>4437247420838.5596</v>
      </c>
    </row>
    <row r="842" spans="1:3" x14ac:dyDescent="0.25">
      <c r="A842" s="2">
        <v>841</v>
      </c>
      <c r="B842" s="2">
        <v>83568833333.333206</v>
      </c>
      <c r="C842" s="3">
        <f ca="1">IFERROR(__xludf.DUMMYFUNCTION("B842*GOOGLEFINANCE(""CURRENCY:AUDINR"")"),4444010883674.99)</f>
        <v>4444010883674.9902</v>
      </c>
    </row>
    <row r="843" spans="1:3" x14ac:dyDescent="0.25">
      <c r="A843" s="2">
        <v>842</v>
      </c>
      <c r="B843" s="2">
        <v>83696019047.618896</v>
      </c>
      <c r="C843" s="3">
        <f ca="1">IFERROR(__xludf.DUMMYFUNCTION("B843*GOOGLEFINANCE(""CURRENCY:AUDINR"")"),4450774346511.42)</f>
        <v>4450774346511.4199</v>
      </c>
    </row>
    <row r="844" spans="1:3" x14ac:dyDescent="0.25">
      <c r="A844" s="2">
        <v>843</v>
      </c>
      <c r="B844" s="2">
        <v>83823204761.904602</v>
      </c>
      <c r="C844" s="3">
        <f ca="1">IFERROR(__xludf.DUMMYFUNCTION("B844*GOOGLEFINANCE(""CURRENCY:AUDINR"")"),4457537809347.84)</f>
        <v>4457537809347.8398</v>
      </c>
    </row>
    <row r="845" spans="1:3" x14ac:dyDescent="0.25">
      <c r="A845" s="2">
        <v>844</v>
      </c>
      <c r="B845" s="2">
        <v>83950390476.190308</v>
      </c>
      <c r="C845" s="3">
        <f ca="1">IFERROR(__xludf.DUMMYFUNCTION("B845*GOOGLEFINANCE(""CURRENCY:AUDINR"")"),4464301272184.27)</f>
        <v>4464301272184.2695</v>
      </c>
    </row>
    <row r="846" spans="1:3" x14ac:dyDescent="0.25">
      <c r="A846" s="2">
        <v>845</v>
      </c>
      <c r="B846" s="2">
        <v>84077576190.475998</v>
      </c>
      <c r="C846" s="3">
        <f ca="1">IFERROR(__xludf.DUMMYFUNCTION("B846*GOOGLEFINANCE(""CURRENCY:AUDINR"")"),4471064735020.7)</f>
        <v>4471064735020.7002</v>
      </c>
    </row>
    <row r="847" spans="1:3" x14ac:dyDescent="0.25">
      <c r="A847" s="2">
        <v>846</v>
      </c>
      <c r="B847" s="2">
        <v>84204761904.761703</v>
      </c>
      <c r="C847" s="3">
        <f ca="1">IFERROR(__xludf.DUMMYFUNCTION("B847*GOOGLEFINANCE(""CURRENCY:AUDINR"")"),4477828197857.13)</f>
        <v>4477828197857.1299</v>
      </c>
    </row>
    <row r="848" spans="1:3" x14ac:dyDescent="0.25">
      <c r="A848" s="2">
        <v>847</v>
      </c>
      <c r="B848" s="2">
        <v>84331947619.047394</v>
      </c>
      <c r="C848" s="3">
        <f ca="1">IFERROR(__xludf.DUMMYFUNCTION("B848*GOOGLEFINANCE(""CURRENCY:AUDINR"")"),4484591660693.56)</f>
        <v>4484591660693.5596</v>
      </c>
    </row>
    <row r="849" spans="1:3" x14ac:dyDescent="0.25">
      <c r="A849" s="2">
        <v>848</v>
      </c>
      <c r="B849" s="2">
        <v>84459133333.333206</v>
      </c>
      <c r="C849" s="3">
        <f ca="1">IFERROR(__xludf.DUMMYFUNCTION("B849*GOOGLEFINANCE(""CURRENCY:AUDINR"")"),4491355123529.99)</f>
        <v>4491355123529.9902</v>
      </c>
    </row>
    <row r="850" spans="1:3" x14ac:dyDescent="0.25">
      <c r="A850" s="2">
        <v>849</v>
      </c>
      <c r="B850" s="2">
        <v>84586319047.618896</v>
      </c>
      <c r="C850" s="3">
        <f ca="1">IFERROR(__xludf.DUMMYFUNCTION("B850*GOOGLEFINANCE(""CURRENCY:AUDINR"")"),4498118586366.42)</f>
        <v>4498118586366.4199</v>
      </c>
    </row>
    <row r="851" spans="1:3" x14ac:dyDescent="0.25">
      <c r="A851" s="2">
        <v>850</v>
      </c>
      <c r="B851" s="2">
        <v>84713504761.904602</v>
      </c>
      <c r="C851" s="3">
        <f ca="1">IFERROR(__xludf.DUMMYFUNCTION("B851*GOOGLEFINANCE(""CURRENCY:AUDINR"")"),4504882049202.84)</f>
        <v>4504882049202.8398</v>
      </c>
    </row>
    <row r="852" spans="1:3" x14ac:dyDescent="0.25">
      <c r="A852" s="2">
        <v>851</v>
      </c>
      <c r="B852" s="2">
        <v>84840690476.190308</v>
      </c>
      <c r="C852" s="3">
        <f ca="1">IFERROR(__xludf.DUMMYFUNCTION("B852*GOOGLEFINANCE(""CURRENCY:AUDINR"")"),4511645512039.27)</f>
        <v>4511645512039.2695</v>
      </c>
    </row>
    <row r="853" spans="1:3" x14ac:dyDescent="0.25">
      <c r="A853" s="2">
        <v>852</v>
      </c>
      <c r="B853" s="2">
        <v>84967876190.475998</v>
      </c>
      <c r="C853" s="3">
        <f ca="1">IFERROR(__xludf.DUMMYFUNCTION("B853*GOOGLEFINANCE(""CURRENCY:AUDINR"")"),4518408974875.7)</f>
        <v>4518408974875.7002</v>
      </c>
    </row>
    <row r="854" spans="1:3" x14ac:dyDescent="0.25">
      <c r="A854" s="2">
        <v>853</v>
      </c>
      <c r="B854" s="2">
        <v>85095061904.761703</v>
      </c>
      <c r="C854" s="3">
        <f ca="1">IFERROR(__xludf.DUMMYFUNCTION("B854*GOOGLEFINANCE(""CURRENCY:AUDINR"")"),4525172437712.13)</f>
        <v>4525172437712.1299</v>
      </c>
    </row>
    <row r="855" spans="1:3" x14ac:dyDescent="0.25">
      <c r="A855" s="2">
        <v>854</v>
      </c>
      <c r="B855" s="2">
        <v>85222247619.047394</v>
      </c>
      <c r="C855" s="3">
        <f ca="1">IFERROR(__xludf.DUMMYFUNCTION("B855*GOOGLEFINANCE(""CURRENCY:AUDINR"")"),4531935900548.56)</f>
        <v>4531935900548.5596</v>
      </c>
    </row>
    <row r="856" spans="1:3" x14ac:dyDescent="0.25">
      <c r="A856" s="2">
        <v>855</v>
      </c>
      <c r="B856" s="2">
        <v>85349433333.333206</v>
      </c>
      <c r="C856" s="3">
        <f ca="1">IFERROR(__xludf.DUMMYFUNCTION("B856*GOOGLEFINANCE(""CURRENCY:AUDINR"")"),4538699363384.99)</f>
        <v>4538699363384.9902</v>
      </c>
    </row>
    <row r="857" spans="1:3" x14ac:dyDescent="0.25">
      <c r="A857" s="2">
        <v>856</v>
      </c>
      <c r="B857" s="2">
        <v>85476619047.618896</v>
      </c>
      <c r="C857" s="3">
        <f ca="1">IFERROR(__xludf.DUMMYFUNCTION("B857*GOOGLEFINANCE(""CURRENCY:AUDINR"")"),4545462826221.42)</f>
        <v>4545462826221.4199</v>
      </c>
    </row>
    <row r="858" spans="1:3" x14ac:dyDescent="0.25">
      <c r="A858" s="2">
        <v>857</v>
      </c>
      <c r="B858" s="2">
        <v>85603804761.904602</v>
      </c>
      <c r="C858" s="3">
        <f ca="1">IFERROR(__xludf.DUMMYFUNCTION("B858*GOOGLEFINANCE(""CURRENCY:AUDINR"")"),4552226289057.84)</f>
        <v>4552226289057.8398</v>
      </c>
    </row>
    <row r="859" spans="1:3" x14ac:dyDescent="0.25">
      <c r="A859" s="2">
        <v>858</v>
      </c>
      <c r="B859" s="2">
        <v>85730990476.190308</v>
      </c>
      <c r="C859" s="3">
        <f ca="1">IFERROR(__xludf.DUMMYFUNCTION("B859*GOOGLEFINANCE(""CURRENCY:AUDINR"")"),4558989751894.27)</f>
        <v>4558989751894.2695</v>
      </c>
    </row>
    <row r="860" spans="1:3" x14ac:dyDescent="0.25">
      <c r="A860" s="2">
        <v>859</v>
      </c>
      <c r="B860" s="2">
        <v>85858176190.475998</v>
      </c>
      <c r="C860" s="3">
        <f ca="1">IFERROR(__xludf.DUMMYFUNCTION("B860*GOOGLEFINANCE(""CURRENCY:AUDINR"")"),4565753214730.7)</f>
        <v>4565753214730.7002</v>
      </c>
    </row>
    <row r="861" spans="1:3" x14ac:dyDescent="0.25">
      <c r="A861" s="2">
        <v>860</v>
      </c>
      <c r="B861" s="2">
        <v>85985361904.761703</v>
      </c>
      <c r="C861" s="3">
        <f ca="1">IFERROR(__xludf.DUMMYFUNCTION("B861*GOOGLEFINANCE(""CURRENCY:AUDINR"")"),4572516677567.13)</f>
        <v>4572516677567.1299</v>
      </c>
    </row>
    <row r="862" spans="1:3" x14ac:dyDescent="0.25">
      <c r="A862" s="2">
        <v>861</v>
      </c>
      <c r="B862" s="2">
        <v>86112547619.047394</v>
      </c>
      <c r="C862" s="3">
        <f ca="1">IFERROR(__xludf.DUMMYFUNCTION("B862*GOOGLEFINANCE(""CURRENCY:AUDINR"")"),4579280140403.56)</f>
        <v>4579280140403.5596</v>
      </c>
    </row>
    <row r="863" spans="1:3" x14ac:dyDescent="0.25">
      <c r="A863" s="2">
        <v>862</v>
      </c>
      <c r="B863" s="2">
        <v>86239733333.333206</v>
      </c>
      <c r="C863" s="3">
        <f ca="1">IFERROR(__xludf.DUMMYFUNCTION("B863*GOOGLEFINANCE(""CURRENCY:AUDINR"")"),4586043603239.99)</f>
        <v>4586043603239.9902</v>
      </c>
    </row>
    <row r="864" spans="1:3" x14ac:dyDescent="0.25">
      <c r="A864" s="2">
        <v>863</v>
      </c>
      <c r="B864" s="2">
        <v>86366919047.618896</v>
      </c>
      <c r="C864" s="3">
        <f ca="1">IFERROR(__xludf.DUMMYFUNCTION("B864*GOOGLEFINANCE(""CURRENCY:AUDINR"")"),4592807066076.42)</f>
        <v>4592807066076.4199</v>
      </c>
    </row>
    <row r="865" spans="1:3" x14ac:dyDescent="0.25">
      <c r="A865" s="2">
        <v>864</v>
      </c>
      <c r="B865" s="2">
        <v>86494104761.904602</v>
      </c>
      <c r="C865" s="3">
        <f ca="1">IFERROR(__xludf.DUMMYFUNCTION("B865*GOOGLEFINANCE(""CURRENCY:AUDINR"")"),4599570528912.84)</f>
        <v>4599570528912.8398</v>
      </c>
    </row>
    <row r="866" spans="1:3" x14ac:dyDescent="0.25">
      <c r="A866" s="2">
        <v>865</v>
      </c>
      <c r="B866" s="2">
        <v>86621290476.190308</v>
      </c>
      <c r="C866" s="3">
        <f ca="1">IFERROR(__xludf.DUMMYFUNCTION("B866*GOOGLEFINANCE(""CURRENCY:AUDINR"")"),4606333991749.27)</f>
        <v>4606333991749.2695</v>
      </c>
    </row>
    <row r="867" spans="1:3" x14ac:dyDescent="0.25">
      <c r="A867" s="2">
        <v>866</v>
      </c>
      <c r="B867" s="2">
        <v>86748476190.475998</v>
      </c>
      <c r="C867" s="3">
        <f ca="1">IFERROR(__xludf.DUMMYFUNCTION("B867*GOOGLEFINANCE(""CURRENCY:AUDINR"")"),4613097454585.7)</f>
        <v>4613097454585.7002</v>
      </c>
    </row>
    <row r="868" spans="1:3" x14ac:dyDescent="0.25">
      <c r="A868" s="2">
        <v>867</v>
      </c>
      <c r="B868" s="2">
        <v>86875661904.761703</v>
      </c>
      <c r="C868" s="3">
        <f ca="1">IFERROR(__xludf.DUMMYFUNCTION("B868*GOOGLEFINANCE(""CURRENCY:AUDINR"")"),4619860917422.13)</f>
        <v>4619860917422.1299</v>
      </c>
    </row>
    <row r="869" spans="1:3" x14ac:dyDescent="0.25">
      <c r="A869" s="2">
        <v>868</v>
      </c>
      <c r="B869" s="2">
        <v>87002847619.047394</v>
      </c>
      <c r="C869" s="3">
        <f ca="1">IFERROR(__xludf.DUMMYFUNCTION("B869*GOOGLEFINANCE(""CURRENCY:AUDINR"")"),4626624380258.56)</f>
        <v>4626624380258.5596</v>
      </c>
    </row>
    <row r="870" spans="1:3" x14ac:dyDescent="0.25">
      <c r="A870" s="2">
        <v>869</v>
      </c>
      <c r="B870" s="2">
        <v>87130033333.333206</v>
      </c>
      <c r="C870" s="3">
        <f ca="1">IFERROR(__xludf.DUMMYFUNCTION("B870*GOOGLEFINANCE(""CURRENCY:AUDINR"")"),4633387843094.99)</f>
        <v>4633387843094.9902</v>
      </c>
    </row>
    <row r="871" spans="1:3" x14ac:dyDescent="0.25">
      <c r="A871" s="2">
        <v>870</v>
      </c>
      <c r="B871" s="2">
        <v>87257219047.618896</v>
      </c>
      <c r="C871" s="3">
        <f ca="1">IFERROR(__xludf.DUMMYFUNCTION("B871*GOOGLEFINANCE(""CURRENCY:AUDINR"")"),4640151305931.42)</f>
        <v>4640151305931.4199</v>
      </c>
    </row>
    <row r="872" spans="1:3" x14ac:dyDescent="0.25">
      <c r="A872" s="2">
        <v>871</v>
      </c>
      <c r="B872" s="2">
        <v>87384404761.904602</v>
      </c>
      <c r="C872" s="3">
        <f ca="1">IFERROR(__xludf.DUMMYFUNCTION("B872*GOOGLEFINANCE(""CURRENCY:AUDINR"")"),4646914768767.84)</f>
        <v>4646914768767.8398</v>
      </c>
    </row>
    <row r="873" spans="1:3" x14ac:dyDescent="0.25">
      <c r="A873" s="2">
        <v>872</v>
      </c>
      <c r="B873" s="2">
        <v>87511590476.190308</v>
      </c>
      <c r="C873" s="3">
        <f ca="1">IFERROR(__xludf.DUMMYFUNCTION("B873*GOOGLEFINANCE(""CURRENCY:AUDINR"")"),4653678231604.27)</f>
        <v>4653678231604.2695</v>
      </c>
    </row>
    <row r="874" spans="1:3" x14ac:dyDescent="0.25">
      <c r="A874" s="2">
        <v>873</v>
      </c>
      <c r="B874" s="2">
        <v>87638776190.475998</v>
      </c>
      <c r="C874" s="3">
        <f ca="1">IFERROR(__xludf.DUMMYFUNCTION("B874*GOOGLEFINANCE(""CURRENCY:AUDINR"")"),4660441694440.7)</f>
        <v>4660441694440.7002</v>
      </c>
    </row>
    <row r="875" spans="1:3" x14ac:dyDescent="0.25">
      <c r="A875" s="2">
        <v>874</v>
      </c>
      <c r="B875" s="2">
        <v>87765961904.761703</v>
      </c>
      <c r="C875" s="3">
        <f ca="1">IFERROR(__xludf.DUMMYFUNCTION("B875*GOOGLEFINANCE(""CURRENCY:AUDINR"")"),4667205157277.13)</f>
        <v>4667205157277.1299</v>
      </c>
    </row>
    <row r="876" spans="1:3" x14ac:dyDescent="0.25">
      <c r="A876" s="2">
        <v>875</v>
      </c>
      <c r="B876" s="2">
        <v>87893147619.047394</v>
      </c>
      <c r="C876" s="3">
        <f ca="1">IFERROR(__xludf.DUMMYFUNCTION("B876*GOOGLEFINANCE(""CURRENCY:AUDINR"")"),4673968620113.56)</f>
        <v>4673968620113.5596</v>
      </c>
    </row>
    <row r="877" spans="1:3" x14ac:dyDescent="0.25">
      <c r="A877" s="2">
        <v>876</v>
      </c>
      <c r="B877" s="2">
        <v>88020333333.333206</v>
      </c>
      <c r="C877" s="3">
        <f ca="1">IFERROR(__xludf.DUMMYFUNCTION("B877*GOOGLEFINANCE(""CURRENCY:AUDINR"")"),4680732082949.99)</f>
        <v>4680732082949.9902</v>
      </c>
    </row>
    <row r="878" spans="1:3" x14ac:dyDescent="0.25">
      <c r="A878" s="2">
        <v>877</v>
      </c>
      <c r="B878" s="2">
        <v>88147519047.618896</v>
      </c>
      <c r="C878" s="3">
        <f ca="1">IFERROR(__xludf.DUMMYFUNCTION("B878*GOOGLEFINANCE(""CURRENCY:AUDINR"")"),4687495545786.42)</f>
        <v>4687495545786.4199</v>
      </c>
    </row>
    <row r="879" spans="1:3" x14ac:dyDescent="0.25">
      <c r="A879" s="2">
        <v>878</v>
      </c>
      <c r="B879" s="2">
        <v>88274704761.904602</v>
      </c>
      <c r="C879" s="3">
        <f ca="1">IFERROR(__xludf.DUMMYFUNCTION("B879*GOOGLEFINANCE(""CURRENCY:AUDINR"")"),4694259008622.84)</f>
        <v>4694259008622.8398</v>
      </c>
    </row>
    <row r="880" spans="1:3" x14ac:dyDescent="0.25">
      <c r="A880" s="2">
        <v>879</v>
      </c>
      <c r="B880" s="2">
        <v>88401890476.190308</v>
      </c>
      <c r="C880" s="3">
        <f ca="1">IFERROR(__xludf.DUMMYFUNCTION("B880*GOOGLEFINANCE(""CURRENCY:AUDINR"")"),4701022471459.27)</f>
        <v>4701022471459.2695</v>
      </c>
    </row>
    <row r="881" spans="1:3" x14ac:dyDescent="0.25">
      <c r="A881" s="2">
        <v>880</v>
      </c>
      <c r="B881" s="2">
        <v>88529076190.475998</v>
      </c>
      <c r="C881" s="3">
        <f ca="1">IFERROR(__xludf.DUMMYFUNCTION("B881*GOOGLEFINANCE(""CURRENCY:AUDINR"")"),4707785934295.7)</f>
        <v>4707785934295.7002</v>
      </c>
    </row>
    <row r="882" spans="1:3" x14ac:dyDescent="0.25">
      <c r="A882" s="2">
        <v>881</v>
      </c>
      <c r="B882" s="2">
        <v>88656261904.761703</v>
      </c>
      <c r="C882" s="3">
        <f ca="1">IFERROR(__xludf.DUMMYFUNCTION("B882*GOOGLEFINANCE(""CURRENCY:AUDINR"")"),4714549397132.13)</f>
        <v>4714549397132.1299</v>
      </c>
    </row>
    <row r="883" spans="1:3" x14ac:dyDescent="0.25">
      <c r="A883" s="2">
        <v>882</v>
      </c>
      <c r="B883" s="2">
        <v>88783447619.047394</v>
      </c>
      <c r="C883" s="3">
        <f ca="1">IFERROR(__xludf.DUMMYFUNCTION("B883*GOOGLEFINANCE(""CURRENCY:AUDINR"")"),4721312859968.56)</f>
        <v>4721312859968.5596</v>
      </c>
    </row>
    <row r="884" spans="1:3" x14ac:dyDescent="0.25">
      <c r="A884" s="2">
        <v>883</v>
      </c>
      <c r="B884" s="2">
        <v>88910633333.333206</v>
      </c>
      <c r="C884" s="3">
        <f ca="1">IFERROR(__xludf.DUMMYFUNCTION("B884*GOOGLEFINANCE(""CURRENCY:AUDINR"")"),4728076322804.99)</f>
        <v>4728076322804.9902</v>
      </c>
    </row>
    <row r="885" spans="1:3" x14ac:dyDescent="0.25">
      <c r="A885" s="2">
        <v>884</v>
      </c>
      <c r="B885" s="2">
        <v>89037819047.618896</v>
      </c>
      <c r="C885" s="3">
        <f ca="1">IFERROR(__xludf.DUMMYFUNCTION("B885*GOOGLEFINANCE(""CURRENCY:AUDINR"")"),4734839785641.42)</f>
        <v>4734839785641.4199</v>
      </c>
    </row>
    <row r="886" spans="1:3" x14ac:dyDescent="0.25">
      <c r="A886" s="2">
        <v>885</v>
      </c>
      <c r="B886" s="2">
        <v>89165004761.904602</v>
      </c>
      <c r="C886" s="3">
        <f ca="1">IFERROR(__xludf.DUMMYFUNCTION("B886*GOOGLEFINANCE(""CURRENCY:AUDINR"")"),4741603248477.84)</f>
        <v>4741603248477.8398</v>
      </c>
    </row>
    <row r="887" spans="1:3" x14ac:dyDescent="0.25">
      <c r="A887" s="2">
        <v>886</v>
      </c>
      <c r="B887" s="2">
        <v>89292190476.190308</v>
      </c>
      <c r="C887" s="3">
        <f ca="1">IFERROR(__xludf.DUMMYFUNCTION("B887*GOOGLEFINANCE(""CURRENCY:AUDINR"")"),4748366711314.27)</f>
        <v>4748366711314.2695</v>
      </c>
    </row>
    <row r="888" spans="1:3" x14ac:dyDescent="0.25">
      <c r="A888" s="2">
        <v>887</v>
      </c>
      <c r="B888" s="2">
        <v>89419376190.475998</v>
      </c>
      <c r="C888" s="3">
        <f ca="1">IFERROR(__xludf.DUMMYFUNCTION("B888*GOOGLEFINANCE(""CURRENCY:AUDINR"")"),4755130174150.7)</f>
        <v>4755130174150.7002</v>
      </c>
    </row>
    <row r="889" spans="1:3" x14ac:dyDescent="0.25">
      <c r="A889" s="2">
        <v>888</v>
      </c>
      <c r="B889" s="2">
        <v>89546561904.761703</v>
      </c>
      <c r="C889" s="3">
        <f ca="1">IFERROR(__xludf.DUMMYFUNCTION("B889*GOOGLEFINANCE(""CURRENCY:AUDINR"")"),4761893636987.13)</f>
        <v>4761893636987.1299</v>
      </c>
    </row>
    <row r="890" spans="1:3" x14ac:dyDescent="0.25">
      <c r="A890" s="2">
        <v>889</v>
      </c>
      <c r="B890" s="2">
        <v>89673747619.047394</v>
      </c>
      <c r="C890" s="3">
        <f ca="1">IFERROR(__xludf.DUMMYFUNCTION("B890*GOOGLEFINANCE(""CURRENCY:AUDINR"")"),4768657099823.56)</f>
        <v>4768657099823.5596</v>
      </c>
    </row>
    <row r="891" spans="1:3" x14ac:dyDescent="0.25">
      <c r="A891" s="2">
        <v>890</v>
      </c>
      <c r="B891" s="2">
        <v>89800933333.333206</v>
      </c>
      <c r="C891" s="3">
        <f ca="1">IFERROR(__xludf.DUMMYFUNCTION("B891*GOOGLEFINANCE(""CURRENCY:AUDINR"")"),4775420562659.99)</f>
        <v>4775420562659.9902</v>
      </c>
    </row>
    <row r="892" spans="1:3" x14ac:dyDescent="0.25">
      <c r="A892" s="2">
        <v>891</v>
      </c>
      <c r="B892" s="2">
        <v>89928119047.618896</v>
      </c>
      <c r="C892" s="3">
        <f ca="1">IFERROR(__xludf.DUMMYFUNCTION("B892*GOOGLEFINANCE(""CURRENCY:AUDINR"")"),4782184025496.42)</f>
        <v>4782184025496.4199</v>
      </c>
    </row>
    <row r="893" spans="1:3" x14ac:dyDescent="0.25">
      <c r="A893" s="2">
        <v>892</v>
      </c>
      <c r="B893" s="2">
        <v>90055304761.904602</v>
      </c>
      <c r="C893" s="3">
        <f ca="1">IFERROR(__xludf.DUMMYFUNCTION("B893*GOOGLEFINANCE(""CURRENCY:AUDINR"")"),4788947488332.84)</f>
        <v>4788947488332.8398</v>
      </c>
    </row>
    <row r="894" spans="1:3" x14ac:dyDescent="0.25">
      <c r="A894" s="2">
        <v>893</v>
      </c>
      <c r="B894" s="2">
        <v>90182490476.190308</v>
      </c>
      <c r="C894" s="3">
        <f ca="1">IFERROR(__xludf.DUMMYFUNCTION("B894*GOOGLEFINANCE(""CURRENCY:AUDINR"")"),4795710951169.27)</f>
        <v>4795710951169.2695</v>
      </c>
    </row>
    <row r="895" spans="1:3" x14ac:dyDescent="0.25">
      <c r="A895" s="2">
        <v>894</v>
      </c>
      <c r="B895" s="2">
        <v>90309676190.475998</v>
      </c>
      <c r="C895" s="3">
        <f ca="1">IFERROR(__xludf.DUMMYFUNCTION("B895*GOOGLEFINANCE(""CURRENCY:AUDINR"")"),4802474414005.7)</f>
        <v>4802474414005.7002</v>
      </c>
    </row>
    <row r="896" spans="1:3" x14ac:dyDescent="0.25">
      <c r="A896" s="2">
        <v>895</v>
      </c>
      <c r="B896" s="2">
        <v>90436861904.761703</v>
      </c>
      <c r="C896" s="3">
        <f ca="1">IFERROR(__xludf.DUMMYFUNCTION("B896*GOOGLEFINANCE(""CURRENCY:AUDINR"")"),4809237876842.13)</f>
        <v>4809237876842.1299</v>
      </c>
    </row>
    <row r="897" spans="1:3" x14ac:dyDescent="0.25">
      <c r="A897" s="2">
        <v>896</v>
      </c>
      <c r="B897" s="2">
        <v>90564047619.047394</v>
      </c>
      <c r="C897" s="3">
        <f ca="1">IFERROR(__xludf.DUMMYFUNCTION("B897*GOOGLEFINANCE(""CURRENCY:AUDINR"")"),4816001339678.56)</f>
        <v>4816001339678.5596</v>
      </c>
    </row>
    <row r="898" spans="1:3" x14ac:dyDescent="0.25">
      <c r="A898" s="2">
        <v>897</v>
      </c>
      <c r="B898" s="2">
        <v>90691233333.333206</v>
      </c>
      <c r="C898" s="3">
        <f ca="1">IFERROR(__xludf.DUMMYFUNCTION("B898*GOOGLEFINANCE(""CURRENCY:AUDINR"")"),4822764802514.99)</f>
        <v>4822764802514.9902</v>
      </c>
    </row>
    <row r="899" spans="1:3" x14ac:dyDescent="0.25">
      <c r="A899" s="2">
        <v>898</v>
      </c>
      <c r="B899" s="2">
        <v>90818419047.618896</v>
      </c>
      <c r="C899" s="3">
        <f ca="1">IFERROR(__xludf.DUMMYFUNCTION("B899*GOOGLEFINANCE(""CURRENCY:AUDINR"")"),4829528265351.42)</f>
        <v>4829528265351.4199</v>
      </c>
    </row>
    <row r="900" spans="1:3" x14ac:dyDescent="0.25">
      <c r="A900" s="2">
        <v>899</v>
      </c>
      <c r="B900" s="2">
        <v>90945604761.904602</v>
      </c>
      <c r="C900" s="3">
        <f ca="1">IFERROR(__xludf.DUMMYFUNCTION("B900*GOOGLEFINANCE(""CURRENCY:AUDINR"")"),4836291728187.84)</f>
        <v>4836291728187.8398</v>
      </c>
    </row>
    <row r="901" spans="1:3" x14ac:dyDescent="0.25">
      <c r="A901" s="2">
        <v>900</v>
      </c>
      <c r="B901" s="2">
        <v>91072790476.190308</v>
      </c>
      <c r="C901" s="3">
        <f ca="1">IFERROR(__xludf.DUMMYFUNCTION("B901*GOOGLEFINANCE(""CURRENCY:AUDINR"")"),4843055191024.27)</f>
        <v>4843055191024.2695</v>
      </c>
    </row>
    <row r="902" spans="1:3" x14ac:dyDescent="0.25">
      <c r="A902" s="2">
        <v>901</v>
      </c>
      <c r="B902" s="2">
        <v>91199976190.475998</v>
      </c>
      <c r="C902" s="3">
        <f ca="1">IFERROR(__xludf.DUMMYFUNCTION("B902*GOOGLEFINANCE(""CURRENCY:AUDINR"")"),4849818653860.7)</f>
        <v>4849818653860.7002</v>
      </c>
    </row>
    <row r="903" spans="1:3" x14ac:dyDescent="0.25">
      <c r="A903" s="2">
        <v>902</v>
      </c>
      <c r="B903" s="2">
        <v>91327161904.761703</v>
      </c>
      <c r="C903" s="3">
        <f ca="1">IFERROR(__xludf.DUMMYFUNCTION("B903*GOOGLEFINANCE(""CURRENCY:AUDINR"")"),4856582116697.13)</f>
        <v>4856582116697.1299</v>
      </c>
    </row>
    <row r="904" spans="1:3" x14ac:dyDescent="0.25">
      <c r="A904" s="2">
        <v>903</v>
      </c>
      <c r="B904" s="2">
        <v>91454347619.047394</v>
      </c>
      <c r="C904" s="3">
        <f ca="1">IFERROR(__xludf.DUMMYFUNCTION("B904*GOOGLEFINANCE(""CURRENCY:AUDINR"")"),4863345579533.56)</f>
        <v>4863345579533.5596</v>
      </c>
    </row>
    <row r="905" spans="1:3" x14ac:dyDescent="0.25">
      <c r="A905" s="2">
        <v>904</v>
      </c>
      <c r="B905" s="2">
        <v>91581533333.333099</v>
      </c>
      <c r="C905" s="3">
        <f ca="1">IFERROR(__xludf.DUMMYFUNCTION("B905*GOOGLEFINANCE(""CURRENCY:AUDINR"")"),4870109042369.98)</f>
        <v>4870109042369.9805</v>
      </c>
    </row>
    <row r="906" spans="1:3" x14ac:dyDescent="0.25">
      <c r="A906" s="2">
        <v>905</v>
      </c>
      <c r="B906" s="2">
        <v>91708719047.618896</v>
      </c>
      <c r="C906" s="3">
        <f ca="1">IFERROR(__xludf.DUMMYFUNCTION("B906*GOOGLEFINANCE(""CURRENCY:AUDINR"")"),4876872505206.42)</f>
        <v>4876872505206.4199</v>
      </c>
    </row>
    <row r="907" spans="1:3" x14ac:dyDescent="0.25">
      <c r="A907" s="2">
        <v>906</v>
      </c>
      <c r="B907" s="2">
        <v>91835904761.904602</v>
      </c>
      <c r="C907" s="3">
        <f ca="1">IFERROR(__xludf.DUMMYFUNCTION("B907*GOOGLEFINANCE(""CURRENCY:AUDINR"")"),4883635968042.84)</f>
        <v>4883635968042.8398</v>
      </c>
    </row>
    <row r="908" spans="1:3" x14ac:dyDescent="0.25">
      <c r="A908" s="2">
        <v>907</v>
      </c>
      <c r="B908" s="2">
        <v>91963090476.190308</v>
      </c>
      <c r="C908" s="3">
        <f ca="1">IFERROR(__xludf.DUMMYFUNCTION("B908*GOOGLEFINANCE(""CURRENCY:AUDINR"")"),4890399430879.27)</f>
        <v>4890399430879.2695</v>
      </c>
    </row>
    <row r="909" spans="1:3" x14ac:dyDescent="0.25">
      <c r="A909" s="2">
        <v>908</v>
      </c>
      <c r="B909" s="2">
        <v>92090276190.475998</v>
      </c>
      <c r="C909" s="3">
        <f ca="1">IFERROR(__xludf.DUMMYFUNCTION("B909*GOOGLEFINANCE(""CURRENCY:AUDINR"")"),4897162893715.7)</f>
        <v>4897162893715.7002</v>
      </c>
    </row>
    <row r="910" spans="1:3" x14ac:dyDescent="0.25">
      <c r="A910" s="2">
        <v>909</v>
      </c>
      <c r="B910" s="2">
        <v>92217461904.761703</v>
      </c>
      <c r="C910" s="3">
        <f ca="1">IFERROR(__xludf.DUMMYFUNCTION("B910*GOOGLEFINANCE(""CURRENCY:AUDINR"")"),4903926356552.13)</f>
        <v>4903926356552.1299</v>
      </c>
    </row>
    <row r="911" spans="1:3" x14ac:dyDescent="0.25">
      <c r="A911" s="2">
        <v>910</v>
      </c>
      <c r="B911" s="2">
        <v>92344647619.047394</v>
      </c>
      <c r="C911" s="3">
        <f ca="1">IFERROR(__xludf.DUMMYFUNCTION("B911*GOOGLEFINANCE(""CURRENCY:AUDINR"")"),4910689819388.56)</f>
        <v>4910689819388.5596</v>
      </c>
    </row>
    <row r="912" spans="1:3" x14ac:dyDescent="0.25">
      <c r="A912" s="2">
        <v>911</v>
      </c>
      <c r="B912" s="2">
        <v>92471833333.333099</v>
      </c>
      <c r="C912" s="3">
        <f ca="1">IFERROR(__xludf.DUMMYFUNCTION("B912*GOOGLEFINANCE(""CURRENCY:AUDINR"")"),4917453282224.98)</f>
        <v>4917453282224.9805</v>
      </c>
    </row>
    <row r="913" spans="1:3" x14ac:dyDescent="0.25">
      <c r="A913" s="2">
        <v>912</v>
      </c>
      <c r="B913" s="2">
        <v>92599019047.618896</v>
      </c>
      <c r="C913" s="3">
        <f ca="1">IFERROR(__xludf.DUMMYFUNCTION("B913*GOOGLEFINANCE(""CURRENCY:AUDINR"")"),4924216745061.42)</f>
        <v>4924216745061.4199</v>
      </c>
    </row>
    <row r="914" spans="1:3" x14ac:dyDescent="0.25">
      <c r="A914" s="2">
        <v>913</v>
      </c>
      <c r="B914" s="2">
        <v>92726204761.904602</v>
      </c>
      <c r="C914" s="3">
        <f ca="1">IFERROR(__xludf.DUMMYFUNCTION("B914*GOOGLEFINANCE(""CURRENCY:AUDINR"")"),4930980207897.84)</f>
        <v>4930980207897.8398</v>
      </c>
    </row>
    <row r="915" spans="1:3" x14ac:dyDescent="0.25">
      <c r="A915" s="2">
        <v>914</v>
      </c>
      <c r="B915" s="2">
        <v>92853390476.190308</v>
      </c>
      <c r="C915" s="3">
        <f ca="1">IFERROR(__xludf.DUMMYFUNCTION("B915*GOOGLEFINANCE(""CURRENCY:AUDINR"")"),4937743670734.27)</f>
        <v>4937743670734.2695</v>
      </c>
    </row>
    <row r="916" spans="1:3" x14ac:dyDescent="0.25">
      <c r="A916" s="2">
        <v>915</v>
      </c>
      <c r="B916" s="2">
        <v>92980576190.475998</v>
      </c>
      <c r="C916" s="3">
        <f ca="1">IFERROR(__xludf.DUMMYFUNCTION("B916*GOOGLEFINANCE(""CURRENCY:AUDINR"")"),4944507133570.7)</f>
        <v>4944507133570.7002</v>
      </c>
    </row>
    <row r="917" spans="1:3" x14ac:dyDescent="0.25">
      <c r="A917" s="2">
        <v>916</v>
      </c>
      <c r="B917" s="2">
        <v>93107761904.761703</v>
      </c>
      <c r="C917" s="3">
        <f ca="1">IFERROR(__xludf.DUMMYFUNCTION("B917*GOOGLEFINANCE(""CURRENCY:AUDINR"")"),4951270596407.13)</f>
        <v>4951270596407.1299</v>
      </c>
    </row>
    <row r="918" spans="1:3" x14ac:dyDescent="0.25">
      <c r="A918" s="2">
        <v>917</v>
      </c>
      <c r="B918" s="2">
        <v>93234947619.047394</v>
      </c>
      <c r="C918" s="3">
        <f ca="1">IFERROR(__xludf.DUMMYFUNCTION("B918*GOOGLEFINANCE(""CURRENCY:AUDINR"")"),4958034059243.56)</f>
        <v>4958034059243.5596</v>
      </c>
    </row>
    <row r="919" spans="1:3" x14ac:dyDescent="0.25">
      <c r="A919" s="2">
        <v>918</v>
      </c>
      <c r="B919" s="2">
        <v>93362133333.333099</v>
      </c>
      <c r="C919" s="3">
        <f ca="1">IFERROR(__xludf.DUMMYFUNCTION("B919*GOOGLEFINANCE(""CURRENCY:AUDINR"")"),4964797522079.98)</f>
        <v>4964797522079.9805</v>
      </c>
    </row>
    <row r="920" spans="1:3" x14ac:dyDescent="0.25">
      <c r="A920" s="2">
        <v>919</v>
      </c>
      <c r="B920" s="2">
        <v>93489319047.618896</v>
      </c>
      <c r="C920" s="3">
        <f ca="1">IFERROR(__xludf.DUMMYFUNCTION("B920*GOOGLEFINANCE(""CURRENCY:AUDINR"")"),4971560984916.42)</f>
        <v>4971560984916.4199</v>
      </c>
    </row>
    <row r="921" spans="1:3" x14ac:dyDescent="0.25">
      <c r="A921" s="2">
        <v>920</v>
      </c>
      <c r="B921" s="2">
        <v>93616504761.904602</v>
      </c>
      <c r="C921" s="3">
        <f ca="1">IFERROR(__xludf.DUMMYFUNCTION("B921*GOOGLEFINANCE(""CURRENCY:AUDINR"")"),4978324447752.84)</f>
        <v>4978324447752.8398</v>
      </c>
    </row>
    <row r="922" spans="1:3" x14ac:dyDescent="0.25">
      <c r="A922" s="2">
        <v>921</v>
      </c>
      <c r="B922" s="2">
        <v>93743690476.190308</v>
      </c>
      <c r="C922" s="3">
        <f ca="1">IFERROR(__xludf.DUMMYFUNCTION("B922*GOOGLEFINANCE(""CURRENCY:AUDINR"")"),4985087910589.27)</f>
        <v>4985087910589.2695</v>
      </c>
    </row>
    <row r="923" spans="1:3" x14ac:dyDescent="0.25">
      <c r="A923" s="2">
        <v>922</v>
      </c>
      <c r="B923" s="2">
        <v>93870876190.475998</v>
      </c>
      <c r="C923" s="3">
        <f ca="1">IFERROR(__xludf.DUMMYFUNCTION("B923*GOOGLEFINANCE(""CURRENCY:AUDINR"")"),4991851373425.7)</f>
        <v>4991851373425.7002</v>
      </c>
    </row>
    <row r="924" spans="1:3" x14ac:dyDescent="0.25">
      <c r="A924" s="2">
        <v>923</v>
      </c>
      <c r="B924" s="2">
        <v>93998061904.761703</v>
      </c>
      <c r="C924" s="3">
        <f ca="1">IFERROR(__xludf.DUMMYFUNCTION("B924*GOOGLEFINANCE(""CURRENCY:AUDINR"")"),4998614836262.13)</f>
        <v>4998614836262.1299</v>
      </c>
    </row>
    <row r="925" spans="1:3" x14ac:dyDescent="0.25">
      <c r="A925" s="2">
        <v>924</v>
      </c>
      <c r="B925" s="2">
        <v>94125247619.047394</v>
      </c>
      <c r="C925" s="3">
        <f ca="1">IFERROR(__xludf.DUMMYFUNCTION("B925*GOOGLEFINANCE(""CURRENCY:AUDINR"")"),5005378299098.56)</f>
        <v>5005378299098.5596</v>
      </c>
    </row>
    <row r="926" spans="1:3" x14ac:dyDescent="0.25">
      <c r="A926" s="2">
        <v>925</v>
      </c>
      <c r="B926" s="2">
        <v>94252433333.333099</v>
      </c>
      <c r="C926" s="3">
        <f ca="1">IFERROR(__xludf.DUMMYFUNCTION("B926*GOOGLEFINANCE(""CURRENCY:AUDINR"")"),5012141761934.98)</f>
        <v>5012141761934.9805</v>
      </c>
    </row>
    <row r="927" spans="1:3" x14ac:dyDescent="0.25">
      <c r="A927" s="2">
        <v>926</v>
      </c>
      <c r="B927" s="2">
        <v>94379619047.618896</v>
      </c>
      <c r="C927" s="3">
        <f ca="1">IFERROR(__xludf.DUMMYFUNCTION("B927*GOOGLEFINANCE(""CURRENCY:AUDINR"")"),5018905224771.42)</f>
        <v>5018905224771.4199</v>
      </c>
    </row>
    <row r="928" spans="1:3" x14ac:dyDescent="0.25">
      <c r="A928" s="2">
        <v>927</v>
      </c>
      <c r="B928" s="2">
        <v>94506804761.904602</v>
      </c>
      <c r="C928" s="3">
        <f ca="1">IFERROR(__xludf.DUMMYFUNCTION("B928*GOOGLEFINANCE(""CURRENCY:AUDINR"")"),5025668687607.84)</f>
        <v>5025668687607.8398</v>
      </c>
    </row>
    <row r="929" spans="1:3" x14ac:dyDescent="0.25">
      <c r="A929" s="2">
        <v>928</v>
      </c>
      <c r="B929" s="2">
        <v>94633990476.190308</v>
      </c>
      <c r="C929" s="3">
        <f ca="1">IFERROR(__xludf.DUMMYFUNCTION("B929*GOOGLEFINANCE(""CURRENCY:AUDINR"")"),5032432150444.27)</f>
        <v>5032432150444.2695</v>
      </c>
    </row>
    <row r="930" spans="1:3" x14ac:dyDescent="0.25">
      <c r="A930" s="2">
        <v>929</v>
      </c>
      <c r="B930" s="2">
        <v>94761176190.475998</v>
      </c>
      <c r="C930" s="3">
        <f ca="1">IFERROR(__xludf.DUMMYFUNCTION("B930*GOOGLEFINANCE(""CURRENCY:AUDINR"")"),5039195613280.7)</f>
        <v>5039195613280.7002</v>
      </c>
    </row>
    <row r="931" spans="1:3" x14ac:dyDescent="0.25">
      <c r="A931" s="2">
        <v>930</v>
      </c>
      <c r="B931" s="2">
        <v>94888361904.761703</v>
      </c>
      <c r="C931" s="3">
        <f ca="1">IFERROR(__xludf.DUMMYFUNCTION("B931*GOOGLEFINANCE(""CURRENCY:AUDINR"")"),5045959076117.13)</f>
        <v>5045959076117.1299</v>
      </c>
    </row>
    <row r="932" spans="1:3" x14ac:dyDescent="0.25">
      <c r="A932" s="2">
        <v>931</v>
      </c>
      <c r="B932" s="2">
        <v>95015547619.047394</v>
      </c>
      <c r="C932" s="3">
        <f ca="1">IFERROR(__xludf.DUMMYFUNCTION("B932*GOOGLEFINANCE(""CURRENCY:AUDINR"")"),5052722538953.56)</f>
        <v>5052722538953.5596</v>
      </c>
    </row>
    <row r="933" spans="1:3" x14ac:dyDescent="0.25">
      <c r="A933" s="2">
        <v>932</v>
      </c>
      <c r="B933" s="2">
        <v>95142733333.333099</v>
      </c>
      <c r="C933" s="3">
        <f ca="1">IFERROR(__xludf.DUMMYFUNCTION("B933*GOOGLEFINANCE(""CURRENCY:AUDINR"")"),5059486001789.98)</f>
        <v>5059486001789.9805</v>
      </c>
    </row>
    <row r="934" spans="1:3" x14ac:dyDescent="0.25">
      <c r="A934" s="2">
        <v>933</v>
      </c>
      <c r="B934" s="2">
        <v>95269919047.618805</v>
      </c>
      <c r="C934" s="3">
        <f ca="1">IFERROR(__xludf.DUMMYFUNCTION("B934*GOOGLEFINANCE(""CURRENCY:AUDINR"")"),5066249464626.41)</f>
        <v>5066249464626.4102</v>
      </c>
    </row>
    <row r="935" spans="1:3" x14ac:dyDescent="0.25">
      <c r="A935" s="2">
        <v>934</v>
      </c>
      <c r="B935" s="2">
        <v>95397104761.904602</v>
      </c>
      <c r="C935" s="3">
        <f ca="1">IFERROR(__xludf.DUMMYFUNCTION("B935*GOOGLEFINANCE(""CURRENCY:AUDINR"")"),5073012927462.84)</f>
        <v>5073012927462.8398</v>
      </c>
    </row>
    <row r="936" spans="1:3" x14ac:dyDescent="0.25">
      <c r="A936" s="2">
        <v>935</v>
      </c>
      <c r="B936" s="2">
        <v>95524290476.190308</v>
      </c>
      <c r="C936" s="3">
        <f ca="1">IFERROR(__xludf.DUMMYFUNCTION("B936*GOOGLEFINANCE(""CURRENCY:AUDINR"")"),5079776390299.27)</f>
        <v>5079776390299.2695</v>
      </c>
    </row>
    <row r="937" spans="1:3" x14ac:dyDescent="0.25">
      <c r="A937" s="2">
        <v>936</v>
      </c>
      <c r="B937" s="2">
        <v>95651476190.475998</v>
      </c>
      <c r="C937" s="3">
        <f ca="1">IFERROR(__xludf.DUMMYFUNCTION("B937*GOOGLEFINANCE(""CURRENCY:AUDINR"")"),5086539853135.7)</f>
        <v>5086539853135.7002</v>
      </c>
    </row>
    <row r="938" spans="1:3" x14ac:dyDescent="0.25">
      <c r="A938" s="2">
        <v>937</v>
      </c>
      <c r="B938" s="2">
        <v>95778661904.761703</v>
      </c>
      <c r="C938" s="3">
        <f ca="1">IFERROR(__xludf.DUMMYFUNCTION("B938*GOOGLEFINANCE(""CURRENCY:AUDINR"")"),5093303315972.13)</f>
        <v>5093303315972.1299</v>
      </c>
    </row>
    <row r="939" spans="1:3" x14ac:dyDescent="0.25">
      <c r="A939" s="2">
        <v>938</v>
      </c>
      <c r="B939" s="2">
        <v>95905847619.047394</v>
      </c>
      <c r="C939" s="3">
        <f ca="1">IFERROR(__xludf.DUMMYFUNCTION("B939*GOOGLEFINANCE(""CURRENCY:AUDINR"")"),5100066778808.56)</f>
        <v>5100066778808.5596</v>
      </c>
    </row>
    <row r="940" spans="1:3" x14ac:dyDescent="0.25">
      <c r="A940" s="2">
        <v>939</v>
      </c>
      <c r="B940" s="2">
        <v>96033033333.333099</v>
      </c>
      <c r="C940" s="3">
        <f ca="1">IFERROR(__xludf.DUMMYFUNCTION("B940*GOOGLEFINANCE(""CURRENCY:AUDINR"")"),5106830241644.98)</f>
        <v>5106830241644.9805</v>
      </c>
    </row>
    <row r="941" spans="1:3" x14ac:dyDescent="0.25">
      <c r="A941" s="2">
        <v>940</v>
      </c>
      <c r="B941" s="2">
        <v>96160219047.618805</v>
      </c>
      <c r="C941" s="3">
        <f ca="1">IFERROR(__xludf.DUMMYFUNCTION("B941*GOOGLEFINANCE(""CURRENCY:AUDINR"")"),5113593704481.41)</f>
        <v>5113593704481.4102</v>
      </c>
    </row>
    <row r="942" spans="1:3" x14ac:dyDescent="0.25">
      <c r="A942" s="2">
        <v>941</v>
      </c>
      <c r="B942" s="2">
        <v>96287404761.904602</v>
      </c>
      <c r="C942" s="3">
        <f ca="1">IFERROR(__xludf.DUMMYFUNCTION("B942*GOOGLEFINANCE(""CURRENCY:AUDINR"")"),5120357167317.84)</f>
        <v>5120357167317.8398</v>
      </c>
    </row>
    <row r="943" spans="1:3" x14ac:dyDescent="0.25">
      <c r="A943" s="2">
        <v>942</v>
      </c>
      <c r="B943" s="2">
        <v>96414590476.190308</v>
      </c>
      <c r="C943" s="3">
        <f ca="1">IFERROR(__xludf.DUMMYFUNCTION("B943*GOOGLEFINANCE(""CURRENCY:AUDINR"")"),5127120630154.27)</f>
        <v>5127120630154.2695</v>
      </c>
    </row>
    <row r="944" spans="1:3" x14ac:dyDescent="0.25">
      <c r="A944" s="2">
        <v>943</v>
      </c>
      <c r="B944" s="2">
        <v>96541776190.475998</v>
      </c>
      <c r="C944" s="3">
        <f ca="1">IFERROR(__xludf.DUMMYFUNCTION("B944*GOOGLEFINANCE(""CURRENCY:AUDINR"")"),5133884092990.7)</f>
        <v>5133884092990.7002</v>
      </c>
    </row>
    <row r="945" spans="1:3" x14ac:dyDescent="0.25">
      <c r="A945" s="2">
        <v>944</v>
      </c>
      <c r="B945" s="2">
        <v>96668961904.761703</v>
      </c>
      <c r="C945" s="3">
        <f ca="1">IFERROR(__xludf.DUMMYFUNCTION("B945*GOOGLEFINANCE(""CURRENCY:AUDINR"")"),5140647555827.13)</f>
        <v>5140647555827.1299</v>
      </c>
    </row>
    <row r="946" spans="1:3" x14ac:dyDescent="0.25">
      <c r="A946" s="2">
        <v>945</v>
      </c>
      <c r="B946" s="2">
        <v>96796147619.047394</v>
      </c>
      <c r="C946" s="3">
        <f ca="1">IFERROR(__xludf.DUMMYFUNCTION("B946*GOOGLEFINANCE(""CURRENCY:AUDINR"")"),5147411018663.56)</f>
        <v>5147411018663.5596</v>
      </c>
    </row>
    <row r="947" spans="1:3" x14ac:dyDescent="0.25">
      <c r="A947" s="2">
        <v>946</v>
      </c>
      <c r="B947" s="2">
        <v>96923333333.333099</v>
      </c>
      <c r="C947" s="3">
        <f ca="1">IFERROR(__xludf.DUMMYFUNCTION("B947*GOOGLEFINANCE(""CURRENCY:AUDINR"")"),5154174481499.98)</f>
        <v>5154174481499.9805</v>
      </c>
    </row>
    <row r="948" spans="1:3" x14ac:dyDescent="0.25">
      <c r="A948" s="2">
        <v>947</v>
      </c>
      <c r="B948" s="2">
        <v>97050519047.618805</v>
      </c>
      <c r="C948" s="3">
        <f ca="1">IFERROR(__xludf.DUMMYFUNCTION("B948*GOOGLEFINANCE(""CURRENCY:AUDINR"")"),5160937944336.41)</f>
        <v>5160937944336.4102</v>
      </c>
    </row>
    <row r="949" spans="1:3" x14ac:dyDescent="0.25">
      <c r="A949" s="2">
        <v>948</v>
      </c>
      <c r="B949" s="2">
        <v>97177704761.904602</v>
      </c>
      <c r="C949" s="3">
        <f ca="1">IFERROR(__xludf.DUMMYFUNCTION("B949*GOOGLEFINANCE(""CURRENCY:AUDINR"")"),5167701407172.84)</f>
        <v>5167701407172.8398</v>
      </c>
    </row>
    <row r="950" spans="1:3" x14ac:dyDescent="0.25">
      <c r="A950" s="2">
        <v>949</v>
      </c>
      <c r="B950" s="2">
        <v>97304890476.190308</v>
      </c>
      <c r="C950" s="3">
        <f ca="1">IFERROR(__xludf.DUMMYFUNCTION("B950*GOOGLEFINANCE(""CURRENCY:AUDINR"")"),5174464870009.27)</f>
        <v>5174464870009.2695</v>
      </c>
    </row>
    <row r="951" spans="1:3" x14ac:dyDescent="0.25">
      <c r="A951" s="2">
        <v>950</v>
      </c>
      <c r="B951" s="2">
        <v>97432076190.475998</v>
      </c>
      <c r="C951" s="3">
        <f ca="1">IFERROR(__xludf.DUMMYFUNCTION("B951*GOOGLEFINANCE(""CURRENCY:AUDINR"")"),5181228332845.7)</f>
        <v>5181228332845.7002</v>
      </c>
    </row>
    <row r="952" spans="1:3" x14ac:dyDescent="0.25">
      <c r="A952" s="2">
        <v>951</v>
      </c>
      <c r="B952" s="2">
        <v>97559261904.761703</v>
      </c>
      <c r="C952" s="3">
        <f ca="1">IFERROR(__xludf.DUMMYFUNCTION("B952*GOOGLEFINANCE(""CURRENCY:AUDINR"")"),5187991795682.13)</f>
        <v>5187991795682.1299</v>
      </c>
    </row>
    <row r="953" spans="1:3" x14ac:dyDescent="0.25">
      <c r="A953" s="2">
        <v>952</v>
      </c>
      <c r="B953" s="2">
        <v>97686447619.047394</v>
      </c>
      <c r="C953" s="3">
        <f ca="1">IFERROR(__xludf.DUMMYFUNCTION("B953*GOOGLEFINANCE(""CURRENCY:AUDINR"")"),5194755258518.56)</f>
        <v>5194755258518.5596</v>
      </c>
    </row>
    <row r="954" spans="1:3" x14ac:dyDescent="0.25">
      <c r="A954" s="2">
        <v>953</v>
      </c>
      <c r="B954" s="2">
        <v>97813633333.333099</v>
      </c>
      <c r="C954" s="3">
        <f ca="1">IFERROR(__xludf.DUMMYFUNCTION("B954*GOOGLEFINANCE(""CURRENCY:AUDINR"")"),5201518721354.98)</f>
        <v>5201518721354.9805</v>
      </c>
    </row>
    <row r="955" spans="1:3" x14ac:dyDescent="0.25">
      <c r="A955" s="2">
        <v>954</v>
      </c>
      <c r="B955" s="2">
        <v>97940819047.618805</v>
      </c>
      <c r="C955" s="3">
        <f ca="1">IFERROR(__xludf.DUMMYFUNCTION("B955*GOOGLEFINANCE(""CURRENCY:AUDINR"")"),5208282184191.41)</f>
        <v>5208282184191.4102</v>
      </c>
    </row>
    <row r="956" spans="1:3" x14ac:dyDescent="0.25">
      <c r="A956" s="2">
        <v>955</v>
      </c>
      <c r="B956" s="2">
        <v>98068004761.904602</v>
      </c>
      <c r="C956" s="3">
        <f ca="1">IFERROR(__xludf.DUMMYFUNCTION("B956*GOOGLEFINANCE(""CURRENCY:AUDINR"")"),5215045647027.84)</f>
        <v>5215045647027.8398</v>
      </c>
    </row>
    <row r="957" spans="1:3" x14ac:dyDescent="0.25">
      <c r="A957" s="2">
        <v>956</v>
      </c>
      <c r="B957" s="2">
        <v>98195190476.190308</v>
      </c>
      <c r="C957" s="3">
        <f ca="1">IFERROR(__xludf.DUMMYFUNCTION("B957*GOOGLEFINANCE(""CURRENCY:AUDINR"")"),5221809109864.27)</f>
        <v>5221809109864.2695</v>
      </c>
    </row>
    <row r="958" spans="1:3" x14ac:dyDescent="0.25">
      <c r="A958" s="2">
        <v>957</v>
      </c>
      <c r="B958" s="2">
        <v>98322376190.475998</v>
      </c>
      <c r="C958" s="3">
        <f ca="1">IFERROR(__xludf.DUMMYFUNCTION("B958*GOOGLEFINANCE(""CURRENCY:AUDINR"")"),5228572572700.7)</f>
        <v>5228572572700.7002</v>
      </c>
    </row>
    <row r="959" spans="1:3" x14ac:dyDescent="0.25">
      <c r="A959" s="2">
        <v>958</v>
      </c>
      <c r="B959" s="2">
        <v>98449561904.761703</v>
      </c>
      <c r="C959" s="3">
        <f ca="1">IFERROR(__xludf.DUMMYFUNCTION("B959*GOOGLEFINANCE(""CURRENCY:AUDINR"")"),5235336035537.13)</f>
        <v>5235336035537.1299</v>
      </c>
    </row>
    <row r="960" spans="1:3" x14ac:dyDescent="0.25">
      <c r="A960" s="2">
        <v>959</v>
      </c>
      <c r="B960" s="2">
        <v>98576747619.047394</v>
      </c>
      <c r="C960" s="3">
        <f ca="1">IFERROR(__xludf.DUMMYFUNCTION("B960*GOOGLEFINANCE(""CURRENCY:AUDINR"")"),5242099498373.56)</f>
        <v>5242099498373.5596</v>
      </c>
    </row>
    <row r="961" spans="1:3" x14ac:dyDescent="0.25">
      <c r="A961" s="2">
        <v>960</v>
      </c>
      <c r="B961" s="2">
        <v>98703933333.333099</v>
      </c>
      <c r="C961" s="3">
        <f ca="1">IFERROR(__xludf.DUMMYFUNCTION("B961*GOOGLEFINANCE(""CURRENCY:AUDINR"")"),5248862961209.98)</f>
        <v>5248862961209.9805</v>
      </c>
    </row>
    <row r="962" spans="1:3" x14ac:dyDescent="0.25">
      <c r="A962" s="2">
        <v>961</v>
      </c>
      <c r="B962" s="2">
        <v>98831119047.618805</v>
      </c>
      <c r="C962" s="3">
        <f ca="1">IFERROR(__xludf.DUMMYFUNCTION("B962*GOOGLEFINANCE(""CURRENCY:AUDINR"")"),5255626424046.41)</f>
        <v>5255626424046.4102</v>
      </c>
    </row>
    <row r="963" spans="1:3" x14ac:dyDescent="0.25">
      <c r="A963" s="2">
        <v>962</v>
      </c>
      <c r="B963" s="2">
        <v>98958304761.904602</v>
      </c>
      <c r="C963" s="3">
        <f ca="1">IFERROR(__xludf.DUMMYFUNCTION("B963*GOOGLEFINANCE(""CURRENCY:AUDINR"")"),5262389886882.84)</f>
        <v>5262389886882.8398</v>
      </c>
    </row>
    <row r="964" spans="1:3" x14ac:dyDescent="0.25">
      <c r="A964" s="2">
        <v>963</v>
      </c>
      <c r="B964" s="2">
        <v>99085490476.190308</v>
      </c>
      <c r="C964" s="3">
        <f ca="1">IFERROR(__xludf.DUMMYFUNCTION("B964*GOOGLEFINANCE(""CURRENCY:AUDINR"")"),5269153349719.27)</f>
        <v>5269153349719.2695</v>
      </c>
    </row>
    <row r="965" spans="1:3" x14ac:dyDescent="0.25">
      <c r="A965" s="2">
        <v>964</v>
      </c>
      <c r="B965" s="2">
        <v>99212676190.475998</v>
      </c>
      <c r="C965" s="3">
        <f ca="1">IFERROR(__xludf.DUMMYFUNCTION("B965*GOOGLEFINANCE(""CURRENCY:AUDINR"")"),5275916812555.7)</f>
        <v>5275916812555.7002</v>
      </c>
    </row>
    <row r="966" spans="1:3" x14ac:dyDescent="0.25">
      <c r="A966" s="2">
        <v>965</v>
      </c>
      <c r="B966" s="2">
        <v>99339861904.761703</v>
      </c>
      <c r="C966" s="3">
        <f ca="1">IFERROR(__xludf.DUMMYFUNCTION("B966*GOOGLEFINANCE(""CURRENCY:AUDINR"")"),5282680275392.13)</f>
        <v>5282680275392.1299</v>
      </c>
    </row>
    <row r="967" spans="1:3" x14ac:dyDescent="0.25">
      <c r="A967" s="2">
        <v>966</v>
      </c>
      <c r="B967" s="2">
        <v>99467047619.047394</v>
      </c>
      <c r="C967" s="3">
        <f ca="1">IFERROR(__xludf.DUMMYFUNCTION("B967*GOOGLEFINANCE(""CURRENCY:AUDINR"")"),5289443738228.56)</f>
        <v>5289443738228.5596</v>
      </c>
    </row>
    <row r="968" spans="1:3" x14ac:dyDescent="0.25">
      <c r="A968" s="2">
        <v>967</v>
      </c>
      <c r="B968" s="2">
        <v>99594233333.333099</v>
      </c>
      <c r="C968" s="3">
        <f ca="1">IFERROR(__xludf.DUMMYFUNCTION("B968*GOOGLEFINANCE(""CURRENCY:AUDINR"")"),5296207201064.98)</f>
        <v>5296207201064.9805</v>
      </c>
    </row>
    <row r="969" spans="1:3" x14ac:dyDescent="0.25">
      <c r="A969" s="2">
        <v>968</v>
      </c>
      <c r="B969" s="2">
        <v>99721419047.618805</v>
      </c>
      <c r="C969" s="3">
        <f ca="1">IFERROR(__xludf.DUMMYFUNCTION("B969*GOOGLEFINANCE(""CURRENCY:AUDINR"")"),5302970663901.41)</f>
        <v>5302970663901.4102</v>
      </c>
    </row>
    <row r="970" spans="1:3" x14ac:dyDescent="0.25">
      <c r="A970" s="2">
        <v>969</v>
      </c>
      <c r="B970" s="2">
        <v>99848604761.904495</v>
      </c>
      <c r="C970" s="3">
        <f ca="1">IFERROR(__xludf.DUMMYFUNCTION("B970*GOOGLEFINANCE(""CURRENCY:AUDINR"")"),5309734126737.84)</f>
        <v>5309734126737.8398</v>
      </c>
    </row>
    <row r="971" spans="1:3" x14ac:dyDescent="0.25">
      <c r="A971" s="2">
        <v>970</v>
      </c>
      <c r="B971" s="2">
        <v>99975790476.190308</v>
      </c>
      <c r="C971" s="3">
        <f ca="1">IFERROR(__xludf.DUMMYFUNCTION("B971*GOOGLEFINANCE(""CURRENCY:AUDINR"")"),5316497589574.27)</f>
        <v>5316497589574.2695</v>
      </c>
    </row>
    <row r="972" spans="1:3" x14ac:dyDescent="0.25">
      <c r="A972" s="2">
        <v>971</v>
      </c>
      <c r="B972" s="2">
        <v>100102976190.476</v>
      </c>
      <c r="C972" s="3">
        <f ca="1">IFERROR(__xludf.DUMMYFUNCTION("B972*GOOGLEFINANCE(""CURRENCY:AUDINR"")"),5323261052410.7)</f>
        <v>5323261052410.7002</v>
      </c>
    </row>
    <row r="973" spans="1:3" x14ac:dyDescent="0.25">
      <c r="A973" s="2">
        <v>972</v>
      </c>
      <c r="B973" s="2">
        <v>100230161904.76199</v>
      </c>
      <c r="C973" s="3">
        <f ca="1">IFERROR(__xludf.DUMMYFUNCTION("B973*GOOGLEFINANCE(""CURRENCY:AUDINR"")"),5330024515247.14)</f>
        <v>5330024515247.1396</v>
      </c>
    </row>
    <row r="974" spans="1:3" x14ac:dyDescent="0.25">
      <c r="A974" s="2">
        <v>973</v>
      </c>
      <c r="B974" s="2">
        <v>100357347619.047</v>
      </c>
      <c r="C974" s="3">
        <f ca="1">IFERROR(__xludf.DUMMYFUNCTION("B974*GOOGLEFINANCE(""CURRENCY:AUDINR"")"),5336787978083.53)</f>
        <v>5336787978083.5303</v>
      </c>
    </row>
    <row r="975" spans="1:3" x14ac:dyDescent="0.25">
      <c r="A975" s="2">
        <v>974</v>
      </c>
      <c r="B975" s="2">
        <v>100484533333.33299</v>
      </c>
      <c r="C975" s="3">
        <f ca="1">IFERROR(__xludf.DUMMYFUNCTION("B975*GOOGLEFINANCE(""CURRENCY:AUDINR"")"),5343551440919.98)</f>
        <v>5343551440919.9805</v>
      </c>
    </row>
    <row r="976" spans="1:3" x14ac:dyDescent="0.25">
      <c r="A976" s="2">
        <v>975</v>
      </c>
      <c r="B976" s="2">
        <v>100611719047.619</v>
      </c>
      <c r="C976" s="3">
        <f ca="1">IFERROR(__xludf.DUMMYFUNCTION("B976*GOOGLEFINANCE(""CURRENCY:AUDINR"")"),5350314903756.42)</f>
        <v>5350314903756.4199</v>
      </c>
    </row>
    <row r="977" spans="1:3" x14ac:dyDescent="0.25">
      <c r="A977" s="2">
        <v>976</v>
      </c>
      <c r="B977" s="2">
        <v>100738904761.905</v>
      </c>
      <c r="C977" s="3">
        <f ca="1">IFERROR(__xludf.DUMMYFUNCTION("B977*GOOGLEFINANCE(""CURRENCY:AUDINR"")"),5357078366592.87)</f>
        <v>5357078366592.8701</v>
      </c>
    </row>
    <row r="978" spans="1:3" x14ac:dyDescent="0.25">
      <c r="A978" s="2">
        <v>977</v>
      </c>
      <c r="B978" s="2">
        <v>100866090476.19</v>
      </c>
      <c r="C978" s="3">
        <f ca="1">IFERROR(__xludf.DUMMYFUNCTION("B978*GOOGLEFINANCE(""CURRENCY:AUDINR"")"),5363841829429.26)</f>
        <v>5363841829429.2598</v>
      </c>
    </row>
    <row r="979" spans="1:3" x14ac:dyDescent="0.25">
      <c r="A979" s="2">
        <v>978</v>
      </c>
      <c r="B979" s="2">
        <v>100993276190.476</v>
      </c>
      <c r="C979" s="3">
        <f ca="1">IFERROR(__xludf.DUMMYFUNCTION("B979*GOOGLEFINANCE(""CURRENCY:AUDINR"")"),5370605292265.7)</f>
        <v>5370605292265.7002</v>
      </c>
    </row>
    <row r="980" spans="1:3" x14ac:dyDescent="0.25">
      <c r="A980" s="2">
        <v>979</v>
      </c>
      <c r="B980" s="2">
        <v>101120461904.76199</v>
      </c>
      <c r="C980" s="3">
        <f ca="1">IFERROR(__xludf.DUMMYFUNCTION("B980*GOOGLEFINANCE(""CURRENCY:AUDINR"")"),5377368755102.14)</f>
        <v>5377368755102.1396</v>
      </c>
    </row>
    <row r="981" spans="1:3" x14ac:dyDescent="0.25">
      <c r="A981" s="2">
        <v>980</v>
      </c>
      <c r="B981" s="2">
        <v>101247647619.047</v>
      </c>
      <c r="C981" s="3">
        <f ca="1">IFERROR(__xludf.DUMMYFUNCTION("B981*GOOGLEFINANCE(""CURRENCY:AUDINR"")"),5384132217938.53)</f>
        <v>5384132217938.5303</v>
      </c>
    </row>
    <row r="982" spans="1:3" x14ac:dyDescent="0.25">
      <c r="A982" s="2">
        <v>981</v>
      </c>
      <c r="B982" s="2">
        <v>101374833333.33299</v>
      </c>
      <c r="C982" s="3">
        <f ca="1">IFERROR(__xludf.DUMMYFUNCTION("B982*GOOGLEFINANCE(""CURRENCY:AUDINR"")"),5390895680774.98)</f>
        <v>5390895680774.9805</v>
      </c>
    </row>
    <row r="983" spans="1:3" x14ac:dyDescent="0.25">
      <c r="A983" s="2">
        <v>982</v>
      </c>
      <c r="B983" s="2">
        <v>101502019047.619</v>
      </c>
      <c r="C983" s="3">
        <f ca="1">IFERROR(__xludf.DUMMYFUNCTION("B983*GOOGLEFINANCE(""CURRENCY:AUDINR"")"),5397659143611.42)</f>
        <v>5397659143611.4199</v>
      </c>
    </row>
    <row r="984" spans="1:3" x14ac:dyDescent="0.25">
      <c r="A984" s="2">
        <v>983</v>
      </c>
      <c r="B984" s="2">
        <v>101629204761.905</v>
      </c>
      <c r="C984" s="3">
        <f ca="1">IFERROR(__xludf.DUMMYFUNCTION("B984*GOOGLEFINANCE(""CURRENCY:AUDINR"")"),5404422606447.87)</f>
        <v>5404422606447.8701</v>
      </c>
    </row>
    <row r="985" spans="1:3" x14ac:dyDescent="0.25">
      <c r="A985" s="2">
        <v>984</v>
      </c>
      <c r="B985" s="2">
        <v>101756390476.19</v>
      </c>
      <c r="C985" s="3">
        <f ca="1">IFERROR(__xludf.DUMMYFUNCTION("B985*GOOGLEFINANCE(""CURRENCY:AUDINR"")"),5411186069284.26)</f>
        <v>5411186069284.2598</v>
      </c>
    </row>
    <row r="986" spans="1:3" x14ac:dyDescent="0.25">
      <c r="A986" s="2">
        <v>985</v>
      </c>
      <c r="B986" s="2">
        <v>101883576190.476</v>
      </c>
      <c r="C986" s="3">
        <f ca="1">IFERROR(__xludf.DUMMYFUNCTION("B986*GOOGLEFINANCE(""CURRENCY:AUDINR"")"),5417949532120.7)</f>
        <v>5417949532120.7002</v>
      </c>
    </row>
    <row r="987" spans="1:3" x14ac:dyDescent="0.25">
      <c r="A987" s="2">
        <v>986</v>
      </c>
      <c r="B987" s="2">
        <v>102010761904.76199</v>
      </c>
      <c r="C987" s="3">
        <f ca="1">IFERROR(__xludf.DUMMYFUNCTION("B987*GOOGLEFINANCE(""CURRENCY:AUDINR"")"),5424712994957.14)</f>
        <v>5424712994957.1396</v>
      </c>
    </row>
    <row r="988" spans="1:3" x14ac:dyDescent="0.25">
      <c r="A988" s="2">
        <v>987</v>
      </c>
      <c r="B988" s="2">
        <v>102137947619.047</v>
      </c>
      <c r="C988" s="3">
        <f ca="1">IFERROR(__xludf.DUMMYFUNCTION("B988*GOOGLEFINANCE(""CURRENCY:AUDINR"")"),5431476457793.53)</f>
        <v>5431476457793.5303</v>
      </c>
    </row>
    <row r="989" spans="1:3" x14ac:dyDescent="0.25">
      <c r="A989" s="2">
        <v>988</v>
      </c>
      <c r="B989" s="2">
        <v>102265133333.33299</v>
      </c>
      <c r="C989" s="3">
        <f ca="1">IFERROR(__xludf.DUMMYFUNCTION("B989*GOOGLEFINANCE(""CURRENCY:AUDINR"")"),5438239920629.98)</f>
        <v>5438239920629.9805</v>
      </c>
    </row>
    <row r="990" spans="1:3" x14ac:dyDescent="0.25">
      <c r="A990" s="2">
        <v>989</v>
      </c>
      <c r="B990" s="2">
        <v>102392319047.619</v>
      </c>
      <c r="C990" s="3">
        <f ca="1">IFERROR(__xludf.DUMMYFUNCTION("B990*GOOGLEFINANCE(""CURRENCY:AUDINR"")"),5445003383466.42)</f>
        <v>5445003383466.4199</v>
      </c>
    </row>
    <row r="991" spans="1:3" x14ac:dyDescent="0.25">
      <c r="A991" s="2">
        <v>990</v>
      </c>
      <c r="B991" s="2">
        <v>102519504761.905</v>
      </c>
      <c r="C991" s="3">
        <f ca="1">IFERROR(__xludf.DUMMYFUNCTION("B991*GOOGLEFINANCE(""CURRENCY:AUDINR"")"),5451766846302.87)</f>
        <v>5451766846302.8701</v>
      </c>
    </row>
    <row r="992" spans="1:3" x14ac:dyDescent="0.25">
      <c r="A992" s="2">
        <v>991</v>
      </c>
      <c r="B992" s="2">
        <v>102646690476.19</v>
      </c>
      <c r="C992" s="3">
        <f ca="1">IFERROR(__xludf.DUMMYFUNCTION("B992*GOOGLEFINANCE(""CURRENCY:AUDINR"")"),5458530309139.26)</f>
        <v>5458530309139.2598</v>
      </c>
    </row>
    <row r="993" spans="1:3" x14ac:dyDescent="0.25">
      <c r="A993" s="2">
        <v>992</v>
      </c>
      <c r="B993" s="2">
        <v>102773876190.476</v>
      </c>
      <c r="C993" s="3">
        <f ca="1">IFERROR(__xludf.DUMMYFUNCTION("B993*GOOGLEFINANCE(""CURRENCY:AUDINR"")"),5465293771975.7)</f>
        <v>5465293771975.7002</v>
      </c>
    </row>
    <row r="994" spans="1:3" x14ac:dyDescent="0.25">
      <c r="A994" s="2">
        <v>993</v>
      </c>
      <c r="B994" s="2">
        <v>102901061904.76199</v>
      </c>
      <c r="C994" s="3">
        <f ca="1">IFERROR(__xludf.DUMMYFUNCTION("B994*GOOGLEFINANCE(""CURRENCY:AUDINR"")"),5472057234812.14)</f>
        <v>5472057234812.1396</v>
      </c>
    </row>
    <row r="995" spans="1:3" x14ac:dyDescent="0.25">
      <c r="A995" s="2">
        <v>994</v>
      </c>
      <c r="B995" s="2">
        <v>103028247619.047</v>
      </c>
      <c r="C995" s="3">
        <f ca="1">IFERROR(__xludf.DUMMYFUNCTION("B995*GOOGLEFINANCE(""CURRENCY:AUDINR"")"),5478820697648.53)</f>
        <v>5478820697648.5303</v>
      </c>
    </row>
    <row r="996" spans="1:3" x14ac:dyDescent="0.25">
      <c r="A996" s="2">
        <v>995</v>
      </c>
      <c r="B996" s="2">
        <v>103155433333.33299</v>
      </c>
      <c r="C996" s="3">
        <f ca="1">IFERROR(__xludf.DUMMYFUNCTION("B996*GOOGLEFINANCE(""CURRENCY:AUDINR"")"),5485584160484.98)</f>
        <v>5485584160484.9805</v>
      </c>
    </row>
    <row r="997" spans="1:3" x14ac:dyDescent="0.25">
      <c r="A997" s="2">
        <v>996</v>
      </c>
      <c r="B997" s="2">
        <v>103282619047.619</v>
      </c>
      <c r="C997" s="3">
        <f ca="1">IFERROR(__xludf.DUMMYFUNCTION("B997*GOOGLEFINANCE(""CURRENCY:AUDINR"")"),5492347623321.42)</f>
        <v>5492347623321.4199</v>
      </c>
    </row>
    <row r="998" spans="1:3" x14ac:dyDescent="0.25">
      <c r="A998" s="2">
        <v>997</v>
      </c>
      <c r="B998" s="2">
        <v>103409804761.905</v>
      </c>
      <c r="C998" s="3">
        <f ca="1">IFERROR(__xludf.DUMMYFUNCTION("B998*GOOGLEFINANCE(""CURRENCY:AUDINR"")"),5499111086157.87)</f>
        <v>5499111086157.8701</v>
      </c>
    </row>
    <row r="999" spans="1:3" x14ac:dyDescent="0.25">
      <c r="A999" s="2">
        <v>998</v>
      </c>
      <c r="B999" s="2">
        <v>103536990476.19</v>
      </c>
      <c r="C999" s="3">
        <f ca="1">IFERROR(__xludf.DUMMYFUNCTION("B999*GOOGLEFINANCE(""CURRENCY:AUDINR"")"),5505874548994.26)</f>
        <v>5505874548994.2598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9"/>
  <sheetViews>
    <sheetView workbookViewId="0"/>
  </sheetViews>
  <sheetFormatPr defaultColWidth="14.42578125" defaultRowHeight="15.75" customHeight="1" x14ac:dyDescent="0.2"/>
  <cols>
    <col min="1" max="2" width="21.42578125" customWidth="1"/>
    <col min="3" max="3" width="22.8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1</v>
      </c>
      <c r="B2" s="2">
        <v>1000</v>
      </c>
      <c r="C2" s="3">
        <f ca="1">IFERROR(__xludf.DUMMYFUNCTION("B2*GOOGLEFINANCE(""CURRENCY:CHFINR"")"),80250.14)</f>
        <v>80250.14</v>
      </c>
    </row>
    <row r="3" spans="1:3" ht="15.75" customHeight="1" x14ac:dyDescent="0.25">
      <c r="A3" s="2">
        <v>2</v>
      </c>
      <c r="B3" s="2">
        <v>3306500000</v>
      </c>
      <c r="C3" s="3">
        <f ca="1">IFERROR(__xludf.DUMMYFUNCTION("B3*GOOGLEFINANCE(""CURRENCY:CHFINR"")"),265347087910)</f>
        <v>265347087910</v>
      </c>
    </row>
    <row r="4" spans="1:3" ht="15.75" customHeight="1" x14ac:dyDescent="0.25">
      <c r="A4" s="2">
        <v>3</v>
      </c>
      <c r="B4" s="2">
        <v>1697000000</v>
      </c>
      <c r="C4" s="3">
        <f ca="1">IFERROR(__xludf.DUMMYFUNCTION("B4*GOOGLEFINANCE(""CURRENCY:CHFINR"")"),136184487580)</f>
        <v>136184487580</v>
      </c>
    </row>
    <row r="5" spans="1:3" ht="15.75" customHeight="1" x14ac:dyDescent="0.25">
      <c r="A5" s="2">
        <v>4</v>
      </c>
      <c r="B5" s="2">
        <v>2596000000</v>
      </c>
      <c r="C5" s="3">
        <f ca="1">IFERROR(__xludf.DUMMYFUNCTION("B5*GOOGLEFINANCE(""CURRENCY:CHFINR"")"),208329363440)</f>
        <v>208329363440</v>
      </c>
    </row>
    <row r="6" spans="1:3" ht="15.75" customHeight="1" x14ac:dyDescent="0.25">
      <c r="A6" s="2">
        <v>5</v>
      </c>
      <c r="B6" s="2">
        <v>3437000000</v>
      </c>
      <c r="C6" s="3">
        <f ca="1">IFERROR(__xludf.DUMMYFUNCTION("B6*GOOGLEFINANCE(""CURRENCY:CHFINR"")"),275819731180)</f>
        <v>275819731180</v>
      </c>
    </row>
    <row r="7" spans="1:3" ht="15.75" customHeight="1" x14ac:dyDescent="0.25">
      <c r="A7" s="2">
        <v>6</v>
      </c>
      <c r="B7" s="2">
        <v>421000000</v>
      </c>
      <c r="C7" s="3">
        <f ca="1">IFERROR(__xludf.DUMMYFUNCTION("B7*GOOGLEFINANCE(""CURRENCY:CHFINR"")"),33785308940)</f>
        <v>33785308940</v>
      </c>
    </row>
    <row r="8" spans="1:3" ht="15.75" customHeight="1" x14ac:dyDescent="0.25">
      <c r="A8" s="2">
        <v>7</v>
      </c>
      <c r="B8" s="2">
        <v>2523500000</v>
      </c>
      <c r="C8" s="3">
        <f ca="1">IFERROR(__xludf.DUMMYFUNCTION("B8*GOOGLEFINANCE(""CURRENCY:CHFINR"")"),202511228290)</f>
        <v>202511228290</v>
      </c>
    </row>
    <row r="9" spans="1:3" ht="15.75" customHeight="1" x14ac:dyDescent="0.25">
      <c r="A9" s="2">
        <v>8</v>
      </c>
      <c r="B9" s="2">
        <v>3741500000</v>
      </c>
      <c r="C9" s="3">
        <f ca="1">IFERROR(__xludf.DUMMYFUNCTION("B9*GOOGLEFINANCE(""CURRENCY:CHFINR"")"),300255898810)</f>
        <v>300255898810</v>
      </c>
    </row>
    <row r="10" spans="1:3" ht="15.75" customHeight="1" x14ac:dyDescent="0.25">
      <c r="A10" s="2">
        <v>9</v>
      </c>
      <c r="B10" s="2">
        <v>4104000000</v>
      </c>
      <c r="C10" s="3">
        <f ca="1">IFERROR(__xludf.DUMMYFUNCTION("B10*GOOGLEFINANCE(""CURRENCY:CHFINR"")"),329346574560)</f>
        <v>329346574560</v>
      </c>
    </row>
    <row r="11" spans="1:3" ht="15.75" customHeight="1" x14ac:dyDescent="0.25">
      <c r="A11" s="2">
        <v>10</v>
      </c>
      <c r="B11" s="2">
        <v>1030000000</v>
      </c>
      <c r="C11" s="3">
        <f ca="1">IFERROR(__xludf.DUMMYFUNCTION("B11*GOOGLEFINANCE(""CURRENCY:CHFINR"")"),82657644200)</f>
        <v>82657644200</v>
      </c>
    </row>
    <row r="12" spans="1:3" ht="15.75" customHeight="1" x14ac:dyDescent="0.25">
      <c r="A12" s="2">
        <v>11</v>
      </c>
      <c r="B12" s="2">
        <v>116500000</v>
      </c>
      <c r="C12" s="3">
        <f ca="1">IFERROR(__xludf.DUMMYFUNCTION("B12*GOOGLEFINANCE(""CURRENCY:CHFINR"")"),9349141310)</f>
        <v>9349141310</v>
      </c>
    </row>
    <row r="13" spans="1:3" ht="15.75" customHeight="1" x14ac:dyDescent="0.25">
      <c r="A13" s="2">
        <v>12</v>
      </c>
      <c r="B13" s="2">
        <v>2538000000</v>
      </c>
      <c r="C13" s="3">
        <f ca="1">IFERROR(__xludf.DUMMYFUNCTION("B13*GOOGLEFINANCE(""CURRENCY:CHFINR"")"),203674855320)</f>
        <v>203674855320</v>
      </c>
    </row>
    <row r="14" spans="1:3" ht="15.75" customHeight="1" x14ac:dyDescent="0.25">
      <c r="A14" s="2">
        <v>13</v>
      </c>
      <c r="B14" s="2">
        <v>2378500000</v>
      </c>
      <c r="C14" s="3">
        <f ca="1">IFERROR(__xludf.DUMMYFUNCTION("B14*GOOGLEFINANCE(""CURRENCY:CHFINR"")"),190874957990)</f>
        <v>190874957990</v>
      </c>
    </row>
    <row r="15" spans="1:3" ht="15.75" customHeight="1" x14ac:dyDescent="0.25">
      <c r="A15" s="2">
        <v>14</v>
      </c>
      <c r="B15" s="2">
        <v>3495000000</v>
      </c>
      <c r="C15" s="3">
        <f ca="1">IFERROR(__xludf.DUMMYFUNCTION("B15*GOOGLEFINANCE(""CURRENCY:CHFINR"")"),280474239300)</f>
        <v>280474239300</v>
      </c>
    </row>
    <row r="16" spans="1:3" ht="15.75" customHeight="1" x14ac:dyDescent="0.25">
      <c r="A16" s="2">
        <v>15</v>
      </c>
      <c r="B16" s="2">
        <v>1653500000</v>
      </c>
      <c r="C16" s="3">
        <f ca="1">IFERROR(__xludf.DUMMYFUNCTION("B16*GOOGLEFINANCE(""CURRENCY:CHFINR"")"),132693606490)</f>
        <v>132693606490</v>
      </c>
    </row>
    <row r="17" spans="1:3" ht="15.75" customHeight="1" x14ac:dyDescent="0.25">
      <c r="A17" s="2">
        <v>16</v>
      </c>
      <c r="B17" s="2">
        <v>1465000000</v>
      </c>
      <c r="C17" s="3">
        <f ca="1">IFERROR(__xludf.DUMMYFUNCTION("B17*GOOGLEFINANCE(""CURRENCY:CHFINR"")"),117566455100)</f>
        <v>117566455100</v>
      </c>
    </row>
    <row r="18" spans="1:3" ht="15.75" customHeight="1" x14ac:dyDescent="0.25">
      <c r="A18" s="2">
        <v>17</v>
      </c>
      <c r="B18" s="2">
        <v>2799000000</v>
      </c>
      <c r="C18" s="3">
        <f ca="1">IFERROR(__xludf.DUMMYFUNCTION("B18*GOOGLEFINANCE(""CURRENCY:CHFINR"")"),224620141860)</f>
        <v>224620141860</v>
      </c>
    </row>
    <row r="19" spans="1:3" ht="15.75" customHeight="1" x14ac:dyDescent="0.25">
      <c r="A19" s="2">
        <v>18</v>
      </c>
      <c r="B19" s="2">
        <v>2001500000</v>
      </c>
      <c r="C19" s="3">
        <f ca="1">IFERROR(__xludf.DUMMYFUNCTION("B19*GOOGLEFINANCE(""CURRENCY:CHFINR"")"),160620655210)</f>
        <v>160620655210</v>
      </c>
    </row>
    <row r="20" spans="1:3" ht="15.75" customHeight="1" x14ac:dyDescent="0.25">
      <c r="A20" s="2">
        <v>19</v>
      </c>
      <c r="B20" s="2">
        <v>1943500000</v>
      </c>
      <c r="C20" s="3">
        <f ca="1">IFERROR(__xludf.DUMMYFUNCTION("B20*GOOGLEFINANCE(""CURRENCY:CHFINR"")"),155966147090)</f>
        <v>155966147090</v>
      </c>
    </row>
    <row r="21" spans="1:3" ht="15.75" customHeight="1" x14ac:dyDescent="0.25">
      <c r="A21" s="2">
        <v>20</v>
      </c>
      <c r="B21" s="2">
        <v>3219500000</v>
      </c>
      <c r="C21" s="3">
        <f ca="1">IFERROR(__xludf.DUMMYFUNCTION("B21*GOOGLEFINANCE(""CURRENCY:CHFINR"")"),258365325730)</f>
        <v>258365325730</v>
      </c>
    </row>
    <row r="22" spans="1:3" ht="15.75" customHeight="1" x14ac:dyDescent="0.25">
      <c r="A22" s="2">
        <v>21</v>
      </c>
      <c r="B22" s="2">
        <v>2465500000</v>
      </c>
      <c r="C22" s="3">
        <f ca="1">IFERROR(__xludf.DUMMYFUNCTION("B22*GOOGLEFINANCE(""CURRENCY:CHFINR"")"),197856720170)</f>
        <v>197856720170</v>
      </c>
    </row>
    <row r="23" spans="1:3" x14ac:dyDescent="0.25">
      <c r="A23" s="2">
        <v>22</v>
      </c>
      <c r="B23" s="2">
        <v>2567000000</v>
      </c>
      <c r="C23" s="3">
        <f ca="1">IFERROR(__xludf.DUMMYFUNCTION("B23*GOOGLEFINANCE(""CURRENCY:CHFINR"")"),206002109380)</f>
        <v>206002109380</v>
      </c>
    </row>
    <row r="24" spans="1:3" x14ac:dyDescent="0.25">
      <c r="A24" s="2">
        <v>23</v>
      </c>
      <c r="B24" s="2">
        <v>1407000000</v>
      </c>
      <c r="C24" s="3">
        <f ca="1">IFERROR(__xludf.DUMMYFUNCTION("B24*GOOGLEFINANCE(""CURRENCY:CHFINR"")"),112911946980)</f>
        <v>112911946980</v>
      </c>
    </row>
    <row r="25" spans="1:3" x14ac:dyDescent="0.25">
      <c r="A25" s="2">
        <v>24</v>
      </c>
      <c r="B25" s="2">
        <v>2929500000</v>
      </c>
      <c r="C25" s="3">
        <f ca="1">IFERROR(__xludf.DUMMYFUNCTION("B25*GOOGLEFINANCE(""CURRENCY:CHFINR"")"),235092785130)</f>
        <v>235092785130</v>
      </c>
    </row>
    <row r="26" spans="1:3" x14ac:dyDescent="0.25">
      <c r="A26" s="2">
        <v>25</v>
      </c>
      <c r="B26" s="2">
        <v>3959000000</v>
      </c>
      <c r="C26" s="3">
        <f ca="1">IFERROR(__xludf.DUMMYFUNCTION("B26*GOOGLEFINANCE(""CURRENCY:CHFINR"")"),317710304260)</f>
        <v>317710304260</v>
      </c>
    </row>
    <row r="27" spans="1:3" x14ac:dyDescent="0.25">
      <c r="A27" s="2">
        <v>26</v>
      </c>
      <c r="B27" s="2">
        <v>1784000000</v>
      </c>
      <c r="C27" s="3">
        <f ca="1">IFERROR(__xludf.DUMMYFUNCTION("B27*GOOGLEFINANCE(""CURRENCY:CHFINR"")"),143166249760)</f>
        <v>143166249760</v>
      </c>
    </row>
    <row r="28" spans="1:3" x14ac:dyDescent="0.25">
      <c r="A28" s="2">
        <v>27</v>
      </c>
      <c r="B28" s="2">
        <v>1958000000</v>
      </c>
      <c r="C28" s="3">
        <f ca="1">IFERROR(__xludf.DUMMYFUNCTION("B28*GOOGLEFINANCE(""CURRENCY:CHFINR"")"),157129774120)</f>
        <v>157129774120</v>
      </c>
    </row>
    <row r="29" spans="1:3" x14ac:dyDescent="0.25">
      <c r="A29" s="2">
        <v>28</v>
      </c>
      <c r="B29" s="2">
        <v>3567500000</v>
      </c>
      <c r="C29" s="3">
        <f ca="1">IFERROR(__xludf.DUMMYFUNCTION("B29*GOOGLEFINANCE(""CURRENCY:CHFINR"")"),286292374450)</f>
        <v>286292374450</v>
      </c>
    </row>
    <row r="30" spans="1:3" x14ac:dyDescent="0.25">
      <c r="A30" s="2">
        <v>29</v>
      </c>
      <c r="B30" s="2">
        <v>1566500000</v>
      </c>
      <c r="C30" s="3">
        <f ca="1">IFERROR(__xludf.DUMMYFUNCTION("B30*GOOGLEFINANCE(""CURRENCY:CHFINR"")"),125711844310)</f>
        <v>125711844310</v>
      </c>
    </row>
    <row r="31" spans="1:3" x14ac:dyDescent="0.25">
      <c r="A31" s="2">
        <v>30</v>
      </c>
      <c r="B31" s="2">
        <v>4075000000</v>
      </c>
      <c r="C31" s="3">
        <f ca="1">IFERROR(__xludf.DUMMYFUNCTION("B31*GOOGLEFINANCE(""CURRENCY:CHFINR"")"),327019320500)</f>
        <v>327019320500</v>
      </c>
    </row>
    <row r="32" spans="1:3" x14ac:dyDescent="0.25">
      <c r="A32" s="2">
        <v>31</v>
      </c>
      <c r="B32" s="2">
        <v>798000000</v>
      </c>
      <c r="C32" s="3">
        <f ca="1">IFERROR(__xludf.DUMMYFUNCTION("B32*GOOGLEFINANCE(""CURRENCY:CHFINR"")"),64039611720)</f>
        <v>64039611720</v>
      </c>
    </row>
    <row r="33" spans="1:3" x14ac:dyDescent="0.25">
      <c r="A33" s="2">
        <v>32</v>
      </c>
      <c r="B33" s="2">
        <v>638500000</v>
      </c>
      <c r="C33" s="3">
        <f ca="1">IFERROR(__xludf.DUMMYFUNCTION("B33*GOOGLEFINANCE(""CURRENCY:CHFINR"")"),51239714390)</f>
        <v>51239714390</v>
      </c>
    </row>
    <row r="34" spans="1:3" x14ac:dyDescent="0.25">
      <c r="A34" s="2">
        <v>33</v>
      </c>
      <c r="B34" s="2">
        <v>4089500000</v>
      </c>
      <c r="C34" s="3">
        <f ca="1">IFERROR(__xludf.DUMMYFUNCTION("B34*GOOGLEFINANCE(""CURRENCY:CHFINR"")"),328182947530)</f>
        <v>328182947530</v>
      </c>
    </row>
    <row r="35" spans="1:3" x14ac:dyDescent="0.25">
      <c r="A35" s="2">
        <v>34</v>
      </c>
      <c r="B35" s="2">
        <v>1160500000</v>
      </c>
      <c r="C35" s="3">
        <f ca="1">IFERROR(__xludf.DUMMYFUNCTION("B35*GOOGLEFINANCE(""CURRENCY:CHFINR"")"),93130287470)</f>
        <v>93130287470</v>
      </c>
    </row>
    <row r="36" spans="1:3" x14ac:dyDescent="0.25">
      <c r="A36" s="2">
        <v>35</v>
      </c>
      <c r="B36" s="2">
        <v>1320000000</v>
      </c>
      <c r="C36" s="3">
        <f ca="1">IFERROR(__xludf.DUMMYFUNCTION("B36*GOOGLEFINANCE(""CURRENCY:CHFINR"")"),105930184800)</f>
        <v>105930184800</v>
      </c>
    </row>
    <row r="37" spans="1:3" x14ac:dyDescent="0.25">
      <c r="A37" s="2">
        <v>36</v>
      </c>
      <c r="B37" s="2">
        <v>2248000000</v>
      </c>
      <c r="C37" s="3">
        <f ca="1">IFERROR(__xludf.DUMMYFUNCTION("B37*GOOGLEFINANCE(""CURRENCY:CHFINR"")"),180402314720)</f>
        <v>180402314720</v>
      </c>
    </row>
    <row r="38" spans="1:3" x14ac:dyDescent="0.25">
      <c r="A38" s="2">
        <v>37</v>
      </c>
      <c r="B38" s="2">
        <v>682000000</v>
      </c>
      <c r="C38" s="3">
        <f ca="1">IFERROR(__xludf.DUMMYFUNCTION("B38*GOOGLEFINANCE(""CURRENCY:CHFINR"")"),54730595480)</f>
        <v>54730595480</v>
      </c>
    </row>
    <row r="39" spans="1:3" x14ac:dyDescent="0.25">
      <c r="A39" s="2">
        <v>38</v>
      </c>
      <c r="B39" s="2">
        <v>2886000000</v>
      </c>
      <c r="C39" s="3">
        <f ca="1">IFERROR(__xludf.DUMMYFUNCTION("B39*GOOGLEFINANCE(""CURRENCY:CHFINR"")"),231601904040)</f>
        <v>231601904040</v>
      </c>
    </row>
    <row r="40" spans="1:3" x14ac:dyDescent="0.25">
      <c r="A40" s="2">
        <v>39</v>
      </c>
      <c r="B40" s="2">
        <v>1363500000</v>
      </c>
      <c r="C40" s="3">
        <f ca="1">IFERROR(__xludf.DUMMYFUNCTION("B40*GOOGLEFINANCE(""CURRENCY:CHFINR"")"),109421065890)</f>
        <v>109421065890</v>
      </c>
    </row>
    <row r="41" spans="1:3" x14ac:dyDescent="0.25">
      <c r="A41" s="2">
        <v>40</v>
      </c>
      <c r="B41" s="2">
        <v>769000000</v>
      </c>
      <c r="C41" s="3">
        <f ca="1">IFERROR(__xludf.DUMMYFUNCTION("B41*GOOGLEFINANCE(""CURRENCY:CHFINR"")"),61712357660)</f>
        <v>61712357660</v>
      </c>
    </row>
    <row r="42" spans="1:3" x14ac:dyDescent="0.25">
      <c r="A42" s="2">
        <v>41</v>
      </c>
      <c r="B42" s="2">
        <v>1392500000</v>
      </c>
      <c r="C42" s="3">
        <f ca="1">IFERROR(__xludf.DUMMYFUNCTION("B42*GOOGLEFINANCE(""CURRENCY:CHFINR"")"),111748319950)</f>
        <v>111748319950</v>
      </c>
    </row>
    <row r="43" spans="1:3" x14ac:dyDescent="0.25">
      <c r="A43" s="2">
        <v>42</v>
      </c>
      <c r="B43" s="2">
        <v>3944500000</v>
      </c>
      <c r="C43" s="3">
        <f ca="1">IFERROR(__xludf.DUMMYFUNCTION("B43*GOOGLEFINANCE(""CURRENCY:CHFINR"")"),316546677230)</f>
        <v>316546677230</v>
      </c>
    </row>
    <row r="44" spans="1:3" x14ac:dyDescent="0.25">
      <c r="A44" s="2">
        <v>43</v>
      </c>
      <c r="B44" s="2">
        <v>0.9</v>
      </c>
      <c r="C44" s="3">
        <f ca="1">IFERROR(__xludf.DUMMYFUNCTION("B44*GOOGLEFINANCE(""CURRENCY:CHFINR"")"),72.225126)</f>
        <v>72.225126000000003</v>
      </c>
    </row>
    <row r="45" spans="1:3" x14ac:dyDescent="0.25">
      <c r="A45" s="2">
        <v>44</v>
      </c>
      <c r="B45" s="2">
        <v>58500000</v>
      </c>
      <c r="C45" s="3">
        <f ca="1">IFERROR(__xludf.DUMMYFUNCTION("B45*GOOGLEFINANCE(""CURRENCY:CHFINR"")"),4694633190)</f>
        <v>4694633190</v>
      </c>
    </row>
    <row r="46" spans="1:3" x14ac:dyDescent="0.25">
      <c r="A46" s="2">
        <v>45</v>
      </c>
      <c r="B46" s="2">
        <v>3669000000</v>
      </c>
      <c r="C46" s="3">
        <f ca="1">IFERROR(__xludf.DUMMYFUNCTION("B46*GOOGLEFINANCE(""CURRENCY:CHFINR"")"),294437763660)</f>
        <v>294437763660</v>
      </c>
    </row>
    <row r="47" spans="1:3" x14ac:dyDescent="0.25">
      <c r="A47" s="2">
        <v>46</v>
      </c>
      <c r="B47" s="2">
        <v>2364000000</v>
      </c>
      <c r="C47" s="3">
        <f ca="1">IFERROR(__xludf.DUMMYFUNCTION("B47*GOOGLEFINANCE(""CURRENCY:CHFINR"")"),189711330960)</f>
        <v>189711330960</v>
      </c>
    </row>
    <row r="48" spans="1:3" x14ac:dyDescent="0.25">
      <c r="A48" s="2">
        <v>47</v>
      </c>
      <c r="B48" s="2">
        <v>4031500000</v>
      </c>
      <c r="C48" s="3">
        <f ca="1">IFERROR(__xludf.DUMMYFUNCTION("B48*GOOGLEFINANCE(""CURRENCY:CHFINR"")"),323528439410)</f>
        <v>323528439410</v>
      </c>
    </row>
    <row r="49" spans="1:3" x14ac:dyDescent="0.25">
      <c r="A49" s="2">
        <v>48</v>
      </c>
      <c r="B49" s="2">
        <v>624000000</v>
      </c>
      <c r="C49" s="3">
        <f ca="1">IFERROR(__xludf.DUMMYFUNCTION("B49*GOOGLEFINANCE(""CURRENCY:CHFINR"")"),50076087360)</f>
        <v>50076087360</v>
      </c>
    </row>
    <row r="50" spans="1:3" x14ac:dyDescent="0.25">
      <c r="A50" s="2">
        <v>49</v>
      </c>
      <c r="B50" s="2">
        <v>4017000000</v>
      </c>
      <c r="C50" s="3">
        <f ca="1">IFERROR(__xludf.DUMMYFUNCTION("B50*GOOGLEFINANCE(""CURRENCY:CHFINR"")"),322364812380)</f>
        <v>322364812380</v>
      </c>
    </row>
    <row r="51" spans="1:3" x14ac:dyDescent="0.25">
      <c r="A51" s="2">
        <v>50</v>
      </c>
      <c r="B51" s="2">
        <v>102000000</v>
      </c>
      <c r="C51" s="3">
        <f ca="1">IFERROR(__xludf.DUMMYFUNCTION("B51*GOOGLEFINANCE(""CURRENCY:CHFINR"")"),8185514280)</f>
        <v>8185514280</v>
      </c>
    </row>
    <row r="52" spans="1:3" x14ac:dyDescent="0.25">
      <c r="A52" s="2">
        <v>51</v>
      </c>
      <c r="B52" s="2">
        <v>3524000000</v>
      </c>
      <c r="C52" s="3">
        <f ca="1">IFERROR(__xludf.DUMMYFUNCTION("B52*GOOGLEFINANCE(""CURRENCY:CHFINR"")"),282801493360)</f>
        <v>282801493360</v>
      </c>
    </row>
    <row r="53" spans="1:3" x14ac:dyDescent="0.25">
      <c r="A53" s="2">
        <v>52</v>
      </c>
      <c r="B53" s="2">
        <v>-1000</v>
      </c>
      <c r="C53" s="3">
        <f ca="1">IFERROR(__xludf.DUMMYFUNCTION("B53*GOOGLEFINANCE(""CURRENCY:CHFINR"")"),-80250.14)</f>
        <v>-80250.14</v>
      </c>
    </row>
    <row r="54" spans="1:3" x14ac:dyDescent="0.25">
      <c r="A54" s="2">
        <v>53</v>
      </c>
      <c r="B54" s="2">
        <v>-0.999</v>
      </c>
      <c r="C54" s="3">
        <f ca="1">IFERROR(__xludf.DUMMYFUNCTION("B54*GOOGLEFINANCE(""CURRENCY:CHFINR"")"),-80.16988986)</f>
        <v>-80.169889859999998</v>
      </c>
    </row>
    <row r="55" spans="1:3" x14ac:dyDescent="0.25">
      <c r="A55" s="2">
        <v>54</v>
      </c>
      <c r="B55" s="2">
        <v>1110799999.2007999</v>
      </c>
      <c r="C55" s="3">
        <f ca="1">IFERROR(__xludf.DUMMYFUNCTION("B55*GOOGLEFINANCE(""CURRENCY:CHFINR"")"),89141855447.864)</f>
        <v>89141855447.863998</v>
      </c>
    </row>
    <row r="56" spans="1:3" x14ac:dyDescent="0.25">
      <c r="A56" s="2">
        <v>55</v>
      </c>
      <c r="B56" s="2">
        <v>701799999.00100005</v>
      </c>
      <c r="C56" s="3">
        <f ca="1">IFERROR(__xludf.DUMMYFUNCTION("B56*GOOGLEFINANCE(""CURRENCY:CHFINR"")"),56319548171.8301)</f>
        <v>56319548171.830101</v>
      </c>
    </row>
    <row r="57" spans="1:3" x14ac:dyDescent="0.25">
      <c r="A57" s="2">
        <v>56</v>
      </c>
      <c r="B57" s="2">
        <v>292799998.80119997</v>
      </c>
      <c r="C57" s="3">
        <f ca="1">IFERROR(__xludf.DUMMYFUNCTION("B57*GOOGLEFINANCE(""CURRENCY:CHFINR"")"),23497240895.7961)</f>
        <v>23497240895.796101</v>
      </c>
    </row>
    <row r="58" spans="1:3" x14ac:dyDescent="0.25">
      <c r="A58" s="2">
        <v>57</v>
      </c>
      <c r="B58" s="2">
        <v>-116200001.3986</v>
      </c>
      <c r="C58" s="3">
        <f ca="1">IFERROR(__xludf.DUMMYFUNCTION("B58*GOOGLEFINANCE(""CURRENCY:CHFINR"")"),-9325066380.23784)</f>
        <v>-9325066380.2378407</v>
      </c>
    </row>
    <row r="59" spans="1:3" x14ac:dyDescent="0.25">
      <c r="A59" s="2">
        <v>58</v>
      </c>
      <c r="B59" s="2">
        <v>-525200001.5984</v>
      </c>
      <c r="C59" s="3">
        <f ca="1">IFERROR(__xludf.DUMMYFUNCTION("B59*GOOGLEFINANCE(""CURRENCY:CHFINR"")"),-42147373656.2718)</f>
        <v>-42147373656.271797</v>
      </c>
    </row>
    <row r="60" spans="1:3" x14ac:dyDescent="0.25">
      <c r="A60" s="2">
        <v>59</v>
      </c>
      <c r="B60" s="2">
        <v>-934200001.79820001</v>
      </c>
      <c r="C60" s="3">
        <f ca="1">IFERROR(__xludf.DUMMYFUNCTION("B60*GOOGLEFINANCE(""CURRENCY:CHFINR"")"),-74969680932.3058)</f>
        <v>-74969680932.305801</v>
      </c>
    </row>
    <row r="61" spans="1:3" x14ac:dyDescent="0.25">
      <c r="A61" s="2">
        <v>60</v>
      </c>
      <c r="B61" s="2">
        <v>-1343200001.9979999</v>
      </c>
      <c r="C61" s="3">
        <f ca="1">IFERROR(__xludf.DUMMYFUNCTION("B61*GOOGLEFINANCE(""CURRENCY:CHFINR"")"),-107791988208.339)</f>
        <v>-107791988208.339</v>
      </c>
    </row>
    <row r="62" spans="1:3" x14ac:dyDescent="0.25">
      <c r="A62" s="2">
        <v>61</v>
      </c>
      <c r="B62" s="2">
        <v>-1752200002.1977999</v>
      </c>
      <c r="C62" s="3">
        <f ca="1">IFERROR(__xludf.DUMMYFUNCTION("B62*GOOGLEFINANCE(""CURRENCY:CHFINR"")"),-140614295484.373)</f>
        <v>-140614295484.37299</v>
      </c>
    </row>
    <row r="63" spans="1:3" x14ac:dyDescent="0.25">
      <c r="A63" s="2">
        <v>62</v>
      </c>
      <c r="B63" s="2">
        <v>-2161200002.3976002</v>
      </c>
      <c r="C63" s="3">
        <f ca="1">IFERROR(__xludf.DUMMYFUNCTION("B63*GOOGLEFINANCE(""CURRENCY:CHFINR"")"),-173436602760.407)</f>
        <v>-173436602760.40701</v>
      </c>
    </row>
    <row r="64" spans="1:3" x14ac:dyDescent="0.25">
      <c r="A64" s="2">
        <v>63</v>
      </c>
      <c r="B64" s="2">
        <v>-2570200002.5974002</v>
      </c>
      <c r="C64" s="3">
        <f ca="1">IFERROR(__xludf.DUMMYFUNCTION("B64*GOOGLEFINANCE(""CURRENCY:CHFINR"")"),-206258910036.441)</f>
        <v>-206258910036.44101</v>
      </c>
    </row>
    <row r="65" spans="1:3" x14ac:dyDescent="0.25">
      <c r="A65" s="2">
        <v>64</v>
      </c>
      <c r="B65" s="2">
        <v>-2979200002.7972002</v>
      </c>
      <c r="C65" s="3">
        <f ca="1">IFERROR(__xludf.DUMMYFUNCTION("B65*GOOGLEFINANCE(""CURRENCY:CHFINR"")"),-239081217312.475)</f>
        <v>-239081217312.47501</v>
      </c>
    </row>
    <row r="66" spans="1:3" x14ac:dyDescent="0.25">
      <c r="A66" s="2">
        <v>65</v>
      </c>
      <c r="B66" s="2">
        <v>-3388200002.9970002</v>
      </c>
      <c r="C66" s="3">
        <f ca="1">IFERROR(__xludf.DUMMYFUNCTION("B66*GOOGLEFINANCE(""CURRENCY:CHFINR"")"),-271903524588.509)</f>
        <v>-271903524588.509</v>
      </c>
    </row>
    <row r="67" spans="1:3" x14ac:dyDescent="0.25">
      <c r="A67" s="2">
        <v>66</v>
      </c>
      <c r="B67" s="2">
        <v>-3797200003.1968002</v>
      </c>
      <c r="C67" s="3">
        <f ca="1">IFERROR(__xludf.DUMMYFUNCTION("B67*GOOGLEFINANCE(""CURRENCY:CHFINR"")"),-304725831864.543)</f>
        <v>-304725831864.54303</v>
      </c>
    </row>
    <row r="68" spans="1:3" x14ac:dyDescent="0.25">
      <c r="A68" s="2">
        <v>67</v>
      </c>
      <c r="B68" s="2">
        <v>-4206200003.3965998</v>
      </c>
      <c r="C68" s="3">
        <f ca="1">IFERROR(__xludf.DUMMYFUNCTION("B68*GOOGLEFINANCE(""CURRENCY:CHFINR"")"),-337548139140.577)</f>
        <v>-337548139140.57703</v>
      </c>
    </row>
    <row r="69" spans="1:3" x14ac:dyDescent="0.25">
      <c r="A69" s="2">
        <v>68</v>
      </c>
      <c r="B69" s="2">
        <v>-4615200003.5964003</v>
      </c>
      <c r="C69" s="3">
        <f ca="1">IFERROR(__xludf.DUMMYFUNCTION("B69*GOOGLEFINANCE(""CURRENCY:CHFINR"")"),-370370446416.611)</f>
        <v>-370370446416.61102</v>
      </c>
    </row>
    <row r="70" spans="1:3" x14ac:dyDescent="0.25">
      <c r="A70" s="2">
        <v>69</v>
      </c>
      <c r="B70" s="2">
        <v>1508500000</v>
      </c>
      <c r="C70" s="3">
        <f ca="1">IFERROR(__xludf.DUMMYFUNCTION("B70*GOOGLEFINANCE(""CURRENCY:CHFINR"")"),121057336190)</f>
        <v>121057336190</v>
      </c>
    </row>
    <row r="71" spans="1:3" x14ac:dyDescent="0.25">
      <c r="A71" s="2">
        <v>70</v>
      </c>
      <c r="B71" s="2">
        <v>2509000000</v>
      </c>
      <c r="C71" s="3">
        <f ca="1">IFERROR(__xludf.DUMMYFUNCTION("B71*GOOGLEFINANCE(""CURRENCY:CHFINR"")"),201347601260)</f>
        <v>201347601260</v>
      </c>
    </row>
    <row r="72" spans="1:3" x14ac:dyDescent="0.25">
      <c r="A72" s="2">
        <v>71</v>
      </c>
      <c r="B72" s="2">
        <v>2944000000</v>
      </c>
      <c r="C72" s="3">
        <f ca="1">IFERROR(__xludf.DUMMYFUNCTION("B72*GOOGLEFINANCE(""CURRENCY:CHFINR"")"),236256412160)</f>
        <v>236256412160</v>
      </c>
    </row>
    <row r="73" spans="1:3" x14ac:dyDescent="0.25">
      <c r="A73" s="2">
        <v>72</v>
      </c>
      <c r="B73" s="2">
        <v>3161500000</v>
      </c>
      <c r="C73" s="3">
        <f ca="1">IFERROR(__xludf.DUMMYFUNCTION("B73*GOOGLEFINANCE(""CURRENCY:CHFINR"")"),253710817610)</f>
        <v>253710817610</v>
      </c>
    </row>
    <row r="74" spans="1:3" x14ac:dyDescent="0.25">
      <c r="A74" s="2">
        <v>73</v>
      </c>
      <c r="B74" s="2">
        <v>3596500000</v>
      </c>
      <c r="C74" s="3">
        <f ca="1">IFERROR(__xludf.DUMMYFUNCTION("B74*GOOGLEFINANCE(""CURRENCY:CHFINR"")"),288619628510)</f>
        <v>288619628510</v>
      </c>
    </row>
    <row r="75" spans="1:3" x14ac:dyDescent="0.25">
      <c r="A75" s="2">
        <v>74</v>
      </c>
      <c r="B75" s="2">
        <v>943000000</v>
      </c>
      <c r="C75" s="3">
        <f ca="1">IFERROR(__xludf.DUMMYFUNCTION("B75*GOOGLEFINANCE(""CURRENCY:CHFINR"")"),75675882020)</f>
        <v>75675882020</v>
      </c>
    </row>
    <row r="76" spans="1:3" x14ac:dyDescent="0.25">
      <c r="A76" s="2">
        <v>75</v>
      </c>
      <c r="B76" s="2">
        <v>3002000000</v>
      </c>
      <c r="C76" s="3">
        <f ca="1">IFERROR(__xludf.DUMMYFUNCTION("B76*GOOGLEFINANCE(""CURRENCY:CHFINR"")"),240910920280)</f>
        <v>240910920280</v>
      </c>
    </row>
    <row r="77" spans="1:3" x14ac:dyDescent="0.25">
      <c r="A77" s="2">
        <v>76</v>
      </c>
      <c r="B77" s="2">
        <v>3379000000</v>
      </c>
      <c r="C77" s="3">
        <f ca="1">IFERROR(__xludf.DUMMYFUNCTION("B77*GOOGLEFINANCE(""CURRENCY:CHFINR"")"),271165223060)</f>
        <v>271165223060</v>
      </c>
    </row>
    <row r="78" spans="1:3" x14ac:dyDescent="0.25">
      <c r="A78" s="2">
        <v>77</v>
      </c>
      <c r="B78" s="2">
        <v>928500000</v>
      </c>
      <c r="C78" s="3">
        <f ca="1">IFERROR(__xludf.DUMMYFUNCTION("B78*GOOGLEFINANCE(""CURRENCY:CHFINR"")"),74512254990)</f>
        <v>74512254990</v>
      </c>
    </row>
    <row r="79" spans="1:3" x14ac:dyDescent="0.25">
      <c r="A79" s="2">
        <v>78</v>
      </c>
      <c r="B79" s="2">
        <v>914000000</v>
      </c>
      <c r="C79" s="3">
        <f ca="1">IFERROR(__xludf.DUMMYFUNCTION("B79*GOOGLEFINANCE(""CURRENCY:CHFINR"")"),73348627960)</f>
        <v>73348627960</v>
      </c>
    </row>
    <row r="80" spans="1:3" x14ac:dyDescent="0.25">
      <c r="A80" s="2">
        <v>79</v>
      </c>
      <c r="B80" s="2">
        <v>2668500000</v>
      </c>
      <c r="C80" s="3">
        <f ca="1">IFERROR(__xludf.DUMMYFUNCTION("B80*GOOGLEFINANCE(""CURRENCY:CHFINR"")"),214147498590)</f>
        <v>214147498590</v>
      </c>
    </row>
    <row r="81" spans="1:3" x14ac:dyDescent="0.25">
      <c r="A81" s="2">
        <v>80</v>
      </c>
      <c r="B81" s="2">
        <v>2712000000</v>
      </c>
      <c r="C81" s="3">
        <f ca="1">IFERROR(__xludf.DUMMYFUNCTION("B81*GOOGLEFINANCE(""CURRENCY:CHFINR"")"),217638379680)</f>
        <v>217638379680</v>
      </c>
    </row>
    <row r="82" spans="1:3" x14ac:dyDescent="0.25">
      <c r="A82" s="2">
        <v>81</v>
      </c>
      <c r="B82" s="2">
        <v>827000000</v>
      </c>
      <c r="C82" s="3">
        <f ca="1">IFERROR(__xludf.DUMMYFUNCTION("B82*GOOGLEFINANCE(""CURRENCY:CHFINR"")"),66366865780)</f>
        <v>66366865780</v>
      </c>
    </row>
    <row r="83" spans="1:3" x14ac:dyDescent="0.25">
      <c r="A83" s="2">
        <v>82</v>
      </c>
      <c r="B83" s="2">
        <v>2871500000</v>
      </c>
      <c r="C83" s="3">
        <f ca="1">IFERROR(__xludf.DUMMYFUNCTION("B83*GOOGLEFINANCE(""CURRENCY:CHFINR"")"),230438277010)</f>
        <v>230438277010</v>
      </c>
    </row>
    <row r="84" spans="1:3" x14ac:dyDescent="0.25">
      <c r="A84" s="2">
        <v>83</v>
      </c>
      <c r="B84" s="2">
        <v>3248500000</v>
      </c>
      <c r="C84" s="3">
        <f ca="1">IFERROR(__xludf.DUMMYFUNCTION("B84*GOOGLEFINANCE(""CURRENCY:CHFINR"")"),260692579790)</f>
        <v>260692579790</v>
      </c>
    </row>
    <row r="85" spans="1:3" x14ac:dyDescent="0.25">
      <c r="A85" s="2">
        <v>84</v>
      </c>
      <c r="B85" s="2">
        <v>-100000</v>
      </c>
      <c r="C85" s="3">
        <f ca="1">IFERROR(__xludf.DUMMYFUNCTION("B85*GOOGLEFINANCE(""CURRENCY:CHFINR"")"),-8025014)</f>
        <v>-8025014</v>
      </c>
    </row>
    <row r="86" spans="1:3" x14ac:dyDescent="0.25">
      <c r="A86" s="2">
        <v>85</v>
      </c>
      <c r="B86" s="2">
        <v>1210650000</v>
      </c>
      <c r="C86" s="3">
        <f ca="1">IFERROR(__xludf.DUMMYFUNCTION("B86*GOOGLEFINANCE(""CURRENCY:CHFINR"")"),97154831991)</f>
        <v>97154831991</v>
      </c>
    </row>
    <row r="87" spans="1:3" x14ac:dyDescent="0.25">
      <c r="A87" s="2">
        <v>86</v>
      </c>
      <c r="B87" s="2">
        <v>1000220000</v>
      </c>
      <c r="C87" s="3">
        <f ca="1">IFERROR(__xludf.DUMMYFUNCTION("B87*GOOGLEFINANCE(""CURRENCY:CHFINR"")"),80267795030.8)</f>
        <v>80267795030.800003</v>
      </c>
    </row>
    <row r="88" spans="1:3" x14ac:dyDescent="0.25">
      <c r="A88" s="2">
        <v>87</v>
      </c>
      <c r="B88" s="2">
        <v>789790000</v>
      </c>
      <c r="C88" s="3">
        <f ca="1">IFERROR(__xludf.DUMMYFUNCTION("B88*GOOGLEFINANCE(""CURRENCY:CHFINR"")"),63380758070.6)</f>
        <v>63380758070.599998</v>
      </c>
    </row>
    <row r="89" spans="1:3" x14ac:dyDescent="0.25">
      <c r="A89" s="2">
        <v>88</v>
      </c>
      <c r="B89" s="2">
        <v>579360000</v>
      </c>
      <c r="C89" s="3">
        <f ca="1">IFERROR(__xludf.DUMMYFUNCTION("B89*GOOGLEFINANCE(""CURRENCY:CHFINR"")"),46493721110.4)</f>
        <v>46493721110.400002</v>
      </c>
    </row>
    <row r="90" spans="1:3" x14ac:dyDescent="0.25">
      <c r="A90" s="2">
        <v>89</v>
      </c>
      <c r="B90" s="2">
        <v>368930000</v>
      </c>
      <c r="C90" s="3">
        <f ca="1">IFERROR(__xludf.DUMMYFUNCTION("B90*GOOGLEFINANCE(""CURRENCY:CHFINR"")"),29606684150.2)</f>
        <v>29606684150.200001</v>
      </c>
    </row>
    <row r="91" spans="1:3" x14ac:dyDescent="0.25">
      <c r="A91" s="2">
        <v>90</v>
      </c>
      <c r="B91" s="2">
        <v>158500000</v>
      </c>
      <c r="C91" s="3">
        <f ca="1">IFERROR(__xludf.DUMMYFUNCTION("B91*GOOGLEFINANCE(""CURRENCY:CHFINR"")"),12719647190)</f>
        <v>12719647190</v>
      </c>
    </row>
    <row r="92" spans="1:3" x14ac:dyDescent="0.25">
      <c r="A92" s="2">
        <v>91</v>
      </c>
      <c r="B92" s="2">
        <v>-51930000</v>
      </c>
      <c r="C92" s="3">
        <f ca="1">IFERROR(__xludf.DUMMYFUNCTION("B92*GOOGLEFINANCE(""CURRENCY:CHFINR"")"),-4167389770.2)</f>
        <v>-4167389770.1999998</v>
      </c>
    </row>
    <row r="93" spans="1:3" x14ac:dyDescent="0.25">
      <c r="A93" s="2">
        <v>92</v>
      </c>
      <c r="B93" s="2">
        <v>-262360000</v>
      </c>
      <c r="C93" s="3">
        <f ca="1">IFERROR(__xludf.DUMMYFUNCTION("B93*GOOGLEFINANCE(""CURRENCY:CHFINR"")"),-21054426730.4)</f>
        <v>-21054426730.400002</v>
      </c>
    </row>
    <row r="94" spans="1:3" x14ac:dyDescent="0.25">
      <c r="A94" s="2">
        <v>93</v>
      </c>
      <c r="B94" s="2">
        <v>-472790000</v>
      </c>
      <c r="C94" s="3">
        <f ca="1">IFERROR(__xludf.DUMMYFUNCTION("B94*GOOGLEFINANCE(""CURRENCY:CHFINR"")"),-37941463690.6)</f>
        <v>-37941463690.599998</v>
      </c>
    </row>
    <row r="95" spans="1:3" x14ac:dyDescent="0.25">
      <c r="A95" s="2">
        <v>94</v>
      </c>
      <c r="B95" s="2">
        <v>-683220000</v>
      </c>
      <c r="C95" s="3">
        <f ca="1">IFERROR(__xludf.DUMMYFUNCTION("B95*GOOGLEFINANCE(""CURRENCY:CHFINR"")"),-54828500650.8)</f>
        <v>-54828500650.800003</v>
      </c>
    </row>
    <row r="96" spans="1:3" x14ac:dyDescent="0.25">
      <c r="A96" s="2">
        <v>95</v>
      </c>
      <c r="B96" s="2">
        <v>-893650000</v>
      </c>
      <c r="C96" s="3">
        <f ca="1">IFERROR(__xludf.DUMMYFUNCTION("B96*GOOGLEFINANCE(""CURRENCY:CHFINR"")"),-71715537611)</f>
        <v>-71715537611</v>
      </c>
    </row>
    <row r="97" spans="1:3" x14ac:dyDescent="0.25">
      <c r="A97" s="2">
        <v>96</v>
      </c>
      <c r="B97" s="2">
        <v>-1104080000</v>
      </c>
      <c r="C97" s="3">
        <f ca="1">IFERROR(__xludf.DUMMYFUNCTION("B97*GOOGLEFINANCE(""CURRENCY:CHFINR"")"),-88602574571.2)</f>
        <v>-88602574571.199997</v>
      </c>
    </row>
    <row r="98" spans="1:3" x14ac:dyDescent="0.25">
      <c r="A98" s="2">
        <v>97</v>
      </c>
      <c r="B98" s="2">
        <v>-1314510000</v>
      </c>
      <c r="C98" s="3">
        <f ca="1">IFERROR(__xludf.DUMMYFUNCTION("B98*GOOGLEFINANCE(""CURRENCY:CHFINR"")"),-105489611531.4)</f>
        <v>-105489611531.39999</v>
      </c>
    </row>
    <row r="99" spans="1:3" x14ac:dyDescent="0.25">
      <c r="A99" s="2">
        <v>98</v>
      </c>
      <c r="B99" s="2">
        <v>-1524940000</v>
      </c>
      <c r="C99" s="3">
        <f ca="1">IFERROR(__xludf.DUMMYFUNCTION("B99*GOOGLEFINANCE(""CURRENCY:CHFINR"")"),-122376648491.6)</f>
        <v>-122376648491.60001</v>
      </c>
    </row>
    <row r="100" spans="1:3" x14ac:dyDescent="0.25">
      <c r="A100" s="2">
        <v>99</v>
      </c>
      <c r="B100" s="2">
        <v>-1735370000</v>
      </c>
      <c r="C100" s="3">
        <f ca="1">IFERROR(__xludf.DUMMYFUNCTION("B100*GOOGLEFINANCE(""CURRENCY:CHFINR"")"),-139263685451.8)</f>
        <v>-139263685451.79999</v>
      </c>
    </row>
    <row r="101" spans="1:3" x14ac:dyDescent="0.25">
      <c r="A101" s="2">
        <v>100</v>
      </c>
      <c r="B101" s="2">
        <v>-1945800000</v>
      </c>
      <c r="C101" s="3">
        <f ca="1">IFERROR(__xludf.DUMMYFUNCTION("B101*GOOGLEFINANCE(""CURRENCY:CHFINR"")"),-156150722412)</f>
        <v>-156150722412</v>
      </c>
    </row>
    <row r="102" spans="1:3" x14ac:dyDescent="0.25">
      <c r="A102" s="2">
        <v>101</v>
      </c>
      <c r="B102" s="2">
        <v>-2156230000</v>
      </c>
      <c r="C102" s="3">
        <f ca="1">IFERROR(__xludf.DUMMYFUNCTION("B102*GOOGLEFINANCE(""CURRENCY:CHFINR"")"),-173037759372.2)</f>
        <v>-173037759372.20001</v>
      </c>
    </row>
    <row r="103" spans="1:3" x14ac:dyDescent="0.25">
      <c r="A103" s="2">
        <v>102</v>
      </c>
      <c r="B103" s="2">
        <v>-2366660000</v>
      </c>
      <c r="C103" s="3">
        <f ca="1">IFERROR(__xludf.DUMMYFUNCTION("B103*GOOGLEFINANCE(""CURRENCY:CHFINR"")"),-189924796332.4)</f>
        <v>-189924796332.39999</v>
      </c>
    </row>
    <row r="104" spans="1:3" x14ac:dyDescent="0.25">
      <c r="A104" s="2">
        <v>103</v>
      </c>
      <c r="B104" s="2">
        <v>-2577090000</v>
      </c>
      <c r="C104" s="3">
        <f ca="1">IFERROR(__xludf.DUMMYFUNCTION("B104*GOOGLEFINANCE(""CURRENCY:CHFINR"")"),-206811833292.6)</f>
        <v>-206811833292.60001</v>
      </c>
    </row>
    <row r="105" spans="1:3" x14ac:dyDescent="0.25">
      <c r="A105" s="2">
        <v>104</v>
      </c>
      <c r="B105" s="2">
        <v>-2787520000</v>
      </c>
      <c r="C105" s="3">
        <f ca="1">IFERROR(__xludf.DUMMYFUNCTION("B105*GOOGLEFINANCE(""CURRENCY:CHFINR"")"),-223698870252.8)</f>
        <v>-223698870252.79999</v>
      </c>
    </row>
    <row r="106" spans="1:3" x14ac:dyDescent="0.25">
      <c r="A106" s="2">
        <v>105</v>
      </c>
      <c r="B106" s="2">
        <v>-2997950000</v>
      </c>
      <c r="C106" s="3">
        <f ca="1">IFERROR(__xludf.DUMMYFUNCTION("B106*GOOGLEFINANCE(""CURRENCY:CHFINR"")"),-240585907213)</f>
        <v>-240585907213</v>
      </c>
    </row>
    <row r="107" spans="1:3" x14ac:dyDescent="0.25">
      <c r="A107" s="2">
        <v>106</v>
      </c>
      <c r="B107" s="2">
        <v>-3208380000</v>
      </c>
      <c r="C107" s="3">
        <f ca="1">IFERROR(__xludf.DUMMYFUNCTION("B107*GOOGLEFINANCE(""CURRENCY:CHFINR"")"),-257472944173.2)</f>
        <v>-257472944173.20001</v>
      </c>
    </row>
    <row r="108" spans="1:3" x14ac:dyDescent="0.25">
      <c r="A108" s="2">
        <v>107</v>
      </c>
      <c r="B108" s="2">
        <v>-3418810000</v>
      </c>
      <c r="C108" s="3">
        <f ca="1">IFERROR(__xludf.DUMMYFUNCTION("B108*GOOGLEFINANCE(""CURRENCY:CHFINR"")"),-274359981133.4)</f>
        <v>-274359981133.39999</v>
      </c>
    </row>
    <row r="109" spans="1:3" x14ac:dyDescent="0.25">
      <c r="A109" s="2">
        <v>108</v>
      </c>
      <c r="B109" s="2">
        <v>-3629240000</v>
      </c>
      <c r="C109" s="3">
        <f ca="1">IFERROR(__xludf.DUMMYFUNCTION("B109*GOOGLEFINANCE(""CURRENCY:CHFINR"")"),-291247018093.6)</f>
        <v>-291247018093.59998</v>
      </c>
    </row>
    <row r="110" spans="1:3" x14ac:dyDescent="0.25">
      <c r="A110" s="2">
        <v>109</v>
      </c>
      <c r="B110" s="2">
        <v>-3839670000</v>
      </c>
      <c r="C110" s="3">
        <f ca="1">IFERROR(__xludf.DUMMYFUNCTION("B110*GOOGLEFINANCE(""CURRENCY:CHFINR"")"),-308134055053.8)</f>
        <v>-308134055053.79999</v>
      </c>
    </row>
    <row r="111" spans="1:3" x14ac:dyDescent="0.25">
      <c r="A111" s="2">
        <v>110</v>
      </c>
      <c r="B111" s="2">
        <v>-4050100000</v>
      </c>
      <c r="C111" s="3">
        <f ca="1">IFERROR(__xludf.DUMMYFUNCTION("B111*GOOGLEFINANCE(""CURRENCY:CHFINR"")"),-325021092014)</f>
        <v>-325021092014</v>
      </c>
    </row>
    <row r="112" spans="1:3" x14ac:dyDescent="0.25">
      <c r="A112" s="2">
        <v>111</v>
      </c>
      <c r="B112" s="2">
        <v>-4260530000</v>
      </c>
      <c r="C112" s="3">
        <f ca="1">IFERROR(__xludf.DUMMYFUNCTION("B112*GOOGLEFINANCE(""CURRENCY:CHFINR"")"),-341908128974.2)</f>
        <v>-341908128974.20001</v>
      </c>
    </row>
    <row r="113" spans="1:3" x14ac:dyDescent="0.25">
      <c r="A113" s="2">
        <v>112</v>
      </c>
      <c r="B113" s="2">
        <v>-4470960000</v>
      </c>
      <c r="C113" s="3">
        <f ca="1">IFERROR(__xludf.DUMMYFUNCTION("B113*GOOGLEFINANCE(""CURRENCY:CHFINR"")"),-358795165934.4)</f>
        <v>-358795165934.40002</v>
      </c>
    </row>
    <row r="114" spans="1:3" x14ac:dyDescent="0.25">
      <c r="A114" s="2">
        <v>113</v>
      </c>
      <c r="B114" s="2">
        <v>-4681390000</v>
      </c>
      <c r="C114" s="3">
        <f ca="1">IFERROR(__xludf.DUMMYFUNCTION("B114*GOOGLEFINANCE(""CURRENCY:CHFINR"")"),-375682202894.6)</f>
        <v>-375682202894.59998</v>
      </c>
    </row>
    <row r="115" spans="1:3" x14ac:dyDescent="0.25">
      <c r="A115" s="2">
        <v>114</v>
      </c>
      <c r="B115" s="2">
        <v>-4891820000</v>
      </c>
      <c r="C115" s="3">
        <f ca="1">IFERROR(__xludf.DUMMYFUNCTION("B115*GOOGLEFINANCE(""CURRENCY:CHFINR"")"),-392569239854.8)</f>
        <v>-392569239854.79999</v>
      </c>
    </row>
    <row r="116" spans="1:3" x14ac:dyDescent="0.25">
      <c r="A116" s="2">
        <v>115</v>
      </c>
      <c r="B116" s="2">
        <v>-5102250000</v>
      </c>
      <c r="C116" s="3">
        <f ca="1">IFERROR(__xludf.DUMMYFUNCTION("B116*GOOGLEFINANCE(""CURRENCY:CHFINR"")"),-409456276815)</f>
        <v>-409456276815</v>
      </c>
    </row>
    <row r="117" spans="1:3" x14ac:dyDescent="0.25">
      <c r="A117" s="2">
        <v>116</v>
      </c>
      <c r="B117" s="2">
        <v>-5312680000</v>
      </c>
      <c r="C117" s="3">
        <f ca="1">IFERROR(__xludf.DUMMYFUNCTION("B117*GOOGLEFINANCE(""CURRENCY:CHFINR"")"),-426343313775.2)</f>
        <v>-426343313775.20001</v>
      </c>
    </row>
    <row r="118" spans="1:3" x14ac:dyDescent="0.25">
      <c r="A118" s="2">
        <v>117</v>
      </c>
      <c r="B118" s="2">
        <v>-5523110000</v>
      </c>
      <c r="C118" s="3">
        <f ca="1">IFERROR(__xludf.DUMMYFUNCTION("B118*GOOGLEFINANCE(""CURRENCY:CHFINR"")"),-443230350735.4)</f>
        <v>-443230350735.40002</v>
      </c>
    </row>
    <row r="119" spans="1:3" x14ac:dyDescent="0.25">
      <c r="A119" s="2">
        <v>118</v>
      </c>
      <c r="B119" s="2">
        <v>-5733540000</v>
      </c>
      <c r="C119" s="3">
        <f ca="1">IFERROR(__xludf.DUMMYFUNCTION("B119*GOOGLEFINANCE(""CURRENCY:CHFINR"")"),-460117387695.6)</f>
        <v>-460117387695.59998</v>
      </c>
    </row>
    <row r="120" spans="1:3" x14ac:dyDescent="0.25">
      <c r="A120" s="2">
        <v>119</v>
      </c>
      <c r="B120" s="2">
        <v>-5943970000</v>
      </c>
      <c r="C120" s="3">
        <f ca="1">IFERROR(__xludf.DUMMYFUNCTION("B120*GOOGLEFINANCE(""CURRENCY:CHFINR"")"),-477004424655.8)</f>
        <v>-477004424655.79999</v>
      </c>
    </row>
    <row r="121" spans="1:3" x14ac:dyDescent="0.25">
      <c r="A121" s="2">
        <v>120</v>
      </c>
      <c r="B121" s="2">
        <v>-6154400000</v>
      </c>
      <c r="C121" s="3">
        <f ca="1">IFERROR(__xludf.DUMMYFUNCTION("B121*GOOGLEFINANCE(""CURRENCY:CHFINR"")"),-493891461616)</f>
        <v>-493891461616</v>
      </c>
    </row>
    <row r="122" spans="1:3" x14ac:dyDescent="0.25">
      <c r="A122" s="2">
        <v>121</v>
      </c>
      <c r="B122" s="2">
        <v>-6364830000</v>
      </c>
      <c r="C122" s="3">
        <f ca="1">IFERROR(__xludf.DUMMYFUNCTION("B122*GOOGLEFINANCE(""CURRENCY:CHFINR"")"),-510778498576.2)</f>
        <v>-510778498576.20001</v>
      </c>
    </row>
    <row r="123" spans="1:3" x14ac:dyDescent="0.25">
      <c r="A123" s="2">
        <v>122</v>
      </c>
      <c r="B123" s="2">
        <v>-6575260000</v>
      </c>
      <c r="C123" s="3">
        <f ca="1">IFERROR(__xludf.DUMMYFUNCTION("B123*GOOGLEFINANCE(""CURRENCY:CHFINR"")"),-527665535536.4)</f>
        <v>-527665535536.40002</v>
      </c>
    </row>
    <row r="124" spans="1:3" x14ac:dyDescent="0.25">
      <c r="A124" s="2">
        <v>123</v>
      </c>
      <c r="B124" s="2">
        <v>-6785690000</v>
      </c>
      <c r="C124" s="3">
        <f ca="1">IFERROR(__xludf.DUMMYFUNCTION("B124*GOOGLEFINANCE(""CURRENCY:CHFINR"")"),-544552572496.6)</f>
        <v>-544552572496.59998</v>
      </c>
    </row>
    <row r="125" spans="1:3" x14ac:dyDescent="0.25">
      <c r="A125" s="2">
        <v>124</v>
      </c>
      <c r="B125" s="2">
        <v>-6996120000</v>
      </c>
      <c r="C125" s="3">
        <f ca="1">IFERROR(__xludf.DUMMYFUNCTION("B125*GOOGLEFINANCE(""CURRENCY:CHFINR"")"),-561439609456.8)</f>
        <v>-561439609456.80005</v>
      </c>
    </row>
    <row r="126" spans="1:3" x14ac:dyDescent="0.25">
      <c r="A126" s="2">
        <v>125</v>
      </c>
      <c r="B126" s="2">
        <v>-7206550000</v>
      </c>
      <c r="C126" s="3">
        <f ca="1">IFERROR(__xludf.DUMMYFUNCTION("B126*GOOGLEFINANCE(""CURRENCY:CHFINR"")"),-578326646417)</f>
        <v>-578326646417</v>
      </c>
    </row>
    <row r="127" spans="1:3" x14ac:dyDescent="0.25">
      <c r="A127" s="2">
        <v>126</v>
      </c>
      <c r="B127" s="2">
        <v>-7416980000</v>
      </c>
      <c r="C127" s="3">
        <f ca="1">IFERROR(__xludf.DUMMYFUNCTION("B127*GOOGLEFINANCE(""CURRENCY:CHFINR"")"),-595213683377.2)</f>
        <v>-595213683377.19995</v>
      </c>
    </row>
    <row r="128" spans="1:3" x14ac:dyDescent="0.25">
      <c r="A128" s="2">
        <v>127</v>
      </c>
      <c r="B128" s="2">
        <v>-7627410000</v>
      </c>
      <c r="C128" s="3">
        <f ca="1">IFERROR(__xludf.DUMMYFUNCTION("B128*GOOGLEFINANCE(""CURRENCY:CHFINR"")"),-612100720337.4)</f>
        <v>-612100720337.40002</v>
      </c>
    </row>
    <row r="129" spans="1:3" x14ac:dyDescent="0.25">
      <c r="A129" s="2">
        <v>128</v>
      </c>
      <c r="B129" s="2">
        <v>-7837840000</v>
      </c>
      <c r="C129" s="3">
        <f ca="1">IFERROR(__xludf.DUMMYFUNCTION("B129*GOOGLEFINANCE(""CURRENCY:CHFINR"")"),-628987757297.6)</f>
        <v>-628987757297.59998</v>
      </c>
    </row>
    <row r="130" spans="1:3" x14ac:dyDescent="0.25">
      <c r="A130" s="2">
        <v>129</v>
      </c>
      <c r="B130" s="2">
        <v>-8048270000</v>
      </c>
      <c r="C130" s="3">
        <f ca="1">IFERROR(__xludf.DUMMYFUNCTION("B130*GOOGLEFINANCE(""CURRENCY:CHFINR"")"),-645874794257.8)</f>
        <v>-645874794257.80005</v>
      </c>
    </row>
    <row r="131" spans="1:3" x14ac:dyDescent="0.25">
      <c r="A131" s="2">
        <v>130</v>
      </c>
      <c r="B131" s="2">
        <v>-8258700000</v>
      </c>
      <c r="C131" s="3">
        <f ca="1">IFERROR(__xludf.DUMMYFUNCTION("B131*GOOGLEFINANCE(""CURRENCY:CHFINR"")"),-662761831218)</f>
        <v>-662761831218</v>
      </c>
    </row>
    <row r="132" spans="1:3" x14ac:dyDescent="0.25">
      <c r="A132" s="2">
        <v>131</v>
      </c>
      <c r="B132" s="2">
        <v>-8469130000</v>
      </c>
      <c r="C132" s="3">
        <f ca="1">IFERROR(__xludf.DUMMYFUNCTION("B132*GOOGLEFINANCE(""CURRENCY:CHFINR"")"),-679648868178.2)</f>
        <v>-679648868178.19995</v>
      </c>
    </row>
    <row r="133" spans="1:3" x14ac:dyDescent="0.25">
      <c r="A133" s="2">
        <v>132</v>
      </c>
      <c r="B133" s="2">
        <v>-8679560000</v>
      </c>
      <c r="C133" s="3">
        <f ca="1">IFERROR(__xludf.DUMMYFUNCTION("B133*GOOGLEFINANCE(""CURRENCY:CHFINR"")"),-696535905138.4)</f>
        <v>-696535905138.40002</v>
      </c>
    </row>
    <row r="134" spans="1:3" x14ac:dyDescent="0.25">
      <c r="A134" s="2">
        <v>133</v>
      </c>
      <c r="B134" s="2">
        <v>-8889990000</v>
      </c>
      <c r="C134" s="3">
        <f ca="1">IFERROR(__xludf.DUMMYFUNCTION("B134*GOOGLEFINANCE(""CURRENCY:CHFINR"")"),-713422942098.6)</f>
        <v>-713422942098.59998</v>
      </c>
    </row>
    <row r="135" spans="1:3" x14ac:dyDescent="0.25">
      <c r="A135" s="2">
        <v>134</v>
      </c>
      <c r="B135" s="2">
        <v>-9100420000</v>
      </c>
      <c r="C135" s="3">
        <f ca="1">IFERROR(__xludf.DUMMYFUNCTION("B135*GOOGLEFINANCE(""CURRENCY:CHFINR"")"),-730309979058.8)</f>
        <v>-730309979058.80005</v>
      </c>
    </row>
    <row r="136" spans="1:3" x14ac:dyDescent="0.25">
      <c r="A136" s="2">
        <v>135</v>
      </c>
      <c r="B136" s="2">
        <v>-9310850000</v>
      </c>
      <c r="C136" s="3">
        <f ca="1">IFERROR(__xludf.DUMMYFUNCTION("B136*GOOGLEFINANCE(""CURRENCY:CHFINR"")"),-747197016019)</f>
        <v>-747197016019</v>
      </c>
    </row>
    <row r="137" spans="1:3" x14ac:dyDescent="0.25">
      <c r="A137" s="2">
        <v>136</v>
      </c>
      <c r="B137" s="2">
        <v>-9521280000</v>
      </c>
      <c r="C137" s="3">
        <f ca="1">IFERROR(__xludf.DUMMYFUNCTION("B137*GOOGLEFINANCE(""CURRENCY:CHFINR"")"),-764084052979.2)</f>
        <v>-764084052979.19995</v>
      </c>
    </row>
    <row r="138" spans="1:3" x14ac:dyDescent="0.25">
      <c r="A138" s="2">
        <v>137</v>
      </c>
      <c r="B138" s="2">
        <v>-9731710000</v>
      </c>
      <c r="C138" s="3">
        <f ca="1">IFERROR(__xludf.DUMMYFUNCTION("B138*GOOGLEFINANCE(""CURRENCY:CHFINR"")"),-780971089939.4)</f>
        <v>-780971089939.40002</v>
      </c>
    </row>
    <row r="139" spans="1:3" x14ac:dyDescent="0.25">
      <c r="A139" s="2">
        <v>138</v>
      </c>
      <c r="B139" s="2">
        <v>-9942140000</v>
      </c>
      <c r="C139" s="3">
        <f ca="1">IFERROR(__xludf.DUMMYFUNCTION("B139*GOOGLEFINANCE(""CURRENCY:CHFINR"")"),-797858126899.6)</f>
        <v>-797858126899.59998</v>
      </c>
    </row>
    <row r="140" spans="1:3" x14ac:dyDescent="0.25">
      <c r="A140" s="2">
        <v>139</v>
      </c>
      <c r="B140" s="2">
        <v>-10152570000</v>
      </c>
      <c r="C140" s="3">
        <f ca="1">IFERROR(__xludf.DUMMYFUNCTION("B140*GOOGLEFINANCE(""CURRENCY:CHFINR"")"),-814745163859.8)</f>
        <v>-814745163859.80005</v>
      </c>
    </row>
    <row r="141" spans="1:3" x14ac:dyDescent="0.25">
      <c r="A141" s="2">
        <v>140</v>
      </c>
      <c r="B141" s="2">
        <v>-10363000000</v>
      </c>
      <c r="C141" s="3">
        <f ca="1">IFERROR(__xludf.DUMMYFUNCTION("B141*GOOGLEFINANCE(""CURRENCY:CHFINR"")"),-831632200820)</f>
        <v>-831632200820</v>
      </c>
    </row>
    <row r="142" spans="1:3" x14ac:dyDescent="0.25">
      <c r="A142" s="2">
        <v>141</v>
      </c>
      <c r="B142" s="2">
        <v>-10573430000</v>
      </c>
      <c r="C142" s="3">
        <f ca="1">IFERROR(__xludf.DUMMYFUNCTION("B142*GOOGLEFINANCE(""CURRENCY:CHFINR"")"),-848519237780.2)</f>
        <v>-848519237780.19995</v>
      </c>
    </row>
    <row r="143" spans="1:3" x14ac:dyDescent="0.25">
      <c r="A143" s="2">
        <v>142</v>
      </c>
      <c r="B143" s="2">
        <v>-10783860000</v>
      </c>
      <c r="C143" s="3">
        <f ca="1">IFERROR(__xludf.DUMMYFUNCTION("B143*GOOGLEFINANCE(""CURRENCY:CHFINR"")"),-865406274740.4)</f>
        <v>-865406274740.40002</v>
      </c>
    </row>
    <row r="144" spans="1:3" x14ac:dyDescent="0.25">
      <c r="A144" s="2">
        <v>143</v>
      </c>
      <c r="B144" s="2">
        <v>-10994290000</v>
      </c>
      <c r="C144" s="3">
        <f ca="1">IFERROR(__xludf.DUMMYFUNCTION("B144*GOOGLEFINANCE(""CURRENCY:CHFINR"")"),-882293311700.6)</f>
        <v>-882293311700.59998</v>
      </c>
    </row>
    <row r="145" spans="1:3" x14ac:dyDescent="0.25">
      <c r="A145" s="2">
        <v>144</v>
      </c>
      <c r="B145" s="2">
        <v>-11204720000</v>
      </c>
      <c r="C145" s="3">
        <f ca="1">IFERROR(__xludf.DUMMYFUNCTION("B145*GOOGLEFINANCE(""CURRENCY:CHFINR"")"),-899180348660.8)</f>
        <v>-899180348660.80005</v>
      </c>
    </row>
    <row r="146" spans="1:3" x14ac:dyDescent="0.25">
      <c r="A146" s="2">
        <v>145</v>
      </c>
      <c r="B146" s="2">
        <v>-11415150000</v>
      </c>
      <c r="C146" s="3">
        <f ca="1">IFERROR(__xludf.DUMMYFUNCTION("B146*GOOGLEFINANCE(""CURRENCY:CHFINR"")"),-916067385621)</f>
        <v>-916067385621</v>
      </c>
    </row>
    <row r="147" spans="1:3" x14ac:dyDescent="0.25">
      <c r="A147" s="2">
        <v>146</v>
      </c>
      <c r="B147" s="2">
        <v>-11625580000</v>
      </c>
      <c r="C147" s="3">
        <f ca="1">IFERROR(__xludf.DUMMYFUNCTION("B147*GOOGLEFINANCE(""CURRENCY:CHFINR"")"),-932954422581.2)</f>
        <v>-932954422581.19995</v>
      </c>
    </row>
    <row r="148" spans="1:3" x14ac:dyDescent="0.25">
      <c r="A148" s="2">
        <v>147</v>
      </c>
      <c r="B148" s="2">
        <v>-11836010000</v>
      </c>
      <c r="C148" s="3">
        <f ca="1">IFERROR(__xludf.DUMMYFUNCTION("B148*GOOGLEFINANCE(""CURRENCY:CHFINR"")"),-949841459541.4)</f>
        <v>-949841459541.40002</v>
      </c>
    </row>
    <row r="149" spans="1:3" x14ac:dyDescent="0.25">
      <c r="A149" s="2">
        <v>148</v>
      </c>
      <c r="B149" s="2">
        <v>-12046440000</v>
      </c>
      <c r="C149" s="3">
        <f ca="1">IFERROR(__xludf.DUMMYFUNCTION("B149*GOOGLEFINANCE(""CURRENCY:CHFINR"")"),-966728496501.6)</f>
        <v>-966728496501.59998</v>
      </c>
    </row>
    <row r="150" spans="1:3" x14ac:dyDescent="0.25">
      <c r="A150" s="2">
        <v>149</v>
      </c>
      <c r="B150" s="2">
        <v>-12256870000</v>
      </c>
      <c r="C150" s="3">
        <f ca="1">IFERROR(__xludf.DUMMYFUNCTION("B150*GOOGLEFINANCE(""CURRENCY:CHFINR"")"),-983615533461.8)</f>
        <v>-983615533461.80005</v>
      </c>
    </row>
    <row r="151" spans="1:3" x14ac:dyDescent="0.25">
      <c r="A151" s="2">
        <v>150</v>
      </c>
      <c r="B151" s="2">
        <v>-12467300000</v>
      </c>
      <c r="C151" s="3">
        <f ca="1">IFERROR(__xludf.DUMMYFUNCTION("B151*GOOGLEFINANCE(""CURRENCY:CHFINR"")"),-1000502570422)</f>
        <v>-1000502570422</v>
      </c>
    </row>
    <row r="152" spans="1:3" x14ac:dyDescent="0.25">
      <c r="A152" s="2">
        <v>151</v>
      </c>
      <c r="B152" s="2">
        <v>-12677730000</v>
      </c>
      <c r="C152" s="3">
        <f ca="1">IFERROR(__xludf.DUMMYFUNCTION("B152*GOOGLEFINANCE(""CURRENCY:CHFINR"")"),-1017389607382.2)</f>
        <v>-1017389607382.2</v>
      </c>
    </row>
    <row r="153" spans="1:3" x14ac:dyDescent="0.25">
      <c r="A153" s="2">
        <v>152</v>
      </c>
      <c r="B153" s="2">
        <v>-12888160000</v>
      </c>
      <c r="C153" s="3">
        <f ca="1">IFERROR(__xludf.DUMMYFUNCTION("B153*GOOGLEFINANCE(""CURRENCY:CHFINR"")"),-1034276644342.4)</f>
        <v>-1034276644342.4</v>
      </c>
    </row>
    <row r="154" spans="1:3" x14ac:dyDescent="0.25">
      <c r="A154" s="2">
        <v>153</v>
      </c>
      <c r="B154" s="2">
        <v>-13098590000</v>
      </c>
      <c r="C154" s="3">
        <f ca="1">IFERROR(__xludf.DUMMYFUNCTION("B154*GOOGLEFINANCE(""CURRENCY:CHFINR"")"),-1051163681302.6)</f>
        <v>-1051163681302.6</v>
      </c>
    </row>
    <row r="155" spans="1:3" x14ac:dyDescent="0.25">
      <c r="A155" s="2">
        <v>154</v>
      </c>
      <c r="B155" s="2">
        <v>-13309020000</v>
      </c>
      <c r="C155" s="3">
        <f ca="1">IFERROR(__xludf.DUMMYFUNCTION("B155*GOOGLEFINANCE(""CURRENCY:CHFINR"")"),-1068050718262.8)</f>
        <v>-1068050718262.8</v>
      </c>
    </row>
    <row r="156" spans="1:3" x14ac:dyDescent="0.25">
      <c r="A156" s="2">
        <v>155</v>
      </c>
      <c r="B156" s="2">
        <v>-13519450000</v>
      </c>
      <c r="C156" s="3">
        <f ca="1">IFERROR(__xludf.DUMMYFUNCTION("B156*GOOGLEFINANCE(""CURRENCY:CHFINR"")"),-1084937755223)</f>
        <v>-1084937755223</v>
      </c>
    </row>
    <row r="157" spans="1:3" x14ac:dyDescent="0.25">
      <c r="A157" s="2">
        <v>156</v>
      </c>
      <c r="B157" s="2">
        <v>-13729880000</v>
      </c>
      <c r="C157" s="3">
        <f ca="1">IFERROR(__xludf.DUMMYFUNCTION("B157*GOOGLEFINANCE(""CURRENCY:CHFINR"")"),-1101824792183.2)</f>
        <v>-1101824792183.2</v>
      </c>
    </row>
    <row r="158" spans="1:3" x14ac:dyDescent="0.25">
      <c r="A158" s="2">
        <v>157</v>
      </c>
      <c r="B158" s="2">
        <v>-13940310000</v>
      </c>
      <c r="C158" s="3">
        <f ca="1">IFERROR(__xludf.DUMMYFUNCTION("B158*GOOGLEFINANCE(""CURRENCY:CHFINR"")"),-1118711829143.4)</f>
        <v>-1118711829143.3999</v>
      </c>
    </row>
    <row r="159" spans="1:3" x14ac:dyDescent="0.25">
      <c r="A159" s="2">
        <v>158</v>
      </c>
      <c r="B159" s="2">
        <v>-14150740000</v>
      </c>
      <c r="C159" s="3">
        <f ca="1">IFERROR(__xludf.DUMMYFUNCTION("B159*GOOGLEFINANCE(""CURRENCY:CHFINR"")"),-1135598866103.6)</f>
        <v>-1135598866103.6001</v>
      </c>
    </row>
    <row r="160" spans="1:3" x14ac:dyDescent="0.25">
      <c r="A160" s="2">
        <v>159</v>
      </c>
      <c r="B160" s="2">
        <v>-14361170000</v>
      </c>
      <c r="C160" s="3">
        <f ca="1">IFERROR(__xludf.DUMMYFUNCTION("B160*GOOGLEFINANCE(""CURRENCY:CHFINR"")"),-1152485903063.8)</f>
        <v>-1152485903063.8</v>
      </c>
    </row>
    <row r="161" spans="1:3" x14ac:dyDescent="0.25">
      <c r="A161" s="2">
        <v>160</v>
      </c>
      <c r="B161" s="2">
        <v>-14571600000</v>
      </c>
      <c r="C161" s="3">
        <f ca="1">IFERROR(__xludf.DUMMYFUNCTION("B161*GOOGLEFINANCE(""CURRENCY:CHFINR"")"),-1169372940024)</f>
        <v>-1169372940024</v>
      </c>
    </row>
    <row r="162" spans="1:3" x14ac:dyDescent="0.25">
      <c r="A162" s="2">
        <v>161</v>
      </c>
      <c r="B162" s="2">
        <v>-14782030000</v>
      </c>
      <c r="C162" s="3">
        <f ca="1">IFERROR(__xludf.DUMMYFUNCTION("B162*GOOGLEFINANCE(""CURRENCY:CHFINR"")"),-1186259976984.2)</f>
        <v>-1186259976984.2</v>
      </c>
    </row>
    <row r="163" spans="1:3" x14ac:dyDescent="0.25">
      <c r="A163" s="2">
        <v>162</v>
      </c>
      <c r="B163" s="2">
        <v>-14992460000</v>
      </c>
      <c r="C163" s="3">
        <f ca="1">IFERROR(__xludf.DUMMYFUNCTION("B163*GOOGLEFINANCE(""CURRENCY:CHFINR"")"),-1203147013944.4)</f>
        <v>-1203147013944.3999</v>
      </c>
    </row>
    <row r="164" spans="1:3" x14ac:dyDescent="0.25">
      <c r="A164" s="2">
        <v>163</v>
      </c>
      <c r="B164" s="2">
        <v>-15202890000</v>
      </c>
      <c r="C164" s="3">
        <f ca="1">IFERROR(__xludf.DUMMYFUNCTION("B164*GOOGLEFINANCE(""CURRENCY:CHFINR"")"),-1220034050904.6)</f>
        <v>-1220034050904.6001</v>
      </c>
    </row>
    <row r="165" spans="1:3" x14ac:dyDescent="0.25">
      <c r="A165" s="2">
        <v>164</v>
      </c>
      <c r="B165" s="2">
        <v>-15413320000</v>
      </c>
      <c r="C165" s="3">
        <f ca="1">IFERROR(__xludf.DUMMYFUNCTION("B165*GOOGLEFINANCE(""CURRENCY:CHFINR"")"),-1236921087864.8)</f>
        <v>-1236921087864.8</v>
      </c>
    </row>
    <row r="166" spans="1:3" x14ac:dyDescent="0.25">
      <c r="A166" s="2">
        <v>165</v>
      </c>
      <c r="B166" s="2">
        <v>1044500000</v>
      </c>
      <c r="C166" s="3">
        <f ca="1">IFERROR(__xludf.DUMMYFUNCTION("B166*GOOGLEFINANCE(""CURRENCY:CHFINR"")"),83821271230)</f>
        <v>83821271230</v>
      </c>
    </row>
    <row r="167" spans="1:3" x14ac:dyDescent="0.25">
      <c r="A167" s="2">
        <v>166</v>
      </c>
      <c r="B167" s="2">
        <v>3930000000</v>
      </c>
      <c r="C167" s="3">
        <f ca="1">IFERROR(__xludf.DUMMYFUNCTION("B167*GOOGLEFINANCE(""CURRENCY:CHFINR"")"),315383050200)</f>
        <v>315383050200</v>
      </c>
    </row>
    <row r="168" spans="1:3" x14ac:dyDescent="0.25">
      <c r="A168" s="2">
        <v>167</v>
      </c>
      <c r="B168" s="2">
        <v>3582000000</v>
      </c>
      <c r="C168" s="3">
        <f ca="1">IFERROR(__xludf.DUMMYFUNCTION("B168*GOOGLEFINANCE(""CURRENCY:CHFINR"")"),287456001480)</f>
        <v>287456001480</v>
      </c>
    </row>
    <row r="169" spans="1:3" x14ac:dyDescent="0.25">
      <c r="A169" s="2">
        <v>168</v>
      </c>
      <c r="B169" s="2">
        <v>1755000000</v>
      </c>
      <c r="C169" s="3">
        <f ca="1">IFERROR(__xludf.DUMMYFUNCTION("B169*GOOGLEFINANCE(""CURRENCY:CHFINR"")"),140838995700)</f>
        <v>140838995700</v>
      </c>
    </row>
    <row r="170" spans="1:3" x14ac:dyDescent="0.25">
      <c r="A170" s="2">
        <v>169</v>
      </c>
      <c r="B170" s="2">
        <v>3756000000</v>
      </c>
      <c r="C170" s="3">
        <f ca="1">IFERROR(__xludf.DUMMYFUNCTION("B170*GOOGLEFINANCE(""CURRENCY:CHFINR"")"),301419525840)</f>
        <v>301419525840</v>
      </c>
    </row>
    <row r="171" spans="1:3" x14ac:dyDescent="0.25">
      <c r="A171" s="2">
        <v>170</v>
      </c>
      <c r="B171" s="2">
        <v>2175500000</v>
      </c>
      <c r="C171" s="3">
        <f ca="1">IFERROR(__xludf.DUMMYFUNCTION("B171*GOOGLEFINANCE(""CURRENCY:CHFINR"")"),174584179570)</f>
        <v>174584179570</v>
      </c>
    </row>
    <row r="172" spans="1:3" x14ac:dyDescent="0.25">
      <c r="A172" s="2">
        <v>171</v>
      </c>
      <c r="B172" s="2">
        <v>3234000000</v>
      </c>
      <c r="C172" s="3">
        <f ca="1">IFERROR(__xludf.DUMMYFUNCTION("B172*GOOGLEFINANCE(""CURRENCY:CHFINR"")"),259528952760)</f>
        <v>259528952760</v>
      </c>
    </row>
    <row r="173" spans="1:3" x14ac:dyDescent="0.25">
      <c r="A173" s="2">
        <v>172</v>
      </c>
      <c r="B173" s="2">
        <v>1711500000</v>
      </c>
      <c r="C173" s="3">
        <f ca="1">IFERROR(__xludf.DUMMYFUNCTION("B173*GOOGLEFINANCE(""CURRENCY:CHFINR"")"),137348114610)</f>
        <v>137348114610</v>
      </c>
    </row>
    <row r="174" spans="1:3" x14ac:dyDescent="0.25">
      <c r="A174" s="2">
        <v>173</v>
      </c>
      <c r="B174" s="2">
        <v>392000000</v>
      </c>
      <c r="C174" s="3">
        <f ca="1">IFERROR(__xludf.DUMMYFUNCTION("B174*GOOGLEFINANCE(""CURRENCY:CHFINR"")"),31458054880)</f>
        <v>31458054880</v>
      </c>
    </row>
    <row r="175" spans="1:3" x14ac:dyDescent="0.25">
      <c r="A175" s="2">
        <v>174</v>
      </c>
      <c r="B175" s="2">
        <v>3843000000</v>
      </c>
      <c r="C175" s="3">
        <f ca="1">IFERROR(__xludf.DUMMYFUNCTION("B175*GOOGLEFINANCE(""CURRENCY:CHFINR"")"),308401288020)</f>
        <v>308401288020</v>
      </c>
    </row>
    <row r="176" spans="1:3" x14ac:dyDescent="0.25">
      <c r="A176" s="2">
        <v>175</v>
      </c>
      <c r="B176" s="2">
        <v>232500000</v>
      </c>
      <c r="C176" s="3">
        <f ca="1">IFERROR(__xludf.DUMMYFUNCTION("B176*GOOGLEFINANCE(""CURRENCY:CHFINR"")"),18658157550)</f>
        <v>18658157550</v>
      </c>
    </row>
    <row r="177" spans="1:3" x14ac:dyDescent="0.25">
      <c r="A177" s="2">
        <v>176</v>
      </c>
      <c r="B177" s="2">
        <v>885000000</v>
      </c>
      <c r="C177" s="3">
        <f ca="1">IFERROR(__xludf.DUMMYFUNCTION("B177*GOOGLEFINANCE(""CURRENCY:CHFINR"")"),71021373900)</f>
        <v>71021373900</v>
      </c>
    </row>
    <row r="178" spans="1:3" x14ac:dyDescent="0.25">
      <c r="A178" s="2">
        <v>177</v>
      </c>
      <c r="B178" s="2">
        <v>1247500000</v>
      </c>
      <c r="C178" s="3">
        <f ca="1">IFERROR(__xludf.DUMMYFUNCTION("B178*GOOGLEFINANCE(""CURRENCY:CHFINR"")"),100112049650)</f>
        <v>100112049650</v>
      </c>
    </row>
    <row r="179" spans="1:3" x14ac:dyDescent="0.25">
      <c r="A179" s="2">
        <v>178</v>
      </c>
      <c r="B179" s="2">
        <v>2233500000</v>
      </c>
      <c r="C179" s="3">
        <f ca="1">IFERROR(__xludf.DUMMYFUNCTION("B179*GOOGLEFINANCE(""CURRENCY:CHFINR"")"),179238687690)</f>
        <v>179238687690</v>
      </c>
    </row>
    <row r="180" spans="1:3" x14ac:dyDescent="0.25">
      <c r="A180" s="2">
        <v>179</v>
      </c>
      <c r="B180" s="2">
        <v>2407500000</v>
      </c>
      <c r="C180" s="3">
        <f ca="1">IFERROR(__xludf.DUMMYFUNCTION("B180*GOOGLEFINANCE(""CURRENCY:CHFINR"")"),193202212050)</f>
        <v>193202212050</v>
      </c>
    </row>
    <row r="181" spans="1:3" x14ac:dyDescent="0.25">
      <c r="A181" s="2">
        <v>180</v>
      </c>
      <c r="B181" s="2">
        <v>2161000000</v>
      </c>
      <c r="C181" s="3">
        <f ca="1">IFERROR(__xludf.DUMMYFUNCTION("B181*GOOGLEFINANCE(""CURRENCY:CHFINR"")"),173420552540)</f>
        <v>173420552540</v>
      </c>
    </row>
    <row r="182" spans="1:3" x14ac:dyDescent="0.25">
      <c r="A182" s="2">
        <v>181</v>
      </c>
      <c r="B182" s="2">
        <v>73000000</v>
      </c>
      <c r="C182" s="3">
        <f ca="1">IFERROR(__xludf.DUMMYFUNCTION("B182*GOOGLEFINANCE(""CURRENCY:CHFINR"")"),5858260220)</f>
        <v>5858260220</v>
      </c>
    </row>
    <row r="183" spans="1:3" x14ac:dyDescent="0.25">
      <c r="A183" s="2">
        <v>182</v>
      </c>
      <c r="B183" s="2">
        <v>3727000000</v>
      </c>
      <c r="C183" s="3">
        <f ca="1">IFERROR(__xludf.DUMMYFUNCTION("B183*GOOGLEFINANCE(""CURRENCY:CHFINR"")"),299092271780)</f>
        <v>299092271780</v>
      </c>
    </row>
    <row r="184" spans="1:3" x14ac:dyDescent="0.25">
      <c r="A184" s="2">
        <v>183</v>
      </c>
      <c r="B184" s="2">
        <v>1015500000</v>
      </c>
      <c r="C184" s="3">
        <f ca="1">IFERROR(__xludf.DUMMYFUNCTION("B184*GOOGLEFINANCE(""CURRENCY:CHFINR"")"),81494017170)</f>
        <v>81494017170</v>
      </c>
    </row>
    <row r="185" spans="1:3" x14ac:dyDescent="0.25">
      <c r="A185" s="2">
        <v>184</v>
      </c>
      <c r="B185" s="2">
        <v>2393000000</v>
      </c>
      <c r="C185" s="3">
        <f ca="1">IFERROR(__xludf.DUMMYFUNCTION("B185*GOOGLEFINANCE(""CURRENCY:CHFINR"")"),192038585020)</f>
        <v>192038585020</v>
      </c>
    </row>
    <row r="186" spans="1:3" x14ac:dyDescent="0.25">
      <c r="A186" s="2">
        <v>185</v>
      </c>
      <c r="B186" s="2">
        <v>3625500000</v>
      </c>
      <c r="C186" s="3">
        <f ca="1">IFERROR(__xludf.DUMMYFUNCTION("B186*GOOGLEFINANCE(""CURRENCY:CHFINR"")"),290946882570)</f>
        <v>290946882570</v>
      </c>
    </row>
    <row r="187" spans="1:3" x14ac:dyDescent="0.25">
      <c r="A187" s="2">
        <v>186</v>
      </c>
      <c r="B187" s="2">
        <v>479000000</v>
      </c>
      <c r="C187" s="3">
        <f ca="1">IFERROR(__xludf.DUMMYFUNCTION("B187*GOOGLEFINANCE(""CURRENCY:CHFINR"")"),38439817060)</f>
        <v>38439817060</v>
      </c>
    </row>
    <row r="188" spans="1:3" x14ac:dyDescent="0.25">
      <c r="A188" s="2">
        <v>187</v>
      </c>
      <c r="B188" s="2">
        <v>2683000000</v>
      </c>
      <c r="C188" s="3">
        <f ca="1">IFERROR(__xludf.DUMMYFUNCTION("B188*GOOGLEFINANCE(""CURRENCY:CHFINR"")"),215311125620)</f>
        <v>215311125620</v>
      </c>
    </row>
    <row r="189" spans="1:3" x14ac:dyDescent="0.25">
      <c r="A189" s="2">
        <v>188</v>
      </c>
      <c r="B189" s="2">
        <v>1276500000</v>
      </c>
      <c r="C189" s="3">
        <f ca="1">IFERROR(__xludf.DUMMYFUNCTION("B189*GOOGLEFINANCE(""CURRENCY:CHFINR"")"),102439303710)</f>
        <v>102439303710</v>
      </c>
    </row>
    <row r="190" spans="1:3" x14ac:dyDescent="0.25">
      <c r="A190" s="2">
        <v>189</v>
      </c>
      <c r="B190" s="2">
        <v>305000000</v>
      </c>
      <c r="C190" s="3">
        <f ca="1">IFERROR(__xludf.DUMMYFUNCTION("B190*GOOGLEFINANCE(""CURRENCY:CHFINR"")"),24476292700)</f>
        <v>24476292700</v>
      </c>
    </row>
    <row r="191" spans="1:3" x14ac:dyDescent="0.25">
      <c r="A191" s="2">
        <v>190</v>
      </c>
      <c r="B191" s="2">
        <v>3654500000</v>
      </c>
      <c r="C191" s="3">
        <f ca="1">IFERROR(__xludf.DUMMYFUNCTION("B191*GOOGLEFINANCE(""CURRENCY:CHFINR"")"),293274136630)</f>
        <v>293274136630</v>
      </c>
    </row>
    <row r="192" spans="1:3" x14ac:dyDescent="0.25">
      <c r="A192" s="2">
        <v>191</v>
      </c>
      <c r="B192" s="2">
        <v>203500000</v>
      </c>
      <c r="C192" s="3">
        <f ca="1">IFERROR(__xludf.DUMMYFUNCTION("B192*GOOGLEFINANCE(""CURRENCY:CHFINR"")"),16330903490)</f>
        <v>16330903490</v>
      </c>
    </row>
    <row r="193" spans="1:3" x14ac:dyDescent="0.25">
      <c r="A193" s="2">
        <v>192</v>
      </c>
      <c r="B193" s="2">
        <v>2842500000</v>
      </c>
      <c r="C193" s="3">
        <f ca="1">IFERROR(__xludf.DUMMYFUNCTION("B193*GOOGLEFINANCE(""CURRENCY:CHFINR"")"),228111022950)</f>
        <v>228111022950</v>
      </c>
    </row>
    <row r="194" spans="1:3" x14ac:dyDescent="0.25">
      <c r="A194" s="2">
        <v>193</v>
      </c>
      <c r="B194" s="2">
        <v>500000</v>
      </c>
      <c r="C194" s="3">
        <f ca="1">IFERROR(__xludf.DUMMYFUNCTION("B194*GOOGLEFINANCE(""CURRENCY:CHFINR"")"),40125070)</f>
        <v>40125070</v>
      </c>
    </row>
    <row r="195" spans="1:3" x14ac:dyDescent="0.25">
      <c r="A195" s="2">
        <v>194</v>
      </c>
      <c r="B195" s="2">
        <v>1798500000</v>
      </c>
      <c r="C195" s="3">
        <f ca="1">IFERROR(__xludf.DUMMYFUNCTION("B195*GOOGLEFINANCE(""CURRENCY:CHFINR"")"),144329876790)</f>
        <v>144329876790</v>
      </c>
    </row>
    <row r="196" spans="1:3" x14ac:dyDescent="0.25">
      <c r="A196" s="2">
        <v>195</v>
      </c>
      <c r="B196" s="2">
        <v>29500000</v>
      </c>
      <c r="C196" s="3">
        <f ca="1">IFERROR(__xludf.DUMMYFUNCTION("B196*GOOGLEFINANCE(""CURRENCY:CHFINR"")"),2367379130)</f>
        <v>2367379130</v>
      </c>
    </row>
    <row r="197" spans="1:3" x14ac:dyDescent="0.25">
      <c r="A197" s="2">
        <v>196</v>
      </c>
      <c r="B197" s="2">
        <v>2422000000</v>
      </c>
      <c r="C197" s="3">
        <f ca="1">IFERROR(__xludf.DUMMYFUNCTION("B197*GOOGLEFINANCE(""CURRENCY:CHFINR"")"),194365839080)</f>
        <v>194365839080</v>
      </c>
    </row>
    <row r="198" spans="1:3" x14ac:dyDescent="0.25">
      <c r="A198" s="2">
        <v>197</v>
      </c>
      <c r="B198" s="2">
        <v>1661233333.3333299</v>
      </c>
      <c r="C198" s="3">
        <f ca="1">IFERROR(__xludf.DUMMYFUNCTION("B198*GOOGLEFINANCE(""CURRENCY:CHFINR"")"),133314207572.666)</f>
        <v>133314207572.666</v>
      </c>
    </row>
    <row r="199" spans="1:3" x14ac:dyDescent="0.25">
      <c r="A199" s="2">
        <v>198</v>
      </c>
      <c r="B199" s="2">
        <v>1788419047.61905</v>
      </c>
      <c r="C199" s="3">
        <f ca="1">IFERROR(__xludf.DUMMYFUNCTION("B199*GOOGLEFINANCE(""CURRENCY:CHFINR"")"),143520878950.095)</f>
        <v>143520878950.095</v>
      </c>
    </row>
    <row r="200" spans="1:3" x14ac:dyDescent="0.25">
      <c r="A200" s="2">
        <v>199</v>
      </c>
      <c r="B200" s="2">
        <v>1915604761.9047599</v>
      </c>
      <c r="C200" s="3">
        <f ca="1">IFERROR(__xludf.DUMMYFUNCTION("B200*GOOGLEFINANCE(""CURRENCY:CHFINR"")"),153727550327.523)</f>
        <v>153727550327.52301</v>
      </c>
    </row>
    <row r="201" spans="1:3" x14ac:dyDescent="0.25">
      <c r="A201" s="2">
        <v>200</v>
      </c>
      <c r="B201" s="2">
        <v>2042790476.19047</v>
      </c>
      <c r="C201" s="3">
        <f ca="1">IFERROR(__xludf.DUMMYFUNCTION("B201*GOOGLEFINANCE(""CURRENCY:CHFINR"")"),163934221704.951)</f>
        <v>163934221704.95099</v>
      </c>
    </row>
    <row r="202" spans="1:3" x14ac:dyDescent="0.25">
      <c r="A202" s="2">
        <v>201</v>
      </c>
      <c r="B202" s="2">
        <v>2169976190.4761901</v>
      </c>
      <c r="C202" s="3">
        <f ca="1">IFERROR(__xludf.DUMMYFUNCTION("B202*GOOGLEFINANCE(""CURRENCY:CHFINR"")"),174140893082.38)</f>
        <v>174140893082.38</v>
      </c>
    </row>
    <row r="203" spans="1:3" x14ac:dyDescent="0.25">
      <c r="A203" s="2">
        <v>202</v>
      </c>
      <c r="B203" s="2">
        <v>2297161904.7618999</v>
      </c>
      <c r="C203" s="3">
        <f ca="1">IFERROR(__xludf.DUMMYFUNCTION("B203*GOOGLEFINANCE(""CURRENCY:CHFINR"")"),184347564459.809)</f>
        <v>184347564459.80899</v>
      </c>
    </row>
    <row r="204" spans="1:3" x14ac:dyDescent="0.25">
      <c r="A204" s="2">
        <v>203</v>
      </c>
      <c r="B204" s="2">
        <v>2424347619.0476198</v>
      </c>
      <c r="C204" s="3">
        <f ca="1">IFERROR(__xludf.DUMMYFUNCTION("B204*GOOGLEFINANCE(""CURRENCY:CHFINR"")"),194554235837.238)</f>
        <v>194554235837.23801</v>
      </c>
    </row>
    <row r="205" spans="1:3" x14ac:dyDescent="0.25">
      <c r="A205" s="2">
        <v>204</v>
      </c>
      <c r="B205" s="2">
        <v>2551533333.3333302</v>
      </c>
      <c r="C205" s="3">
        <f ca="1">IFERROR(__xludf.DUMMYFUNCTION("B205*GOOGLEFINANCE(""CURRENCY:CHFINR"")"),204760907214.666)</f>
        <v>204760907214.66599</v>
      </c>
    </row>
    <row r="206" spans="1:3" x14ac:dyDescent="0.25">
      <c r="A206" s="2">
        <v>205</v>
      </c>
      <c r="B206" s="2">
        <v>2678719047.61904</v>
      </c>
      <c r="C206" s="3">
        <f ca="1">IFERROR(__xludf.DUMMYFUNCTION("B206*GOOGLEFINANCE(""CURRENCY:CHFINR"")"),214967578592.094)</f>
        <v>214967578592.09399</v>
      </c>
    </row>
    <row r="207" spans="1:3" x14ac:dyDescent="0.25">
      <c r="A207" s="2">
        <v>206</v>
      </c>
      <c r="B207" s="2">
        <v>2805904761.9047599</v>
      </c>
      <c r="C207" s="3">
        <f ca="1">IFERROR(__xludf.DUMMYFUNCTION("B207*GOOGLEFINANCE(""CURRENCY:CHFINR"")"),225174249969.523)</f>
        <v>225174249969.52301</v>
      </c>
    </row>
    <row r="208" spans="1:3" x14ac:dyDescent="0.25">
      <c r="A208" s="2">
        <v>207</v>
      </c>
      <c r="B208" s="2">
        <v>2933090476.1904702</v>
      </c>
      <c r="C208" s="3">
        <f ca="1">IFERROR(__xludf.DUMMYFUNCTION("B208*GOOGLEFINANCE(""CURRENCY:CHFINR"")"),235380921346.951)</f>
        <v>235380921346.95099</v>
      </c>
    </row>
    <row r="209" spans="1:3" x14ac:dyDescent="0.25">
      <c r="A209" s="2">
        <v>208</v>
      </c>
      <c r="B209" s="2">
        <v>3060276190.4761901</v>
      </c>
      <c r="C209" s="3">
        <f ca="1">IFERROR(__xludf.DUMMYFUNCTION("B209*GOOGLEFINANCE(""CURRENCY:CHFINR"")"),245587592724.38)</f>
        <v>245587592724.38</v>
      </c>
    </row>
    <row r="210" spans="1:3" x14ac:dyDescent="0.25">
      <c r="A210" s="2">
        <v>209</v>
      </c>
      <c r="B210" s="2">
        <v>3187461904.7618999</v>
      </c>
      <c r="C210" s="3">
        <f ca="1">IFERROR(__xludf.DUMMYFUNCTION("B210*GOOGLEFINANCE(""CURRENCY:CHFINR"")"),255794264101.809)</f>
        <v>255794264101.80899</v>
      </c>
    </row>
    <row r="211" spans="1:3" x14ac:dyDescent="0.25">
      <c r="A211" s="2">
        <v>210</v>
      </c>
      <c r="B211" s="2">
        <v>3314647619.0476098</v>
      </c>
      <c r="C211" s="3">
        <f ca="1">IFERROR(__xludf.DUMMYFUNCTION("B211*GOOGLEFINANCE(""CURRENCY:CHFINR"")"),266000935479.237)</f>
        <v>266000935479.237</v>
      </c>
    </row>
    <row r="212" spans="1:3" x14ac:dyDescent="0.25">
      <c r="A212" s="2">
        <v>211</v>
      </c>
      <c r="B212" s="2">
        <v>3441833333.3333302</v>
      </c>
      <c r="C212" s="3">
        <f ca="1">IFERROR(__xludf.DUMMYFUNCTION("B212*GOOGLEFINANCE(""CURRENCY:CHFINR"")"),276207606856.666)</f>
        <v>276207606856.66602</v>
      </c>
    </row>
    <row r="213" spans="1:3" x14ac:dyDescent="0.25">
      <c r="A213" s="2">
        <v>212</v>
      </c>
      <c r="B213" s="2">
        <v>3569019047.61904</v>
      </c>
      <c r="C213" s="3">
        <f ca="1">IFERROR(__xludf.DUMMYFUNCTION("B213*GOOGLEFINANCE(""CURRENCY:CHFINR"")"),286414278234.094)</f>
        <v>286414278234.09399</v>
      </c>
    </row>
    <row r="214" spans="1:3" x14ac:dyDescent="0.25">
      <c r="A214" s="2">
        <v>213</v>
      </c>
      <c r="B214" s="2">
        <v>3696204761.9047599</v>
      </c>
      <c r="C214" s="3">
        <f ca="1">IFERROR(__xludf.DUMMYFUNCTION("B214*GOOGLEFINANCE(""CURRENCY:CHFINR"")"),296620949611.523)</f>
        <v>296620949611.52301</v>
      </c>
    </row>
    <row r="215" spans="1:3" x14ac:dyDescent="0.25">
      <c r="A215" s="2">
        <v>214</v>
      </c>
      <c r="B215" s="2">
        <v>3823390476.1904702</v>
      </c>
      <c r="C215" s="3">
        <f ca="1">IFERROR(__xludf.DUMMYFUNCTION("B215*GOOGLEFINANCE(""CURRENCY:CHFINR"")"),306827620988.951)</f>
        <v>306827620988.95099</v>
      </c>
    </row>
    <row r="216" spans="1:3" x14ac:dyDescent="0.25">
      <c r="A216" s="2">
        <v>215</v>
      </c>
      <c r="B216" s="2">
        <v>3950576190.4761801</v>
      </c>
      <c r="C216" s="3">
        <f ca="1">IFERROR(__xludf.DUMMYFUNCTION("B216*GOOGLEFINANCE(""CURRENCY:CHFINR"")"),317034292366.38)</f>
        <v>317034292366.38</v>
      </c>
    </row>
    <row r="217" spans="1:3" x14ac:dyDescent="0.25">
      <c r="A217" s="2">
        <v>216</v>
      </c>
      <c r="B217" s="2">
        <v>4077761904.7618999</v>
      </c>
      <c r="C217" s="3">
        <f ca="1">IFERROR(__xludf.DUMMYFUNCTION("B217*GOOGLEFINANCE(""CURRENCY:CHFINR"")"),327240963743.809)</f>
        <v>327240963743.80902</v>
      </c>
    </row>
    <row r="218" spans="1:3" x14ac:dyDescent="0.25">
      <c r="A218" s="2">
        <v>217</v>
      </c>
      <c r="B218" s="2">
        <v>4204947619.0476098</v>
      </c>
      <c r="C218" s="3">
        <f ca="1">IFERROR(__xludf.DUMMYFUNCTION("B218*GOOGLEFINANCE(""CURRENCY:CHFINR"")"),337447635121.237)</f>
        <v>337447635121.237</v>
      </c>
    </row>
    <row r="219" spans="1:3" x14ac:dyDescent="0.25">
      <c r="A219" s="2">
        <v>218</v>
      </c>
      <c r="B219" s="2">
        <v>4332133333.3333302</v>
      </c>
      <c r="C219" s="3">
        <f ca="1">IFERROR(__xludf.DUMMYFUNCTION("B219*GOOGLEFINANCE(""CURRENCY:CHFINR"")"),347654306498.666)</f>
        <v>347654306498.66602</v>
      </c>
    </row>
    <row r="220" spans="1:3" x14ac:dyDescent="0.25">
      <c r="A220" s="2">
        <v>219</v>
      </c>
      <c r="B220" s="2">
        <v>4459319047.6190395</v>
      </c>
      <c r="C220" s="3">
        <f ca="1">IFERROR(__xludf.DUMMYFUNCTION("B220*GOOGLEFINANCE(""CURRENCY:CHFINR"")"),357860977876.094)</f>
        <v>357860977876.09399</v>
      </c>
    </row>
    <row r="221" spans="1:3" x14ac:dyDescent="0.25">
      <c r="A221" s="2">
        <v>220</v>
      </c>
      <c r="B221" s="2">
        <v>4586504761.9047499</v>
      </c>
      <c r="C221" s="3">
        <f ca="1">IFERROR(__xludf.DUMMYFUNCTION("B221*GOOGLEFINANCE(""CURRENCY:CHFINR"")"),368067649253.522)</f>
        <v>368067649253.52197</v>
      </c>
    </row>
    <row r="222" spans="1:3" x14ac:dyDescent="0.25">
      <c r="A222" s="2">
        <v>221</v>
      </c>
      <c r="B222" s="2">
        <v>4713690476.1904697</v>
      </c>
      <c r="C222" s="3">
        <f ca="1">IFERROR(__xludf.DUMMYFUNCTION("B222*GOOGLEFINANCE(""CURRENCY:CHFINR"")"),378274320630.951)</f>
        <v>378274320630.95099</v>
      </c>
    </row>
    <row r="223" spans="1:3" x14ac:dyDescent="0.25">
      <c r="A223" s="2">
        <v>222</v>
      </c>
      <c r="B223" s="2">
        <v>4840876190.4761801</v>
      </c>
      <c r="C223" s="3">
        <f ca="1">IFERROR(__xludf.DUMMYFUNCTION("B223*GOOGLEFINANCE(""CURRENCY:CHFINR"")"),388480992008.38)</f>
        <v>388480992008.38</v>
      </c>
    </row>
    <row r="224" spans="1:3" x14ac:dyDescent="0.25">
      <c r="A224" s="2">
        <v>223</v>
      </c>
      <c r="B224" s="2">
        <v>4968061904.7618999</v>
      </c>
      <c r="C224" s="3">
        <f ca="1">IFERROR(__xludf.DUMMYFUNCTION("B224*GOOGLEFINANCE(""CURRENCY:CHFINR"")"),398687663385.809)</f>
        <v>398687663385.80902</v>
      </c>
    </row>
    <row r="225" spans="1:3" x14ac:dyDescent="0.25">
      <c r="A225" s="2">
        <v>224</v>
      </c>
      <c r="B225" s="2">
        <v>5095247619.0476103</v>
      </c>
      <c r="C225" s="3">
        <f ca="1">IFERROR(__xludf.DUMMYFUNCTION("B225*GOOGLEFINANCE(""CURRENCY:CHFINR"")"),408894334763.237)</f>
        <v>408894334763.237</v>
      </c>
    </row>
    <row r="226" spans="1:3" x14ac:dyDescent="0.25">
      <c r="A226" s="2">
        <v>225</v>
      </c>
      <c r="B226" s="2">
        <v>5222433333.3333197</v>
      </c>
      <c r="C226" s="3">
        <f ca="1">IFERROR(__xludf.DUMMYFUNCTION("B226*GOOGLEFINANCE(""CURRENCY:CHFINR"")"),419101006140.665)</f>
        <v>419101006140.66498</v>
      </c>
    </row>
    <row r="227" spans="1:3" x14ac:dyDescent="0.25">
      <c r="A227" s="2">
        <v>226</v>
      </c>
      <c r="B227" s="2">
        <v>5349619047.6190395</v>
      </c>
      <c r="C227" s="3">
        <f ca="1">IFERROR(__xludf.DUMMYFUNCTION("B227*GOOGLEFINANCE(""CURRENCY:CHFINR"")"),429307677518.094)</f>
        <v>429307677518.09399</v>
      </c>
    </row>
    <row r="228" spans="1:3" x14ac:dyDescent="0.25">
      <c r="A228" s="2">
        <v>227</v>
      </c>
      <c r="B228" s="2">
        <v>5476804761.9047499</v>
      </c>
      <c r="C228" s="3">
        <f ca="1">IFERROR(__xludf.DUMMYFUNCTION("B228*GOOGLEFINANCE(""CURRENCY:CHFINR"")"),439514348895.522)</f>
        <v>439514348895.52197</v>
      </c>
    </row>
    <row r="229" spans="1:3" x14ac:dyDescent="0.25">
      <c r="A229" s="2">
        <v>228</v>
      </c>
      <c r="B229" s="2">
        <v>5603990476.1904697</v>
      </c>
      <c r="C229" s="3">
        <f ca="1">IFERROR(__xludf.DUMMYFUNCTION("B229*GOOGLEFINANCE(""CURRENCY:CHFINR"")"),449721020272.951)</f>
        <v>449721020272.95099</v>
      </c>
    </row>
    <row r="230" spans="1:3" x14ac:dyDescent="0.25">
      <c r="A230" s="2">
        <v>229</v>
      </c>
      <c r="B230" s="2">
        <v>5731176190.4761801</v>
      </c>
      <c r="C230" s="3">
        <f ca="1">IFERROR(__xludf.DUMMYFUNCTION("B230*GOOGLEFINANCE(""CURRENCY:CHFINR"")"),459927691650.38)</f>
        <v>459927691650.38</v>
      </c>
    </row>
    <row r="231" spans="1:3" x14ac:dyDescent="0.25">
      <c r="A231" s="2">
        <v>230</v>
      </c>
      <c r="B231" s="2">
        <v>5858361904.7618904</v>
      </c>
      <c r="C231" s="3">
        <f ca="1">IFERROR(__xludf.DUMMYFUNCTION("B231*GOOGLEFINANCE(""CURRENCY:CHFINR"")"),470134363027.808)</f>
        <v>470134363027.80798</v>
      </c>
    </row>
    <row r="232" spans="1:3" x14ac:dyDescent="0.25">
      <c r="A232" s="2">
        <v>231</v>
      </c>
      <c r="B232" s="2">
        <v>5985547619.0476103</v>
      </c>
      <c r="C232" s="3">
        <f ca="1">IFERROR(__xludf.DUMMYFUNCTION("B232*GOOGLEFINANCE(""CURRENCY:CHFINR"")"),480341034405.237)</f>
        <v>480341034405.237</v>
      </c>
    </row>
    <row r="233" spans="1:3" x14ac:dyDescent="0.25">
      <c r="A233" s="2">
        <v>232</v>
      </c>
      <c r="B233" s="2">
        <v>6112733333.3333197</v>
      </c>
      <c r="C233" s="3">
        <f ca="1">IFERROR(__xludf.DUMMYFUNCTION("B233*GOOGLEFINANCE(""CURRENCY:CHFINR"")"),490547705782.665)</f>
        <v>490547705782.66498</v>
      </c>
    </row>
    <row r="234" spans="1:3" x14ac:dyDescent="0.25">
      <c r="A234" s="2">
        <v>233</v>
      </c>
      <c r="B234" s="2">
        <v>6239919047.6190395</v>
      </c>
      <c r="C234" s="3">
        <f ca="1">IFERROR(__xludf.DUMMYFUNCTION("B234*GOOGLEFINANCE(""CURRENCY:CHFINR"")"),500754377160.094)</f>
        <v>500754377160.09399</v>
      </c>
    </row>
    <row r="235" spans="1:3" x14ac:dyDescent="0.25">
      <c r="A235" s="2">
        <v>234</v>
      </c>
      <c r="B235" s="2">
        <v>6367104761.9047499</v>
      </c>
      <c r="C235" s="3">
        <f ca="1">IFERROR(__xludf.DUMMYFUNCTION("B235*GOOGLEFINANCE(""CURRENCY:CHFINR"")"),510961048537.522)</f>
        <v>510961048537.52197</v>
      </c>
    </row>
    <row r="236" spans="1:3" x14ac:dyDescent="0.25">
      <c r="A236" s="2">
        <v>235</v>
      </c>
      <c r="B236" s="2">
        <v>6494290476.1904602</v>
      </c>
      <c r="C236" s="3">
        <f ca="1">IFERROR(__xludf.DUMMYFUNCTION("B236*GOOGLEFINANCE(""CURRENCY:CHFINR"")"),521167719914.951)</f>
        <v>521167719914.95099</v>
      </c>
    </row>
    <row r="237" spans="1:3" x14ac:dyDescent="0.25">
      <c r="A237" s="2">
        <v>236</v>
      </c>
      <c r="B237" s="2">
        <v>6621476190.4761801</v>
      </c>
      <c r="C237" s="3">
        <f ca="1">IFERROR(__xludf.DUMMYFUNCTION("B237*GOOGLEFINANCE(""CURRENCY:CHFINR"")"),531374391292.38)</f>
        <v>531374391292.38</v>
      </c>
    </row>
    <row r="238" spans="1:3" x14ac:dyDescent="0.25">
      <c r="A238" s="2">
        <v>237</v>
      </c>
      <c r="B238" s="2">
        <v>6748661904.7618904</v>
      </c>
      <c r="C238" s="3">
        <f ca="1">IFERROR(__xludf.DUMMYFUNCTION("B238*GOOGLEFINANCE(""CURRENCY:CHFINR"")"),541581062669.808)</f>
        <v>541581062669.80798</v>
      </c>
    </row>
    <row r="239" spans="1:3" x14ac:dyDescent="0.25">
      <c r="A239" s="2">
        <v>238</v>
      </c>
      <c r="B239" s="2">
        <v>6875847619.0476103</v>
      </c>
      <c r="C239" s="3">
        <f ca="1">IFERROR(__xludf.DUMMYFUNCTION("B239*GOOGLEFINANCE(""CURRENCY:CHFINR"")"),551787734047.237)</f>
        <v>551787734047.23706</v>
      </c>
    </row>
    <row r="240" spans="1:3" x14ac:dyDescent="0.25">
      <c r="A240" s="2">
        <v>239</v>
      </c>
      <c r="B240" s="2">
        <v>7003033333.3333197</v>
      </c>
      <c r="C240" s="3">
        <f ca="1">IFERROR(__xludf.DUMMYFUNCTION("B240*GOOGLEFINANCE(""CURRENCY:CHFINR"")"),561994405424.665)</f>
        <v>561994405424.66504</v>
      </c>
    </row>
    <row r="241" spans="1:3" x14ac:dyDescent="0.25">
      <c r="A241" s="2">
        <v>240</v>
      </c>
      <c r="B241" s="2">
        <v>7130219047.61903</v>
      </c>
      <c r="C241" s="3">
        <f ca="1">IFERROR(__xludf.DUMMYFUNCTION("B241*GOOGLEFINANCE(""CURRENCY:CHFINR"")"),572201076802.093)</f>
        <v>572201076802.09302</v>
      </c>
    </row>
    <row r="242" spans="1:3" x14ac:dyDescent="0.25">
      <c r="A242" s="2">
        <v>241</v>
      </c>
      <c r="B242" s="2">
        <v>7257404761.9047499</v>
      </c>
      <c r="C242" s="3">
        <f ca="1">IFERROR(__xludf.DUMMYFUNCTION("B242*GOOGLEFINANCE(""CURRENCY:CHFINR"")"),582407748179.522)</f>
        <v>582407748179.52197</v>
      </c>
    </row>
    <row r="243" spans="1:3" x14ac:dyDescent="0.25">
      <c r="A243" s="2">
        <v>242</v>
      </c>
      <c r="B243" s="2">
        <v>7384590476.1904602</v>
      </c>
      <c r="C243" s="3">
        <f ca="1">IFERROR(__xludf.DUMMYFUNCTION("B243*GOOGLEFINANCE(""CURRENCY:CHFINR"")"),592614419556.951)</f>
        <v>592614419556.95105</v>
      </c>
    </row>
    <row r="244" spans="1:3" x14ac:dyDescent="0.25">
      <c r="A244" s="2">
        <v>243</v>
      </c>
      <c r="B244" s="2">
        <v>7511776190.4761801</v>
      </c>
      <c r="C244" s="3">
        <f ca="1">IFERROR(__xludf.DUMMYFUNCTION("B244*GOOGLEFINANCE(""CURRENCY:CHFINR"")"),602821090934.38)</f>
        <v>602821090934.38</v>
      </c>
    </row>
    <row r="245" spans="1:3" x14ac:dyDescent="0.25">
      <c r="A245" s="2">
        <v>244</v>
      </c>
      <c r="B245" s="2">
        <v>7638961904.7618904</v>
      </c>
      <c r="C245" s="3">
        <f ca="1">IFERROR(__xludf.DUMMYFUNCTION("B245*GOOGLEFINANCE(""CURRENCY:CHFINR"")"),613027762311.808)</f>
        <v>613027762311.80798</v>
      </c>
    </row>
    <row r="246" spans="1:3" x14ac:dyDescent="0.25">
      <c r="A246" s="2">
        <v>245</v>
      </c>
      <c r="B246" s="2">
        <v>7766147619.0476103</v>
      </c>
      <c r="C246" s="3">
        <f ca="1">IFERROR(__xludf.DUMMYFUNCTION("B246*GOOGLEFINANCE(""CURRENCY:CHFINR"")"),623234433689.237)</f>
        <v>623234433689.23706</v>
      </c>
    </row>
    <row r="247" spans="1:3" x14ac:dyDescent="0.25">
      <c r="A247" s="2">
        <v>246</v>
      </c>
      <c r="B247" s="2">
        <v>7893333333.3333197</v>
      </c>
      <c r="C247" s="3">
        <f ca="1">IFERROR(__xludf.DUMMYFUNCTION("B247*GOOGLEFINANCE(""CURRENCY:CHFINR"")"),633441105066.665)</f>
        <v>633441105066.66504</v>
      </c>
    </row>
    <row r="248" spans="1:3" x14ac:dyDescent="0.25">
      <c r="A248" s="2">
        <v>247</v>
      </c>
      <c r="B248" s="2">
        <v>8020519047.61903</v>
      </c>
      <c r="C248" s="3">
        <f ca="1">IFERROR(__xludf.DUMMYFUNCTION("B248*GOOGLEFINANCE(""CURRENCY:CHFINR"")"),643647776444.093)</f>
        <v>643647776444.09302</v>
      </c>
    </row>
    <row r="249" spans="1:3" x14ac:dyDescent="0.25">
      <c r="A249" s="2">
        <v>248</v>
      </c>
      <c r="B249" s="2">
        <v>8147704761.9047499</v>
      </c>
      <c r="C249" s="3">
        <f ca="1">IFERROR(__xludf.DUMMYFUNCTION("B249*GOOGLEFINANCE(""CURRENCY:CHFINR"")"),653854447821.522)</f>
        <v>653854447821.52197</v>
      </c>
    </row>
    <row r="250" spans="1:3" x14ac:dyDescent="0.25">
      <c r="A250" s="2">
        <v>249</v>
      </c>
      <c r="B250" s="2">
        <v>8274890476.1904602</v>
      </c>
      <c r="C250" s="3">
        <f ca="1">IFERROR(__xludf.DUMMYFUNCTION("B250*GOOGLEFINANCE(""CURRENCY:CHFINR"")"),664061119198.951)</f>
        <v>664061119198.95105</v>
      </c>
    </row>
    <row r="251" spans="1:3" x14ac:dyDescent="0.25">
      <c r="A251" s="2">
        <v>250</v>
      </c>
      <c r="B251" s="2">
        <v>8402076190.4761696</v>
      </c>
      <c r="C251" s="3">
        <f ca="1">IFERROR(__xludf.DUMMYFUNCTION("B251*GOOGLEFINANCE(""CURRENCY:CHFINR"")"),674267790576.379)</f>
        <v>674267790576.37903</v>
      </c>
    </row>
    <row r="252" spans="1:3" x14ac:dyDescent="0.25">
      <c r="A252" s="2">
        <v>251</v>
      </c>
      <c r="B252" s="2">
        <v>8529261904.7618904</v>
      </c>
      <c r="C252" s="3">
        <f ca="1">IFERROR(__xludf.DUMMYFUNCTION("B252*GOOGLEFINANCE(""CURRENCY:CHFINR"")"),684474461953.808)</f>
        <v>684474461953.80798</v>
      </c>
    </row>
    <row r="253" spans="1:3" x14ac:dyDescent="0.25">
      <c r="A253" s="2">
        <v>252</v>
      </c>
      <c r="B253" s="2">
        <v>8656447619.0475998</v>
      </c>
      <c r="C253" s="3">
        <f ca="1">IFERROR(__xludf.DUMMYFUNCTION("B253*GOOGLEFINANCE(""CURRENCY:CHFINR"")"),694681133331.236)</f>
        <v>694681133331.23596</v>
      </c>
    </row>
    <row r="254" spans="1:3" x14ac:dyDescent="0.25">
      <c r="A254" s="2">
        <v>253</v>
      </c>
      <c r="B254" s="2">
        <v>8783633333.3333206</v>
      </c>
      <c r="C254" s="3">
        <f ca="1">IFERROR(__xludf.DUMMYFUNCTION("B254*GOOGLEFINANCE(""CURRENCY:CHFINR"")"),704887804708.665)</f>
        <v>704887804708.66504</v>
      </c>
    </row>
    <row r="255" spans="1:3" x14ac:dyDescent="0.25">
      <c r="A255" s="2">
        <v>254</v>
      </c>
      <c r="B255" s="2">
        <v>8910819047.61903</v>
      </c>
      <c r="C255" s="3">
        <f ca="1">IFERROR(__xludf.DUMMYFUNCTION("B255*GOOGLEFINANCE(""CURRENCY:CHFINR"")"),715094476086.093)</f>
        <v>715094476086.09302</v>
      </c>
    </row>
    <row r="256" spans="1:3" x14ac:dyDescent="0.25">
      <c r="A256" s="2">
        <v>255</v>
      </c>
      <c r="B256" s="2">
        <v>9038004761.9047394</v>
      </c>
      <c r="C256" s="3">
        <f ca="1">IFERROR(__xludf.DUMMYFUNCTION("B256*GOOGLEFINANCE(""CURRENCY:CHFINR"")"),725301147463.522)</f>
        <v>725301147463.52197</v>
      </c>
    </row>
    <row r="257" spans="1:3" x14ac:dyDescent="0.25">
      <c r="A257" s="2">
        <v>256</v>
      </c>
      <c r="B257" s="2">
        <v>9165190476.1904602</v>
      </c>
      <c r="C257" s="3">
        <f ca="1">IFERROR(__xludf.DUMMYFUNCTION("B257*GOOGLEFINANCE(""CURRENCY:CHFINR"")"),735507818840.951)</f>
        <v>735507818840.95105</v>
      </c>
    </row>
    <row r="258" spans="1:3" x14ac:dyDescent="0.25">
      <c r="A258" s="2">
        <v>257</v>
      </c>
      <c r="B258" s="2">
        <v>9292376190.4761696</v>
      </c>
      <c r="C258" s="3">
        <f ca="1">IFERROR(__xludf.DUMMYFUNCTION("B258*GOOGLEFINANCE(""CURRENCY:CHFINR"")"),745714490218.379)</f>
        <v>745714490218.37903</v>
      </c>
    </row>
    <row r="259" spans="1:3" x14ac:dyDescent="0.25">
      <c r="A259" s="2">
        <v>258</v>
      </c>
      <c r="B259" s="2">
        <v>9419561904.7618904</v>
      </c>
      <c r="C259" s="3">
        <f ca="1">IFERROR(__xludf.DUMMYFUNCTION("B259*GOOGLEFINANCE(""CURRENCY:CHFINR"")"),755921161595.808)</f>
        <v>755921161595.80798</v>
      </c>
    </row>
    <row r="260" spans="1:3" x14ac:dyDescent="0.25">
      <c r="A260" s="2">
        <v>259</v>
      </c>
      <c r="B260" s="2">
        <v>9546747619.0475998</v>
      </c>
      <c r="C260" s="3">
        <f ca="1">IFERROR(__xludf.DUMMYFUNCTION("B260*GOOGLEFINANCE(""CURRENCY:CHFINR"")"),766127832973.236)</f>
        <v>766127832973.23596</v>
      </c>
    </row>
    <row r="261" spans="1:3" x14ac:dyDescent="0.25">
      <c r="A261" s="2">
        <v>260</v>
      </c>
      <c r="B261" s="2">
        <v>9673933333.3333092</v>
      </c>
      <c r="C261" s="3">
        <f ca="1">IFERROR(__xludf.DUMMYFUNCTION("B261*GOOGLEFINANCE(""CURRENCY:CHFINR"")"),776334504350.664)</f>
        <v>776334504350.66394</v>
      </c>
    </row>
    <row r="262" spans="1:3" x14ac:dyDescent="0.25">
      <c r="A262" s="2">
        <v>261</v>
      </c>
      <c r="B262" s="2">
        <v>9801119047.61903</v>
      </c>
      <c r="C262" s="3">
        <f ca="1">IFERROR(__xludf.DUMMYFUNCTION("B262*GOOGLEFINANCE(""CURRENCY:CHFINR"")"),786541175728.093)</f>
        <v>786541175728.09302</v>
      </c>
    </row>
    <row r="263" spans="1:3" x14ac:dyDescent="0.25">
      <c r="A263" s="2">
        <v>262</v>
      </c>
      <c r="B263" s="2">
        <v>9928304761.9047394</v>
      </c>
      <c r="C263" s="3">
        <f ca="1">IFERROR(__xludf.DUMMYFUNCTION("B263*GOOGLEFINANCE(""CURRENCY:CHFINR"")"),796747847105.522)</f>
        <v>796747847105.52197</v>
      </c>
    </row>
    <row r="264" spans="1:3" x14ac:dyDescent="0.25">
      <c r="A264" s="2">
        <v>263</v>
      </c>
      <c r="B264" s="2">
        <v>10055490476.1905</v>
      </c>
      <c r="C264" s="3">
        <f ca="1">IFERROR(__xludf.DUMMYFUNCTION("B264*GOOGLEFINANCE(""CURRENCY:CHFINR"")"),806954518482.954)</f>
        <v>806954518482.95398</v>
      </c>
    </row>
    <row r="265" spans="1:3" x14ac:dyDescent="0.25">
      <c r="A265" s="2">
        <v>264</v>
      </c>
      <c r="B265" s="2">
        <v>10182676190.4762</v>
      </c>
      <c r="C265" s="3">
        <f ca="1">IFERROR(__xludf.DUMMYFUNCTION("B265*GOOGLEFINANCE(""CURRENCY:CHFINR"")"),817161189860.381)</f>
        <v>817161189860.38098</v>
      </c>
    </row>
    <row r="266" spans="1:3" x14ac:dyDescent="0.25">
      <c r="A266" s="2">
        <v>265</v>
      </c>
      <c r="B266" s="2">
        <v>10309861904.7619</v>
      </c>
      <c r="C266" s="3">
        <f ca="1">IFERROR(__xludf.DUMMYFUNCTION("B266*GOOGLEFINANCE(""CURRENCY:CHFINR"")"),827367861237.809)</f>
        <v>827367861237.80896</v>
      </c>
    </row>
    <row r="267" spans="1:3" x14ac:dyDescent="0.25">
      <c r="A267" s="2">
        <v>266</v>
      </c>
      <c r="B267" s="2">
        <v>10437047619.0476</v>
      </c>
      <c r="C267" s="3">
        <f ca="1">IFERROR(__xludf.DUMMYFUNCTION("B267*GOOGLEFINANCE(""CURRENCY:CHFINR"")"),837574532615.236)</f>
        <v>837574532615.23596</v>
      </c>
    </row>
    <row r="268" spans="1:3" x14ac:dyDescent="0.25">
      <c r="A268" s="2">
        <v>267</v>
      </c>
      <c r="B268" s="2">
        <v>10564233333.3333</v>
      </c>
      <c r="C268" s="3">
        <f ca="1">IFERROR(__xludf.DUMMYFUNCTION("B268*GOOGLEFINANCE(""CURRENCY:CHFINR"")"),847781203992.664)</f>
        <v>847781203992.66394</v>
      </c>
    </row>
    <row r="269" spans="1:3" x14ac:dyDescent="0.25">
      <c r="A269" s="2">
        <v>268</v>
      </c>
      <c r="B269" s="2">
        <v>10691419047.618999</v>
      </c>
      <c r="C269" s="3">
        <f ca="1">IFERROR(__xludf.DUMMYFUNCTION("B269*GOOGLEFINANCE(""CURRENCY:CHFINR"")"),857987875370.091)</f>
        <v>857987875370.09094</v>
      </c>
    </row>
    <row r="270" spans="1:3" x14ac:dyDescent="0.25">
      <c r="A270" s="2">
        <v>269</v>
      </c>
      <c r="B270" s="2">
        <v>10818604761.904699</v>
      </c>
      <c r="C270" s="3">
        <f ca="1">IFERROR(__xludf.DUMMYFUNCTION("B270*GOOGLEFINANCE(""CURRENCY:CHFINR"")"),868194546747.518)</f>
        <v>868194546747.51794</v>
      </c>
    </row>
    <row r="271" spans="1:3" x14ac:dyDescent="0.25">
      <c r="A271" s="2">
        <v>270</v>
      </c>
      <c r="B271" s="2">
        <v>10945790476.1905</v>
      </c>
      <c r="C271" s="3">
        <f ca="1">IFERROR(__xludf.DUMMYFUNCTION("B271*GOOGLEFINANCE(""CURRENCY:CHFINR"")"),878401218124.954)</f>
        <v>878401218124.95398</v>
      </c>
    </row>
    <row r="272" spans="1:3" x14ac:dyDescent="0.25">
      <c r="A272" s="2">
        <v>271</v>
      </c>
      <c r="B272" s="2">
        <v>11072976190.4762</v>
      </c>
      <c r="C272" s="3">
        <f ca="1">IFERROR(__xludf.DUMMYFUNCTION("B272*GOOGLEFINANCE(""CURRENCY:CHFINR"")"),888607889502.381)</f>
        <v>888607889502.38098</v>
      </c>
    </row>
    <row r="273" spans="1:3" x14ac:dyDescent="0.25">
      <c r="A273" s="2">
        <v>272</v>
      </c>
      <c r="B273" s="2">
        <v>11200161904.7619</v>
      </c>
      <c r="C273" s="3">
        <f ca="1">IFERROR(__xludf.DUMMYFUNCTION("B273*GOOGLEFINANCE(""CURRENCY:CHFINR"")"),898814560879.809)</f>
        <v>898814560879.80896</v>
      </c>
    </row>
    <row r="274" spans="1:3" x14ac:dyDescent="0.25">
      <c r="A274" s="2">
        <v>273</v>
      </c>
      <c r="B274" s="2">
        <v>11327347619.0476</v>
      </c>
      <c r="C274" s="3">
        <f ca="1">IFERROR(__xludf.DUMMYFUNCTION("B274*GOOGLEFINANCE(""CURRENCY:CHFINR"")"),909021232257.236)</f>
        <v>909021232257.23596</v>
      </c>
    </row>
    <row r="275" spans="1:3" x14ac:dyDescent="0.25">
      <c r="A275" s="2">
        <v>274</v>
      </c>
      <c r="B275" s="2">
        <v>11454533333.3333</v>
      </c>
      <c r="C275" s="3">
        <f ca="1">IFERROR(__xludf.DUMMYFUNCTION("B275*GOOGLEFINANCE(""CURRENCY:CHFINR"")"),919227903634.664)</f>
        <v>919227903634.66394</v>
      </c>
    </row>
    <row r="276" spans="1:3" x14ac:dyDescent="0.25">
      <c r="A276" s="2">
        <v>275</v>
      </c>
      <c r="B276" s="2">
        <v>11581719047.618999</v>
      </c>
      <c r="C276" s="3">
        <f ca="1">IFERROR(__xludf.DUMMYFUNCTION("B276*GOOGLEFINANCE(""CURRENCY:CHFINR"")"),929434575012.091)</f>
        <v>929434575012.09094</v>
      </c>
    </row>
    <row r="277" spans="1:3" x14ac:dyDescent="0.25">
      <c r="A277" s="2">
        <v>276</v>
      </c>
      <c r="B277" s="2">
        <v>11708904761.904699</v>
      </c>
      <c r="C277" s="3">
        <f ca="1">IFERROR(__xludf.DUMMYFUNCTION("B277*GOOGLEFINANCE(""CURRENCY:CHFINR"")"),939641246389.518)</f>
        <v>939641246389.51794</v>
      </c>
    </row>
    <row r="278" spans="1:3" x14ac:dyDescent="0.25">
      <c r="A278" s="2">
        <v>277</v>
      </c>
      <c r="B278" s="2">
        <v>11836090476.1905</v>
      </c>
      <c r="C278" s="3">
        <f ca="1">IFERROR(__xludf.DUMMYFUNCTION("B278*GOOGLEFINANCE(""CURRENCY:CHFINR"")"),949847917766.954)</f>
        <v>949847917766.95398</v>
      </c>
    </row>
    <row r="279" spans="1:3" x14ac:dyDescent="0.25">
      <c r="A279" s="2">
        <v>278</v>
      </c>
      <c r="B279" s="2">
        <v>11963276190.4762</v>
      </c>
      <c r="C279" s="3">
        <f ca="1">IFERROR(__xludf.DUMMYFUNCTION("B279*GOOGLEFINANCE(""CURRENCY:CHFINR"")"),960054589144.381)</f>
        <v>960054589144.38098</v>
      </c>
    </row>
    <row r="280" spans="1:3" x14ac:dyDescent="0.25">
      <c r="A280" s="2">
        <v>279</v>
      </c>
      <c r="B280" s="2">
        <v>12090461904.7619</v>
      </c>
      <c r="C280" s="3">
        <f ca="1">IFERROR(__xludf.DUMMYFUNCTION("B280*GOOGLEFINANCE(""CURRENCY:CHFINR"")"),970261260521.809)</f>
        <v>970261260521.80896</v>
      </c>
    </row>
    <row r="281" spans="1:3" x14ac:dyDescent="0.25">
      <c r="A281" s="2">
        <v>280</v>
      </c>
      <c r="B281" s="2">
        <v>12217647619.0476</v>
      </c>
      <c r="C281" s="3">
        <f ca="1">IFERROR(__xludf.DUMMYFUNCTION("B281*GOOGLEFINANCE(""CURRENCY:CHFINR"")"),980467931899.236)</f>
        <v>980467931899.23596</v>
      </c>
    </row>
    <row r="282" spans="1:3" x14ac:dyDescent="0.25">
      <c r="A282" s="2">
        <v>281</v>
      </c>
      <c r="B282" s="2">
        <v>12344833333.3333</v>
      </c>
      <c r="C282" s="3">
        <f ca="1">IFERROR(__xludf.DUMMYFUNCTION("B282*GOOGLEFINANCE(""CURRENCY:CHFINR"")"),990674603276.664)</f>
        <v>990674603276.66394</v>
      </c>
    </row>
    <row r="283" spans="1:3" x14ac:dyDescent="0.25">
      <c r="A283" s="2">
        <v>282</v>
      </c>
      <c r="B283" s="2">
        <v>12472019047.618999</v>
      </c>
      <c r="C283" s="3">
        <f ca="1">IFERROR(__xludf.DUMMYFUNCTION("B283*GOOGLEFINANCE(""CURRENCY:CHFINR"")"),1000881274654.09)</f>
        <v>1000881274654.09</v>
      </c>
    </row>
    <row r="284" spans="1:3" x14ac:dyDescent="0.25">
      <c r="A284" s="2">
        <v>283</v>
      </c>
      <c r="B284" s="2">
        <v>12599204761.904699</v>
      </c>
      <c r="C284" s="3">
        <f ca="1">IFERROR(__xludf.DUMMYFUNCTION("B284*GOOGLEFINANCE(""CURRENCY:CHFINR"")"),1011087946031.51)</f>
        <v>1011087946031.51</v>
      </c>
    </row>
    <row r="285" spans="1:3" x14ac:dyDescent="0.25">
      <c r="A285" s="2">
        <v>284</v>
      </c>
      <c r="B285" s="2">
        <v>12726390476.190399</v>
      </c>
      <c r="C285" s="3">
        <f ca="1">IFERROR(__xludf.DUMMYFUNCTION("B285*GOOGLEFINANCE(""CURRENCY:CHFINR"")"),1021294617408.94)</f>
        <v>1021294617408.9399</v>
      </c>
    </row>
    <row r="286" spans="1:3" x14ac:dyDescent="0.25">
      <c r="A286" s="2">
        <v>285</v>
      </c>
      <c r="B286" s="2">
        <v>12853576190.4762</v>
      </c>
      <c r="C286" s="3">
        <f ca="1">IFERROR(__xludf.DUMMYFUNCTION("B286*GOOGLEFINANCE(""CURRENCY:CHFINR"")"),1031501288786.38)</f>
        <v>1031501288786.38</v>
      </c>
    </row>
    <row r="287" spans="1:3" x14ac:dyDescent="0.25">
      <c r="A287" s="2">
        <v>286</v>
      </c>
      <c r="B287" s="2">
        <v>12980761904.7619</v>
      </c>
      <c r="C287" s="3">
        <f ca="1">IFERROR(__xludf.DUMMYFUNCTION("B287*GOOGLEFINANCE(""CURRENCY:CHFINR"")"),1041707960163.8)</f>
        <v>1041707960163.8</v>
      </c>
    </row>
    <row r="288" spans="1:3" x14ac:dyDescent="0.25">
      <c r="A288" s="2">
        <v>287</v>
      </c>
      <c r="B288" s="2">
        <v>13107947619.0476</v>
      </c>
      <c r="C288" s="3">
        <f ca="1">IFERROR(__xludf.DUMMYFUNCTION("B288*GOOGLEFINANCE(""CURRENCY:CHFINR"")"),1051914631541.23)</f>
        <v>1051914631541.23</v>
      </c>
    </row>
    <row r="289" spans="1:3" x14ac:dyDescent="0.25">
      <c r="A289" s="2">
        <v>288</v>
      </c>
      <c r="B289" s="2">
        <v>13235133333.3333</v>
      </c>
      <c r="C289" s="3">
        <f ca="1">IFERROR(__xludf.DUMMYFUNCTION("B289*GOOGLEFINANCE(""CURRENCY:CHFINR"")"),1062121302918.66)</f>
        <v>1062121302918.66</v>
      </c>
    </row>
    <row r="290" spans="1:3" x14ac:dyDescent="0.25">
      <c r="A290" s="2">
        <v>289</v>
      </c>
      <c r="B290" s="2">
        <v>13362319047.618999</v>
      </c>
      <c r="C290" s="3">
        <f ca="1">IFERROR(__xludf.DUMMYFUNCTION("B290*GOOGLEFINANCE(""CURRENCY:CHFINR"")"),1072327974296.09)</f>
        <v>1072327974296.09</v>
      </c>
    </row>
    <row r="291" spans="1:3" x14ac:dyDescent="0.25">
      <c r="A291" s="2">
        <v>290</v>
      </c>
      <c r="B291" s="2">
        <v>13489504761.904699</v>
      </c>
      <c r="C291" s="3">
        <f ca="1">IFERROR(__xludf.DUMMYFUNCTION("B291*GOOGLEFINANCE(""CURRENCY:CHFINR"")"),1082534645673.51)</f>
        <v>1082534645673.51</v>
      </c>
    </row>
    <row r="292" spans="1:3" x14ac:dyDescent="0.25">
      <c r="A292" s="2">
        <v>291</v>
      </c>
      <c r="B292" s="2">
        <v>13616690476.190399</v>
      </c>
      <c r="C292" s="3">
        <f ca="1">IFERROR(__xludf.DUMMYFUNCTION("B292*GOOGLEFINANCE(""CURRENCY:CHFINR"")"),1092741317050.94)</f>
        <v>1092741317050.9399</v>
      </c>
    </row>
    <row r="293" spans="1:3" x14ac:dyDescent="0.25">
      <c r="A293" s="2">
        <v>292</v>
      </c>
      <c r="B293" s="2">
        <v>13743876190.4762</v>
      </c>
      <c r="C293" s="3">
        <f ca="1">IFERROR(__xludf.DUMMYFUNCTION("B293*GOOGLEFINANCE(""CURRENCY:CHFINR"")"),1102947988428.38)</f>
        <v>1102947988428.3799</v>
      </c>
    </row>
    <row r="294" spans="1:3" x14ac:dyDescent="0.25">
      <c r="A294" s="2">
        <v>293</v>
      </c>
      <c r="B294" s="2">
        <v>13871061904.7619</v>
      </c>
      <c r="C294" s="3">
        <f ca="1">IFERROR(__xludf.DUMMYFUNCTION("B294*GOOGLEFINANCE(""CURRENCY:CHFINR"")"),1113154659805.8)</f>
        <v>1113154659805.8</v>
      </c>
    </row>
    <row r="295" spans="1:3" x14ac:dyDescent="0.25">
      <c r="A295" s="2">
        <v>294</v>
      </c>
      <c r="B295" s="2">
        <v>13998247619.0476</v>
      </c>
      <c r="C295" s="3">
        <f ca="1">IFERROR(__xludf.DUMMYFUNCTION("B295*GOOGLEFINANCE(""CURRENCY:CHFINR"")"),1123361331183.23)</f>
        <v>1123361331183.23</v>
      </c>
    </row>
    <row r="296" spans="1:3" x14ac:dyDescent="0.25">
      <c r="A296" s="2">
        <v>295</v>
      </c>
      <c r="B296" s="2">
        <v>14125433333.3333</v>
      </c>
      <c r="C296" s="3">
        <f ca="1">IFERROR(__xludf.DUMMYFUNCTION("B296*GOOGLEFINANCE(""CURRENCY:CHFINR"")"),1133568002560.66)</f>
        <v>1133568002560.6599</v>
      </c>
    </row>
    <row r="297" spans="1:3" x14ac:dyDescent="0.25">
      <c r="A297" s="2">
        <v>296</v>
      </c>
      <c r="B297" s="2">
        <v>14252619047.618999</v>
      </c>
      <c r="C297" s="3">
        <f ca="1">IFERROR(__xludf.DUMMYFUNCTION("B297*GOOGLEFINANCE(""CURRENCY:CHFINR"")"),1143774673938.09)</f>
        <v>1143774673938.0901</v>
      </c>
    </row>
    <row r="298" spans="1:3" x14ac:dyDescent="0.25">
      <c r="A298" s="2">
        <v>297</v>
      </c>
      <c r="B298" s="2">
        <v>14379804761.904699</v>
      </c>
      <c r="C298" s="3">
        <f ca="1">IFERROR(__xludf.DUMMYFUNCTION("B298*GOOGLEFINANCE(""CURRENCY:CHFINR"")"),1153981345315.51)</f>
        <v>1153981345315.51</v>
      </c>
    </row>
    <row r="299" spans="1:3" x14ac:dyDescent="0.25">
      <c r="A299" s="2">
        <v>298</v>
      </c>
      <c r="B299" s="2">
        <v>14506990476.190399</v>
      </c>
      <c r="C299" s="3">
        <f ca="1">IFERROR(__xludf.DUMMYFUNCTION("B299*GOOGLEFINANCE(""CURRENCY:CHFINR"")"),1164188016692.94)</f>
        <v>1164188016692.9399</v>
      </c>
    </row>
    <row r="300" spans="1:3" x14ac:dyDescent="0.25">
      <c r="A300" s="2">
        <v>299</v>
      </c>
      <c r="B300" s="2">
        <v>14634176190.4762</v>
      </c>
      <c r="C300" s="3">
        <f ca="1">IFERROR(__xludf.DUMMYFUNCTION("B300*GOOGLEFINANCE(""CURRENCY:CHFINR"")"),1174394688070.38)</f>
        <v>1174394688070.3799</v>
      </c>
    </row>
    <row r="301" spans="1:3" x14ac:dyDescent="0.25">
      <c r="A301" s="2">
        <v>300</v>
      </c>
      <c r="B301" s="2">
        <v>14761361904.7619</v>
      </c>
      <c r="C301" s="3">
        <f ca="1">IFERROR(__xludf.DUMMYFUNCTION("B301*GOOGLEFINANCE(""CURRENCY:CHFINR"")"),1184601359447.8)</f>
        <v>1184601359447.8</v>
      </c>
    </row>
    <row r="302" spans="1:3" x14ac:dyDescent="0.25">
      <c r="A302" s="2">
        <v>301</v>
      </c>
      <c r="B302" s="2">
        <v>14888547619.0476</v>
      </c>
      <c r="C302" s="3">
        <f ca="1">IFERROR(__xludf.DUMMYFUNCTION("B302*GOOGLEFINANCE(""CURRENCY:CHFINR"")"),1194808030825.23)</f>
        <v>1194808030825.23</v>
      </c>
    </row>
    <row r="303" spans="1:3" x14ac:dyDescent="0.25">
      <c r="A303" s="2">
        <v>302</v>
      </c>
      <c r="B303" s="2">
        <v>15015733333.3333</v>
      </c>
      <c r="C303" s="3">
        <f ca="1">IFERROR(__xludf.DUMMYFUNCTION("B303*GOOGLEFINANCE(""CURRENCY:CHFINR"")"),1205014702202.66)</f>
        <v>1205014702202.6599</v>
      </c>
    </row>
    <row r="304" spans="1:3" x14ac:dyDescent="0.25">
      <c r="A304" s="2">
        <v>303</v>
      </c>
      <c r="B304" s="2">
        <v>15142919047.618999</v>
      </c>
      <c r="C304" s="3">
        <f ca="1">IFERROR(__xludf.DUMMYFUNCTION("B304*GOOGLEFINANCE(""CURRENCY:CHFINR"")"),1215221373580.09)</f>
        <v>1215221373580.0901</v>
      </c>
    </row>
    <row r="305" spans="1:3" x14ac:dyDescent="0.25">
      <c r="A305" s="2">
        <v>304</v>
      </c>
      <c r="B305" s="2">
        <v>15270104761.904699</v>
      </c>
      <c r="C305" s="3">
        <f ca="1">IFERROR(__xludf.DUMMYFUNCTION("B305*GOOGLEFINANCE(""CURRENCY:CHFINR"")"),1225428044957.51)</f>
        <v>1225428044957.51</v>
      </c>
    </row>
    <row r="306" spans="1:3" x14ac:dyDescent="0.25">
      <c r="A306" s="2">
        <v>305</v>
      </c>
      <c r="B306" s="2">
        <v>15397290476.190399</v>
      </c>
      <c r="C306" s="3">
        <f ca="1">IFERROR(__xludf.DUMMYFUNCTION("B306*GOOGLEFINANCE(""CURRENCY:CHFINR"")"),1235634716334.94)</f>
        <v>1235634716334.9399</v>
      </c>
    </row>
    <row r="307" spans="1:3" x14ac:dyDescent="0.25">
      <c r="A307" s="2">
        <v>306</v>
      </c>
      <c r="B307" s="2">
        <v>15524476190.4762</v>
      </c>
      <c r="C307" s="3">
        <f ca="1">IFERROR(__xludf.DUMMYFUNCTION("B307*GOOGLEFINANCE(""CURRENCY:CHFINR"")"),1245841387712.38)</f>
        <v>1245841387712.3799</v>
      </c>
    </row>
    <row r="308" spans="1:3" x14ac:dyDescent="0.25">
      <c r="A308" s="2">
        <v>307</v>
      </c>
      <c r="B308" s="2">
        <v>15651661904.7619</v>
      </c>
      <c r="C308" s="3">
        <f ca="1">IFERROR(__xludf.DUMMYFUNCTION("B308*GOOGLEFINANCE(""CURRENCY:CHFINR"")"),1256048059089.8)</f>
        <v>1256048059089.8</v>
      </c>
    </row>
    <row r="309" spans="1:3" x14ac:dyDescent="0.25">
      <c r="A309" s="2">
        <v>308</v>
      </c>
      <c r="B309" s="2">
        <v>15778847619.0476</v>
      </c>
      <c r="C309" s="3">
        <f ca="1">IFERROR(__xludf.DUMMYFUNCTION("B309*GOOGLEFINANCE(""CURRENCY:CHFINR"")"),1266254730467.23)</f>
        <v>1266254730467.23</v>
      </c>
    </row>
    <row r="310" spans="1:3" x14ac:dyDescent="0.25">
      <c r="A310" s="2">
        <v>309</v>
      </c>
      <c r="B310" s="2">
        <v>15906033333.3333</v>
      </c>
      <c r="C310" s="3">
        <f ca="1">IFERROR(__xludf.DUMMYFUNCTION("B310*GOOGLEFINANCE(""CURRENCY:CHFINR"")"),1276461401844.66)</f>
        <v>1276461401844.6599</v>
      </c>
    </row>
    <row r="311" spans="1:3" x14ac:dyDescent="0.25">
      <c r="A311" s="2">
        <v>310</v>
      </c>
      <c r="B311" s="2">
        <v>16033219047.618999</v>
      </c>
      <c r="C311" s="3">
        <f ca="1">IFERROR(__xludf.DUMMYFUNCTION("B311*GOOGLEFINANCE(""CURRENCY:CHFINR"")"),1286668073222.09)</f>
        <v>1286668073222.0901</v>
      </c>
    </row>
    <row r="312" spans="1:3" x14ac:dyDescent="0.25">
      <c r="A312" s="2">
        <v>311</v>
      </c>
      <c r="B312" s="2">
        <v>16160404761.904699</v>
      </c>
      <c r="C312" s="3">
        <f ca="1">IFERROR(__xludf.DUMMYFUNCTION("B312*GOOGLEFINANCE(""CURRENCY:CHFINR"")"),1296874744599.51)</f>
        <v>1296874744599.51</v>
      </c>
    </row>
    <row r="313" spans="1:3" x14ac:dyDescent="0.25">
      <c r="A313" s="2">
        <v>312</v>
      </c>
      <c r="B313" s="2">
        <v>16287590476.190399</v>
      </c>
      <c r="C313" s="3">
        <f ca="1">IFERROR(__xludf.DUMMYFUNCTION("B313*GOOGLEFINANCE(""CURRENCY:CHFINR"")"),1307081415976.94)</f>
        <v>1307081415976.9399</v>
      </c>
    </row>
    <row r="314" spans="1:3" x14ac:dyDescent="0.25">
      <c r="A314" s="2">
        <v>313</v>
      </c>
      <c r="B314" s="2">
        <v>16414776190.4762</v>
      </c>
      <c r="C314" s="3">
        <f ca="1">IFERROR(__xludf.DUMMYFUNCTION("B314*GOOGLEFINANCE(""CURRENCY:CHFINR"")"),1317288087354.38)</f>
        <v>1317288087354.3799</v>
      </c>
    </row>
    <row r="315" spans="1:3" x14ac:dyDescent="0.25">
      <c r="A315" s="2">
        <v>314</v>
      </c>
      <c r="B315" s="2">
        <v>16541961904.7619</v>
      </c>
      <c r="C315" s="3">
        <f ca="1">IFERROR(__xludf.DUMMYFUNCTION("B315*GOOGLEFINANCE(""CURRENCY:CHFINR"")"),1327494758731.8)</f>
        <v>1327494758731.8</v>
      </c>
    </row>
    <row r="316" spans="1:3" x14ac:dyDescent="0.25">
      <c r="A316" s="2">
        <v>315</v>
      </c>
      <c r="B316" s="2">
        <v>16669147619.0476</v>
      </c>
      <c r="C316" s="3">
        <f ca="1">IFERROR(__xludf.DUMMYFUNCTION("B316*GOOGLEFINANCE(""CURRENCY:CHFINR"")"),1337701430109.23)</f>
        <v>1337701430109.23</v>
      </c>
    </row>
    <row r="317" spans="1:3" x14ac:dyDescent="0.25">
      <c r="A317" s="2">
        <v>316</v>
      </c>
      <c r="B317" s="2">
        <v>16796333333.3333</v>
      </c>
      <c r="C317" s="3">
        <f ca="1">IFERROR(__xludf.DUMMYFUNCTION("B317*GOOGLEFINANCE(""CURRENCY:CHFINR"")"),1347908101486.66)</f>
        <v>1347908101486.6599</v>
      </c>
    </row>
    <row r="318" spans="1:3" x14ac:dyDescent="0.25">
      <c r="A318" s="2">
        <v>317</v>
      </c>
      <c r="B318" s="2">
        <v>16923519047.618999</v>
      </c>
      <c r="C318" s="3">
        <f ca="1">IFERROR(__xludf.DUMMYFUNCTION("B318*GOOGLEFINANCE(""CURRENCY:CHFINR"")"),1358114772864.09)</f>
        <v>1358114772864.0901</v>
      </c>
    </row>
    <row r="319" spans="1:3" x14ac:dyDescent="0.25">
      <c r="A319" s="2">
        <v>318</v>
      </c>
      <c r="B319" s="2">
        <v>17050704761.904699</v>
      </c>
      <c r="C319" s="3">
        <f ca="1">IFERROR(__xludf.DUMMYFUNCTION("B319*GOOGLEFINANCE(""CURRENCY:CHFINR"")"),1368321444241.51)</f>
        <v>1368321444241.51</v>
      </c>
    </row>
    <row r="320" spans="1:3" x14ac:dyDescent="0.25">
      <c r="A320" s="2">
        <v>319</v>
      </c>
      <c r="B320" s="2">
        <v>17177890476.190399</v>
      </c>
      <c r="C320" s="3">
        <f ca="1">IFERROR(__xludf.DUMMYFUNCTION("B320*GOOGLEFINANCE(""CURRENCY:CHFINR"")"),1378528115618.94)</f>
        <v>1378528115618.9399</v>
      </c>
    </row>
    <row r="321" spans="1:3" x14ac:dyDescent="0.25">
      <c r="A321" s="2">
        <v>320</v>
      </c>
      <c r="B321" s="2">
        <v>17305076190.4762</v>
      </c>
      <c r="C321" s="3">
        <f ca="1">IFERROR(__xludf.DUMMYFUNCTION("B321*GOOGLEFINANCE(""CURRENCY:CHFINR"")"),1388734786996.38)</f>
        <v>1388734786996.3799</v>
      </c>
    </row>
    <row r="322" spans="1:3" x14ac:dyDescent="0.25">
      <c r="A322" s="2">
        <v>321</v>
      </c>
      <c r="B322" s="2">
        <v>17432261904.761902</v>
      </c>
      <c r="C322" s="3">
        <f ca="1">IFERROR(__xludf.DUMMYFUNCTION("B322*GOOGLEFINANCE(""CURRENCY:CHFINR"")"),1398941458373.8)</f>
        <v>1398941458373.8</v>
      </c>
    </row>
    <row r="323" spans="1:3" x14ac:dyDescent="0.25">
      <c r="A323" s="2">
        <v>322</v>
      </c>
      <c r="B323" s="2">
        <v>17559447619.0476</v>
      </c>
      <c r="C323" s="3">
        <f ca="1">IFERROR(__xludf.DUMMYFUNCTION("B323*GOOGLEFINANCE(""CURRENCY:CHFINR"")"),1409148129751.23)</f>
        <v>1409148129751.23</v>
      </c>
    </row>
    <row r="324" spans="1:3" x14ac:dyDescent="0.25">
      <c r="A324" s="2">
        <v>323</v>
      </c>
      <c r="B324" s="2">
        <v>17686633333.333302</v>
      </c>
      <c r="C324" s="3">
        <f ca="1">IFERROR(__xludf.DUMMYFUNCTION("B324*GOOGLEFINANCE(""CURRENCY:CHFINR"")"),1419354801128.66)</f>
        <v>1419354801128.6599</v>
      </c>
    </row>
    <row r="325" spans="1:3" x14ac:dyDescent="0.25">
      <c r="A325" s="2">
        <v>324</v>
      </c>
      <c r="B325" s="2">
        <v>17813819047.618999</v>
      </c>
      <c r="C325" s="3">
        <f ca="1">IFERROR(__xludf.DUMMYFUNCTION("B325*GOOGLEFINANCE(""CURRENCY:CHFINR"")"),1429561472506.09)</f>
        <v>1429561472506.0901</v>
      </c>
    </row>
    <row r="326" spans="1:3" x14ac:dyDescent="0.25">
      <c r="A326" s="2">
        <v>325</v>
      </c>
      <c r="B326" s="2">
        <v>17941004761.904701</v>
      </c>
      <c r="C326" s="3">
        <f ca="1">IFERROR(__xludf.DUMMYFUNCTION("B326*GOOGLEFINANCE(""CURRENCY:CHFINR"")"),1439768143883.51)</f>
        <v>1439768143883.51</v>
      </c>
    </row>
    <row r="327" spans="1:3" x14ac:dyDescent="0.25">
      <c r="A327" s="2">
        <v>326</v>
      </c>
      <c r="B327" s="2">
        <v>18068190476.190399</v>
      </c>
      <c r="C327" s="3">
        <f ca="1">IFERROR(__xludf.DUMMYFUNCTION("B327*GOOGLEFINANCE(""CURRENCY:CHFINR"")"),1449974815260.94)</f>
        <v>1449974815260.9399</v>
      </c>
    </row>
    <row r="328" spans="1:3" x14ac:dyDescent="0.25">
      <c r="A328" s="2">
        <v>327</v>
      </c>
      <c r="B328" s="2">
        <v>18195376190.4762</v>
      </c>
      <c r="C328" s="3">
        <f ca="1">IFERROR(__xludf.DUMMYFUNCTION("B328*GOOGLEFINANCE(""CURRENCY:CHFINR"")"),1460181486638.38)</f>
        <v>1460181486638.3799</v>
      </c>
    </row>
    <row r="329" spans="1:3" x14ac:dyDescent="0.25">
      <c r="A329" s="2">
        <v>328</v>
      </c>
      <c r="B329" s="2">
        <v>18322561904.761902</v>
      </c>
      <c r="C329" s="3">
        <f ca="1">IFERROR(__xludf.DUMMYFUNCTION("B329*GOOGLEFINANCE(""CURRENCY:CHFINR"")"),1470388158015.8)</f>
        <v>1470388158015.8</v>
      </c>
    </row>
    <row r="330" spans="1:3" x14ac:dyDescent="0.25">
      <c r="A330" s="2">
        <v>329</v>
      </c>
      <c r="B330" s="2">
        <v>18449747619.0476</v>
      </c>
      <c r="C330" s="3">
        <f ca="1">IFERROR(__xludf.DUMMYFUNCTION("B330*GOOGLEFINANCE(""CURRENCY:CHFINR"")"),1480594829393.23)</f>
        <v>1480594829393.23</v>
      </c>
    </row>
    <row r="331" spans="1:3" x14ac:dyDescent="0.25">
      <c r="A331" s="2">
        <v>330</v>
      </c>
      <c r="B331" s="2">
        <v>18576933333.333302</v>
      </c>
      <c r="C331" s="3">
        <f ca="1">IFERROR(__xludf.DUMMYFUNCTION("B331*GOOGLEFINANCE(""CURRENCY:CHFINR"")"),1490801500770.66)</f>
        <v>1490801500770.6599</v>
      </c>
    </row>
    <row r="332" spans="1:3" x14ac:dyDescent="0.25">
      <c r="A332" s="2">
        <v>331</v>
      </c>
      <c r="B332" s="2">
        <v>18704119047.618999</v>
      </c>
      <c r="C332" s="3">
        <f ca="1">IFERROR(__xludf.DUMMYFUNCTION("B332*GOOGLEFINANCE(""CURRENCY:CHFINR"")"),1501008172148.09)</f>
        <v>1501008172148.0901</v>
      </c>
    </row>
    <row r="333" spans="1:3" x14ac:dyDescent="0.25">
      <c r="A333" s="2">
        <v>332</v>
      </c>
      <c r="B333" s="2">
        <v>18831304761.904701</v>
      </c>
      <c r="C333" s="3">
        <f ca="1">IFERROR(__xludf.DUMMYFUNCTION("B333*GOOGLEFINANCE(""CURRENCY:CHFINR"")"),1511214843525.51)</f>
        <v>1511214843525.51</v>
      </c>
    </row>
    <row r="334" spans="1:3" x14ac:dyDescent="0.25">
      <c r="A334" s="2">
        <v>333</v>
      </c>
      <c r="B334" s="2">
        <v>18958490476.190399</v>
      </c>
      <c r="C334" s="3">
        <f ca="1">IFERROR(__xludf.DUMMYFUNCTION("B334*GOOGLEFINANCE(""CURRENCY:CHFINR"")"),1521421514902.94)</f>
        <v>1521421514902.9399</v>
      </c>
    </row>
    <row r="335" spans="1:3" x14ac:dyDescent="0.25">
      <c r="A335" s="2">
        <v>334</v>
      </c>
      <c r="B335" s="2">
        <v>19085676190.4762</v>
      </c>
      <c r="C335" s="3">
        <f ca="1">IFERROR(__xludf.DUMMYFUNCTION("B335*GOOGLEFINANCE(""CURRENCY:CHFINR"")"),1531628186280.38)</f>
        <v>1531628186280.3799</v>
      </c>
    </row>
    <row r="336" spans="1:3" x14ac:dyDescent="0.25">
      <c r="A336" s="2">
        <v>335</v>
      </c>
      <c r="B336" s="2">
        <v>19212861904.761902</v>
      </c>
      <c r="C336" s="3">
        <f ca="1">IFERROR(__xludf.DUMMYFUNCTION("B336*GOOGLEFINANCE(""CURRENCY:CHFINR"")"),1541834857657.8)</f>
        <v>1541834857657.8</v>
      </c>
    </row>
    <row r="337" spans="1:3" x14ac:dyDescent="0.25">
      <c r="A337" s="2">
        <v>336</v>
      </c>
      <c r="B337" s="2">
        <v>19340047619.0476</v>
      </c>
      <c r="C337" s="3">
        <f ca="1">IFERROR(__xludf.DUMMYFUNCTION("B337*GOOGLEFINANCE(""CURRENCY:CHFINR"")"),1552041529035.23)</f>
        <v>1552041529035.23</v>
      </c>
    </row>
    <row r="338" spans="1:3" x14ac:dyDescent="0.25">
      <c r="A338" s="2">
        <v>337</v>
      </c>
      <c r="B338" s="2">
        <v>19467233333.333302</v>
      </c>
      <c r="C338" s="3">
        <f ca="1">IFERROR(__xludf.DUMMYFUNCTION("B338*GOOGLEFINANCE(""CURRENCY:CHFINR"")"),1562248200412.66)</f>
        <v>1562248200412.6599</v>
      </c>
    </row>
    <row r="339" spans="1:3" x14ac:dyDescent="0.25">
      <c r="A339" s="2">
        <v>338</v>
      </c>
      <c r="B339" s="2">
        <v>19594419047.618999</v>
      </c>
      <c r="C339" s="3">
        <f ca="1">IFERROR(__xludf.DUMMYFUNCTION("B339*GOOGLEFINANCE(""CURRENCY:CHFINR"")"),1572454871790.09)</f>
        <v>1572454871790.0901</v>
      </c>
    </row>
    <row r="340" spans="1:3" x14ac:dyDescent="0.25">
      <c r="A340" s="2">
        <v>339</v>
      </c>
      <c r="B340" s="2">
        <v>19721604761.904701</v>
      </c>
      <c r="C340" s="3">
        <f ca="1">IFERROR(__xludf.DUMMYFUNCTION("B340*GOOGLEFINANCE(""CURRENCY:CHFINR"")"),1582661543167.51)</f>
        <v>1582661543167.51</v>
      </c>
    </row>
    <row r="341" spans="1:3" x14ac:dyDescent="0.25">
      <c r="A341" s="2">
        <v>340</v>
      </c>
      <c r="B341" s="2">
        <v>19848790476.190399</v>
      </c>
      <c r="C341" s="3">
        <f ca="1">IFERROR(__xludf.DUMMYFUNCTION("B341*GOOGLEFINANCE(""CURRENCY:CHFINR"")"),1592868214544.94)</f>
        <v>1592868214544.9399</v>
      </c>
    </row>
    <row r="342" spans="1:3" x14ac:dyDescent="0.25">
      <c r="A342" s="2">
        <v>341</v>
      </c>
      <c r="B342" s="2">
        <v>19975976190.4762</v>
      </c>
      <c r="C342" s="3">
        <f ca="1">IFERROR(__xludf.DUMMYFUNCTION("B342*GOOGLEFINANCE(""CURRENCY:CHFINR"")"),1603074885922.38)</f>
        <v>1603074885922.3799</v>
      </c>
    </row>
    <row r="343" spans="1:3" x14ac:dyDescent="0.25">
      <c r="A343" s="2">
        <v>342</v>
      </c>
      <c r="B343" s="2">
        <v>20103161904.761902</v>
      </c>
      <c r="C343" s="3">
        <f ca="1">IFERROR(__xludf.DUMMYFUNCTION("B343*GOOGLEFINANCE(""CURRENCY:CHFINR"")"),1613281557299.8)</f>
        <v>1613281557299.8</v>
      </c>
    </row>
    <row r="344" spans="1:3" x14ac:dyDescent="0.25">
      <c r="A344" s="2">
        <v>343</v>
      </c>
      <c r="B344" s="2">
        <v>20230347619.0476</v>
      </c>
      <c r="C344" s="3">
        <f ca="1">IFERROR(__xludf.DUMMYFUNCTION("B344*GOOGLEFINANCE(""CURRENCY:CHFINR"")"),1623488228677.23)</f>
        <v>1623488228677.23</v>
      </c>
    </row>
    <row r="345" spans="1:3" x14ac:dyDescent="0.25">
      <c r="A345" s="2">
        <v>344</v>
      </c>
      <c r="B345" s="2">
        <v>20357533333.333302</v>
      </c>
      <c r="C345" s="3">
        <f ca="1">IFERROR(__xludf.DUMMYFUNCTION("B345*GOOGLEFINANCE(""CURRENCY:CHFINR"")"),1633694900054.66)</f>
        <v>1633694900054.6599</v>
      </c>
    </row>
    <row r="346" spans="1:3" x14ac:dyDescent="0.25">
      <c r="A346" s="2">
        <v>345</v>
      </c>
      <c r="B346" s="2">
        <v>20484719047.618999</v>
      </c>
      <c r="C346" s="3">
        <f ca="1">IFERROR(__xludf.DUMMYFUNCTION("B346*GOOGLEFINANCE(""CURRENCY:CHFINR"")"),1643901571432.09)</f>
        <v>1643901571432.0901</v>
      </c>
    </row>
    <row r="347" spans="1:3" x14ac:dyDescent="0.25">
      <c r="A347" s="2">
        <v>346</v>
      </c>
      <c r="B347" s="2">
        <v>20611904761.904701</v>
      </c>
      <c r="C347" s="3">
        <f ca="1">IFERROR(__xludf.DUMMYFUNCTION("B347*GOOGLEFINANCE(""CURRENCY:CHFINR"")"),1654108242809.51)</f>
        <v>1654108242809.51</v>
      </c>
    </row>
    <row r="348" spans="1:3" x14ac:dyDescent="0.25">
      <c r="A348" s="2">
        <v>347</v>
      </c>
      <c r="B348" s="2">
        <v>20739090476.190399</v>
      </c>
      <c r="C348" s="3">
        <f ca="1">IFERROR(__xludf.DUMMYFUNCTION("B348*GOOGLEFINANCE(""CURRENCY:CHFINR"")"),1664314914186.94)</f>
        <v>1664314914186.9399</v>
      </c>
    </row>
    <row r="349" spans="1:3" x14ac:dyDescent="0.25">
      <c r="A349" s="2">
        <v>348</v>
      </c>
      <c r="B349" s="2">
        <v>20866276190.476101</v>
      </c>
      <c r="C349" s="3">
        <f ca="1">IFERROR(__xludf.DUMMYFUNCTION("B349*GOOGLEFINANCE(""CURRENCY:CHFINR"")"),1674521585564.37)</f>
        <v>1674521585564.3701</v>
      </c>
    </row>
    <row r="350" spans="1:3" x14ac:dyDescent="0.25">
      <c r="A350" s="2">
        <v>349</v>
      </c>
      <c r="B350" s="2">
        <v>20993461904.761902</v>
      </c>
      <c r="C350" s="3">
        <f ca="1">IFERROR(__xludf.DUMMYFUNCTION("B350*GOOGLEFINANCE(""CURRENCY:CHFINR"")"),1684728256941.8)</f>
        <v>1684728256941.8</v>
      </c>
    </row>
    <row r="351" spans="1:3" x14ac:dyDescent="0.25">
      <c r="A351" s="2">
        <v>350</v>
      </c>
      <c r="B351" s="2">
        <v>21120647619.0476</v>
      </c>
      <c r="C351" s="3">
        <f ca="1">IFERROR(__xludf.DUMMYFUNCTION("B351*GOOGLEFINANCE(""CURRENCY:CHFINR"")"),1694934928319.23)</f>
        <v>1694934928319.23</v>
      </c>
    </row>
    <row r="352" spans="1:3" x14ac:dyDescent="0.25">
      <c r="A352" s="2">
        <v>351</v>
      </c>
      <c r="B352" s="2">
        <v>21247833333.333302</v>
      </c>
      <c r="C352" s="3">
        <f ca="1">IFERROR(__xludf.DUMMYFUNCTION("B352*GOOGLEFINANCE(""CURRENCY:CHFINR"")"),1705141599696.66)</f>
        <v>1705141599696.6599</v>
      </c>
    </row>
    <row r="353" spans="1:3" x14ac:dyDescent="0.25">
      <c r="A353" s="2">
        <v>352</v>
      </c>
      <c r="B353" s="2">
        <v>21375019047.618999</v>
      </c>
      <c r="C353" s="3">
        <f ca="1">IFERROR(__xludf.DUMMYFUNCTION("B353*GOOGLEFINANCE(""CURRENCY:CHFINR"")"),1715348271074.09)</f>
        <v>1715348271074.0901</v>
      </c>
    </row>
    <row r="354" spans="1:3" x14ac:dyDescent="0.25">
      <c r="A354" s="2">
        <v>353</v>
      </c>
      <c r="B354" s="2">
        <v>21502204761.904701</v>
      </c>
      <c r="C354" s="3">
        <f ca="1">IFERROR(__xludf.DUMMYFUNCTION("B354*GOOGLEFINANCE(""CURRENCY:CHFINR"")"),1725554942451.51)</f>
        <v>1725554942451.51</v>
      </c>
    </row>
    <row r="355" spans="1:3" x14ac:dyDescent="0.25">
      <c r="A355" s="2">
        <v>354</v>
      </c>
      <c r="B355" s="2">
        <v>21629390476.190399</v>
      </c>
      <c r="C355" s="3">
        <f ca="1">IFERROR(__xludf.DUMMYFUNCTION("B355*GOOGLEFINANCE(""CURRENCY:CHFINR"")"),1735761613828.94)</f>
        <v>1735761613828.9399</v>
      </c>
    </row>
    <row r="356" spans="1:3" x14ac:dyDescent="0.25">
      <c r="A356" s="2">
        <v>355</v>
      </c>
      <c r="B356" s="2">
        <v>21756576190.476101</v>
      </c>
      <c r="C356" s="3">
        <f ca="1">IFERROR(__xludf.DUMMYFUNCTION("B356*GOOGLEFINANCE(""CURRENCY:CHFINR"")"),1745968285206.37)</f>
        <v>1745968285206.3701</v>
      </c>
    </row>
    <row r="357" spans="1:3" x14ac:dyDescent="0.25">
      <c r="A357" s="2">
        <v>356</v>
      </c>
      <c r="B357" s="2">
        <v>21883761904.761902</v>
      </c>
      <c r="C357" s="3">
        <f ca="1">IFERROR(__xludf.DUMMYFUNCTION("B357*GOOGLEFINANCE(""CURRENCY:CHFINR"")"),1756174956583.8)</f>
        <v>1756174956583.8</v>
      </c>
    </row>
    <row r="358" spans="1:3" x14ac:dyDescent="0.25">
      <c r="A358" s="2">
        <v>357</v>
      </c>
      <c r="B358" s="2">
        <v>22010947619.0476</v>
      </c>
      <c r="C358" s="3">
        <f ca="1">IFERROR(__xludf.DUMMYFUNCTION("B358*GOOGLEFINANCE(""CURRENCY:CHFINR"")"),1766381627961.23)</f>
        <v>1766381627961.23</v>
      </c>
    </row>
    <row r="359" spans="1:3" x14ac:dyDescent="0.25">
      <c r="A359" s="2">
        <v>358</v>
      </c>
      <c r="B359" s="2">
        <v>22138133333.333302</v>
      </c>
      <c r="C359" s="3">
        <f ca="1">IFERROR(__xludf.DUMMYFUNCTION("B359*GOOGLEFINANCE(""CURRENCY:CHFINR"")"),1776588299338.66)</f>
        <v>1776588299338.6599</v>
      </c>
    </row>
    <row r="360" spans="1:3" x14ac:dyDescent="0.25">
      <c r="A360" s="2">
        <v>359</v>
      </c>
      <c r="B360" s="2">
        <v>22265319047.618999</v>
      </c>
      <c r="C360" s="3">
        <f ca="1">IFERROR(__xludf.DUMMYFUNCTION("B360*GOOGLEFINANCE(""CURRENCY:CHFINR"")"),1786794970716.09)</f>
        <v>1786794970716.0901</v>
      </c>
    </row>
    <row r="361" spans="1:3" x14ac:dyDescent="0.25">
      <c r="A361" s="2">
        <v>360</v>
      </c>
      <c r="B361" s="2">
        <v>22392504761.904701</v>
      </c>
      <c r="C361" s="3">
        <f ca="1">IFERROR(__xludf.DUMMYFUNCTION("B361*GOOGLEFINANCE(""CURRENCY:CHFINR"")"),1797001642093.51)</f>
        <v>1797001642093.51</v>
      </c>
    </row>
    <row r="362" spans="1:3" x14ac:dyDescent="0.25">
      <c r="A362" s="2">
        <v>361</v>
      </c>
      <c r="B362" s="2">
        <v>22519690476.190399</v>
      </c>
      <c r="C362" s="3">
        <f ca="1">IFERROR(__xludf.DUMMYFUNCTION("B362*GOOGLEFINANCE(""CURRENCY:CHFINR"")"),1807208313470.94)</f>
        <v>1807208313470.9399</v>
      </c>
    </row>
    <row r="363" spans="1:3" x14ac:dyDescent="0.25">
      <c r="A363" s="2">
        <v>362</v>
      </c>
      <c r="B363" s="2">
        <v>22646876190.476101</v>
      </c>
      <c r="C363" s="3">
        <f ca="1">IFERROR(__xludf.DUMMYFUNCTION("B363*GOOGLEFINANCE(""CURRENCY:CHFINR"")"),1817414984848.37)</f>
        <v>1817414984848.3701</v>
      </c>
    </row>
    <row r="364" spans="1:3" x14ac:dyDescent="0.25">
      <c r="A364" s="2">
        <v>363</v>
      </c>
      <c r="B364" s="2">
        <v>22774061904.761902</v>
      </c>
      <c r="C364" s="3">
        <f ca="1">IFERROR(__xludf.DUMMYFUNCTION("B364*GOOGLEFINANCE(""CURRENCY:CHFINR"")"),1827621656225.8)</f>
        <v>1827621656225.8</v>
      </c>
    </row>
    <row r="365" spans="1:3" x14ac:dyDescent="0.25">
      <c r="A365" s="2">
        <v>364</v>
      </c>
      <c r="B365" s="2">
        <v>22901247619.0476</v>
      </c>
      <c r="C365" s="3">
        <f ca="1">IFERROR(__xludf.DUMMYFUNCTION("B365*GOOGLEFINANCE(""CURRENCY:CHFINR"")"),1837828327603.23)</f>
        <v>1837828327603.23</v>
      </c>
    </row>
    <row r="366" spans="1:3" x14ac:dyDescent="0.25">
      <c r="A366" s="2">
        <v>365</v>
      </c>
      <c r="B366" s="2">
        <v>23028433333.333302</v>
      </c>
      <c r="C366" s="3">
        <f ca="1">IFERROR(__xludf.DUMMYFUNCTION("B366*GOOGLEFINANCE(""CURRENCY:CHFINR"")"),1848034998980.66)</f>
        <v>1848034998980.6599</v>
      </c>
    </row>
    <row r="367" spans="1:3" x14ac:dyDescent="0.25">
      <c r="A367" s="2">
        <v>366</v>
      </c>
      <c r="B367" s="2">
        <v>23155619047.618999</v>
      </c>
      <c r="C367" s="3">
        <f ca="1">IFERROR(__xludf.DUMMYFUNCTION("B367*GOOGLEFINANCE(""CURRENCY:CHFINR"")"),1858241670358.09)</f>
        <v>1858241670358.0901</v>
      </c>
    </row>
    <row r="368" spans="1:3" x14ac:dyDescent="0.25">
      <c r="A368" s="2">
        <v>367</v>
      </c>
      <c r="B368" s="2">
        <v>23282804761.904701</v>
      </c>
      <c r="C368" s="3">
        <f ca="1">IFERROR(__xludf.DUMMYFUNCTION("B368*GOOGLEFINANCE(""CURRENCY:CHFINR"")"),1868448341735.51)</f>
        <v>1868448341735.51</v>
      </c>
    </row>
    <row r="369" spans="1:3" x14ac:dyDescent="0.25">
      <c r="A369" s="2">
        <v>368</v>
      </c>
      <c r="B369" s="2">
        <v>23409990476.190399</v>
      </c>
      <c r="C369" s="3">
        <f ca="1">IFERROR(__xludf.DUMMYFUNCTION("B369*GOOGLEFINANCE(""CURRENCY:CHFINR"")"),1878655013112.94)</f>
        <v>1878655013112.9399</v>
      </c>
    </row>
    <row r="370" spans="1:3" x14ac:dyDescent="0.25">
      <c r="A370" s="2">
        <v>369</v>
      </c>
      <c r="B370" s="2">
        <v>23537176190.476101</v>
      </c>
      <c r="C370" s="3">
        <f ca="1">IFERROR(__xludf.DUMMYFUNCTION("B370*GOOGLEFINANCE(""CURRENCY:CHFINR"")"),1888861684490.37)</f>
        <v>1888861684490.3701</v>
      </c>
    </row>
    <row r="371" spans="1:3" x14ac:dyDescent="0.25">
      <c r="A371" s="2">
        <v>370</v>
      </c>
      <c r="B371" s="2">
        <v>23664361904.761902</v>
      </c>
      <c r="C371" s="3">
        <f ca="1">IFERROR(__xludf.DUMMYFUNCTION("B371*GOOGLEFINANCE(""CURRENCY:CHFINR"")"),1899068355867.8)</f>
        <v>1899068355867.8</v>
      </c>
    </row>
    <row r="372" spans="1:3" x14ac:dyDescent="0.25">
      <c r="A372" s="2">
        <v>371</v>
      </c>
      <c r="B372" s="2">
        <v>23791547619.0476</v>
      </c>
      <c r="C372" s="3">
        <f ca="1">IFERROR(__xludf.DUMMYFUNCTION("B372*GOOGLEFINANCE(""CURRENCY:CHFINR"")"),1909275027245.23)</f>
        <v>1909275027245.23</v>
      </c>
    </row>
    <row r="373" spans="1:3" x14ac:dyDescent="0.25">
      <c r="A373" s="2">
        <v>372</v>
      </c>
      <c r="B373" s="2">
        <v>23918733333.333302</v>
      </c>
      <c r="C373" s="3">
        <f ca="1">IFERROR(__xludf.DUMMYFUNCTION("B373*GOOGLEFINANCE(""CURRENCY:CHFINR"")"),1919481698622.66)</f>
        <v>1919481698622.6599</v>
      </c>
    </row>
    <row r="374" spans="1:3" x14ac:dyDescent="0.25">
      <c r="A374" s="2">
        <v>373</v>
      </c>
      <c r="B374" s="2">
        <v>24045919047.618999</v>
      </c>
      <c r="C374" s="3">
        <f ca="1">IFERROR(__xludf.DUMMYFUNCTION("B374*GOOGLEFINANCE(""CURRENCY:CHFINR"")"),1929688370000.09)</f>
        <v>1929688370000.0901</v>
      </c>
    </row>
    <row r="375" spans="1:3" x14ac:dyDescent="0.25">
      <c r="A375" s="2">
        <v>374</v>
      </c>
      <c r="B375" s="2">
        <v>24173104761.904701</v>
      </c>
      <c r="C375" s="3">
        <f ca="1">IFERROR(__xludf.DUMMYFUNCTION("B375*GOOGLEFINANCE(""CURRENCY:CHFINR"")"),1939895041377.51)</f>
        <v>1939895041377.51</v>
      </c>
    </row>
    <row r="376" spans="1:3" x14ac:dyDescent="0.25">
      <c r="A376" s="2">
        <v>375</v>
      </c>
      <c r="B376" s="2">
        <v>24300290476.190399</v>
      </c>
      <c r="C376" s="3">
        <f ca="1">IFERROR(__xludf.DUMMYFUNCTION("B376*GOOGLEFINANCE(""CURRENCY:CHFINR"")"),1950101712754.94)</f>
        <v>1950101712754.9399</v>
      </c>
    </row>
    <row r="377" spans="1:3" x14ac:dyDescent="0.25">
      <c r="A377" s="2">
        <v>376</v>
      </c>
      <c r="B377" s="2">
        <v>24427476190.476101</v>
      </c>
      <c r="C377" s="3">
        <f ca="1">IFERROR(__xludf.DUMMYFUNCTION("B377*GOOGLEFINANCE(""CURRENCY:CHFINR"")"),1960308384132.37)</f>
        <v>1960308384132.3701</v>
      </c>
    </row>
    <row r="378" spans="1:3" x14ac:dyDescent="0.25">
      <c r="A378" s="2">
        <v>377</v>
      </c>
      <c r="B378" s="2">
        <v>24554661904.761902</v>
      </c>
      <c r="C378" s="3">
        <f ca="1">IFERROR(__xludf.DUMMYFUNCTION("B378*GOOGLEFINANCE(""CURRENCY:CHFINR"")"),1970515055509.8)</f>
        <v>1970515055509.8</v>
      </c>
    </row>
    <row r="379" spans="1:3" x14ac:dyDescent="0.25">
      <c r="A379" s="2">
        <v>378</v>
      </c>
      <c r="B379" s="2">
        <v>24681847619.0476</v>
      </c>
      <c r="C379" s="3">
        <f ca="1">IFERROR(__xludf.DUMMYFUNCTION("B379*GOOGLEFINANCE(""CURRENCY:CHFINR"")"),1980721726887.23)</f>
        <v>1980721726887.23</v>
      </c>
    </row>
    <row r="380" spans="1:3" x14ac:dyDescent="0.25">
      <c r="A380" s="2">
        <v>379</v>
      </c>
      <c r="B380" s="2">
        <v>24809033333.333302</v>
      </c>
      <c r="C380" s="3">
        <f ca="1">IFERROR(__xludf.DUMMYFUNCTION("B380*GOOGLEFINANCE(""CURRENCY:CHFINR"")"),1990928398264.66)</f>
        <v>1990928398264.6599</v>
      </c>
    </row>
    <row r="381" spans="1:3" x14ac:dyDescent="0.25">
      <c r="A381" s="2">
        <v>380</v>
      </c>
      <c r="B381" s="2">
        <v>24936219047.618999</v>
      </c>
      <c r="C381" s="3">
        <f ca="1">IFERROR(__xludf.DUMMYFUNCTION("B381*GOOGLEFINANCE(""CURRENCY:CHFINR"")"),2001135069642.09)</f>
        <v>2001135069642.0901</v>
      </c>
    </row>
    <row r="382" spans="1:3" x14ac:dyDescent="0.25">
      <c r="A382" s="2">
        <v>381</v>
      </c>
      <c r="B382" s="2">
        <v>25063404761.904701</v>
      </c>
      <c r="C382" s="3">
        <f ca="1">IFERROR(__xludf.DUMMYFUNCTION("B382*GOOGLEFINANCE(""CURRENCY:CHFINR"")"),2011341741019.51)</f>
        <v>2011341741019.51</v>
      </c>
    </row>
    <row r="383" spans="1:3" x14ac:dyDescent="0.25">
      <c r="A383" s="2">
        <v>382</v>
      </c>
      <c r="B383" s="2">
        <v>25190590476.190399</v>
      </c>
      <c r="C383" s="3">
        <f ca="1">IFERROR(__xludf.DUMMYFUNCTION("B383*GOOGLEFINANCE(""CURRENCY:CHFINR"")"),2021548412396.94)</f>
        <v>2021548412396.9399</v>
      </c>
    </row>
    <row r="384" spans="1:3" x14ac:dyDescent="0.25">
      <c r="A384" s="2">
        <v>383</v>
      </c>
      <c r="B384" s="2">
        <v>25317776190.476101</v>
      </c>
      <c r="C384" s="3">
        <f ca="1">IFERROR(__xludf.DUMMYFUNCTION("B384*GOOGLEFINANCE(""CURRENCY:CHFINR"")"),2031755083774.37)</f>
        <v>2031755083774.3701</v>
      </c>
    </row>
    <row r="385" spans="1:3" x14ac:dyDescent="0.25">
      <c r="A385" s="2">
        <v>384</v>
      </c>
      <c r="B385" s="2">
        <v>25444961904.761902</v>
      </c>
      <c r="C385" s="3">
        <f ca="1">IFERROR(__xludf.DUMMYFUNCTION("B385*GOOGLEFINANCE(""CURRENCY:CHFINR"")"),2041961755151.8)</f>
        <v>2041961755151.8</v>
      </c>
    </row>
    <row r="386" spans="1:3" x14ac:dyDescent="0.25">
      <c r="A386" s="2">
        <v>385</v>
      </c>
      <c r="B386" s="2">
        <v>25572147619.0476</v>
      </c>
      <c r="C386" s="3">
        <f ca="1">IFERROR(__xludf.DUMMYFUNCTION("B386*GOOGLEFINANCE(""CURRENCY:CHFINR"")"),2052168426529.23)</f>
        <v>2052168426529.23</v>
      </c>
    </row>
    <row r="387" spans="1:3" x14ac:dyDescent="0.25">
      <c r="A387" s="2">
        <v>386</v>
      </c>
      <c r="B387" s="2">
        <v>25699333333.333302</v>
      </c>
      <c r="C387" s="3">
        <f ca="1">IFERROR(__xludf.DUMMYFUNCTION("B387*GOOGLEFINANCE(""CURRENCY:CHFINR"")"),2062375097906.66)</f>
        <v>2062375097906.6599</v>
      </c>
    </row>
    <row r="388" spans="1:3" x14ac:dyDescent="0.25">
      <c r="A388" s="2">
        <v>387</v>
      </c>
      <c r="B388" s="2">
        <v>25826519047.618999</v>
      </c>
      <c r="C388" s="3">
        <f ca="1">IFERROR(__xludf.DUMMYFUNCTION("B388*GOOGLEFINANCE(""CURRENCY:CHFINR"")"),2072581769284.09)</f>
        <v>2072581769284.0901</v>
      </c>
    </row>
    <row r="389" spans="1:3" x14ac:dyDescent="0.25">
      <c r="A389" s="2">
        <v>388</v>
      </c>
      <c r="B389" s="2">
        <v>25953704761.904701</v>
      </c>
      <c r="C389" s="3">
        <f ca="1">IFERROR(__xludf.DUMMYFUNCTION("B389*GOOGLEFINANCE(""CURRENCY:CHFINR"")"),2082788440661.51)</f>
        <v>2082788440661.51</v>
      </c>
    </row>
    <row r="390" spans="1:3" x14ac:dyDescent="0.25">
      <c r="A390" s="2">
        <v>389</v>
      </c>
      <c r="B390" s="2">
        <v>26080890476.190399</v>
      </c>
      <c r="C390" s="3">
        <f ca="1">IFERROR(__xludf.DUMMYFUNCTION("B390*GOOGLEFINANCE(""CURRENCY:CHFINR"")"),2092995112038.94)</f>
        <v>2092995112038.9399</v>
      </c>
    </row>
    <row r="391" spans="1:3" x14ac:dyDescent="0.25">
      <c r="A391" s="2">
        <v>390</v>
      </c>
      <c r="B391" s="2">
        <v>26208076190.476101</v>
      </c>
      <c r="C391" s="3">
        <f ca="1">IFERROR(__xludf.DUMMYFUNCTION("B391*GOOGLEFINANCE(""CURRENCY:CHFINR"")"),2103201783416.37)</f>
        <v>2103201783416.3701</v>
      </c>
    </row>
    <row r="392" spans="1:3" x14ac:dyDescent="0.25">
      <c r="A392" s="2">
        <v>391</v>
      </c>
      <c r="B392" s="2">
        <v>26335261904.761902</v>
      </c>
      <c r="C392" s="3">
        <f ca="1">IFERROR(__xludf.DUMMYFUNCTION("B392*GOOGLEFINANCE(""CURRENCY:CHFINR"")"),2113408454793.8)</f>
        <v>2113408454793.8</v>
      </c>
    </row>
    <row r="393" spans="1:3" x14ac:dyDescent="0.25">
      <c r="A393" s="2">
        <v>392</v>
      </c>
      <c r="B393" s="2">
        <v>26462447619.0476</v>
      </c>
      <c r="C393" s="3">
        <f ca="1">IFERROR(__xludf.DUMMYFUNCTION("B393*GOOGLEFINANCE(""CURRENCY:CHFINR"")"),2123615126171.23)</f>
        <v>2123615126171.23</v>
      </c>
    </row>
    <row r="394" spans="1:3" x14ac:dyDescent="0.25">
      <c r="A394" s="2">
        <v>393</v>
      </c>
      <c r="B394" s="2">
        <v>26589633333.333302</v>
      </c>
      <c r="C394" s="3">
        <f ca="1">IFERROR(__xludf.DUMMYFUNCTION("B394*GOOGLEFINANCE(""CURRENCY:CHFINR"")"),2133821797548.66)</f>
        <v>2133821797548.6599</v>
      </c>
    </row>
    <row r="395" spans="1:3" x14ac:dyDescent="0.25">
      <c r="A395" s="2">
        <v>394</v>
      </c>
      <c r="B395" s="2">
        <v>26716819047.618999</v>
      </c>
      <c r="C395" s="3">
        <f ca="1">IFERROR(__xludf.DUMMYFUNCTION("B395*GOOGLEFINANCE(""CURRENCY:CHFINR"")"),2144028468926.09)</f>
        <v>2144028468926.0901</v>
      </c>
    </row>
    <row r="396" spans="1:3" x14ac:dyDescent="0.25">
      <c r="A396" s="2">
        <v>395</v>
      </c>
      <c r="B396" s="2">
        <v>26844004761.904701</v>
      </c>
      <c r="C396" s="3">
        <f ca="1">IFERROR(__xludf.DUMMYFUNCTION("B396*GOOGLEFINANCE(""CURRENCY:CHFINR"")"),2154235140303.51)</f>
        <v>2154235140303.51</v>
      </c>
    </row>
    <row r="397" spans="1:3" x14ac:dyDescent="0.25">
      <c r="A397" s="2">
        <v>396</v>
      </c>
      <c r="B397" s="2">
        <v>26971190476.190399</v>
      </c>
      <c r="C397" s="3">
        <f ca="1">IFERROR(__xludf.DUMMYFUNCTION("B397*GOOGLEFINANCE(""CURRENCY:CHFINR"")"),2164441811680.94)</f>
        <v>2164441811680.9399</v>
      </c>
    </row>
    <row r="398" spans="1:3" x14ac:dyDescent="0.25">
      <c r="A398" s="2">
        <v>397</v>
      </c>
      <c r="B398" s="2">
        <v>27098376190.476101</v>
      </c>
      <c r="C398" s="3">
        <f ca="1">IFERROR(__xludf.DUMMYFUNCTION("B398*GOOGLEFINANCE(""CURRENCY:CHFINR"")"),2174648483058.37)</f>
        <v>2174648483058.3701</v>
      </c>
    </row>
    <row r="399" spans="1:3" x14ac:dyDescent="0.25">
      <c r="A399" s="2">
        <v>398</v>
      </c>
      <c r="B399" s="2">
        <v>27225561904.761902</v>
      </c>
      <c r="C399" s="3">
        <f ca="1">IFERROR(__xludf.DUMMYFUNCTION("B399*GOOGLEFINANCE(""CURRENCY:CHFINR"")"),2184855154435.8)</f>
        <v>2184855154435.8</v>
      </c>
    </row>
    <row r="400" spans="1:3" x14ac:dyDescent="0.25">
      <c r="A400" s="2">
        <v>399</v>
      </c>
      <c r="B400" s="2">
        <v>27352747619.0476</v>
      </c>
      <c r="C400" s="3">
        <f ca="1">IFERROR(__xludf.DUMMYFUNCTION("B400*GOOGLEFINANCE(""CURRENCY:CHFINR"")"),2195061825813.23)</f>
        <v>2195061825813.23</v>
      </c>
    </row>
    <row r="401" spans="1:3" x14ac:dyDescent="0.25">
      <c r="A401" s="2">
        <v>400</v>
      </c>
      <c r="B401" s="2">
        <v>27479933333.333302</v>
      </c>
      <c r="C401" s="3">
        <f ca="1">IFERROR(__xludf.DUMMYFUNCTION("B401*GOOGLEFINANCE(""CURRENCY:CHFINR"")"),2205268497190.66)</f>
        <v>2205268497190.6602</v>
      </c>
    </row>
    <row r="402" spans="1:3" x14ac:dyDescent="0.25">
      <c r="A402" s="2">
        <v>401</v>
      </c>
      <c r="B402" s="2">
        <v>27607119047.618999</v>
      </c>
      <c r="C402" s="3">
        <f ca="1">IFERROR(__xludf.DUMMYFUNCTION("B402*GOOGLEFINANCE(""CURRENCY:CHFINR"")"),2215475168568.09)</f>
        <v>2215475168568.0898</v>
      </c>
    </row>
    <row r="403" spans="1:3" x14ac:dyDescent="0.25">
      <c r="A403" s="2">
        <v>402</v>
      </c>
      <c r="B403" s="2">
        <v>27734304761.904701</v>
      </c>
      <c r="C403" s="3">
        <f ca="1">IFERROR(__xludf.DUMMYFUNCTION("B403*GOOGLEFINANCE(""CURRENCY:CHFINR"")"),2225681839945.51)</f>
        <v>2225681839945.5098</v>
      </c>
    </row>
    <row r="404" spans="1:3" x14ac:dyDescent="0.25">
      <c r="A404" s="2">
        <v>403</v>
      </c>
      <c r="B404" s="2">
        <v>27861490476.190399</v>
      </c>
      <c r="C404" s="3">
        <f ca="1">IFERROR(__xludf.DUMMYFUNCTION("B404*GOOGLEFINANCE(""CURRENCY:CHFINR"")"),2235888511322.94)</f>
        <v>2235888511322.9399</v>
      </c>
    </row>
    <row r="405" spans="1:3" x14ac:dyDescent="0.25">
      <c r="A405" s="2">
        <v>404</v>
      </c>
      <c r="B405" s="2">
        <v>27988676190.476101</v>
      </c>
      <c r="C405" s="3">
        <f ca="1">IFERROR(__xludf.DUMMYFUNCTION("B405*GOOGLEFINANCE(""CURRENCY:CHFINR"")"),2246095182700.37)</f>
        <v>2246095182700.3701</v>
      </c>
    </row>
    <row r="406" spans="1:3" x14ac:dyDescent="0.25">
      <c r="A406" s="2">
        <v>405</v>
      </c>
      <c r="B406" s="2">
        <v>28115861904.761799</v>
      </c>
      <c r="C406" s="3">
        <f ca="1">IFERROR(__xludf.DUMMYFUNCTION("B406*GOOGLEFINANCE(""CURRENCY:CHFINR"")"),2256301854077.8)</f>
        <v>2256301854077.7998</v>
      </c>
    </row>
    <row r="407" spans="1:3" x14ac:dyDescent="0.25">
      <c r="A407" s="2">
        <v>406</v>
      </c>
      <c r="B407" s="2">
        <v>28243047619.0476</v>
      </c>
      <c r="C407" s="3">
        <f ca="1">IFERROR(__xludf.DUMMYFUNCTION("B407*GOOGLEFINANCE(""CURRENCY:CHFINR"")"),2266508525455.23)</f>
        <v>2266508525455.23</v>
      </c>
    </row>
    <row r="408" spans="1:3" x14ac:dyDescent="0.25">
      <c r="A408" s="2">
        <v>407</v>
      </c>
      <c r="B408" s="2">
        <v>28370233333.333302</v>
      </c>
      <c r="C408" s="3">
        <f ca="1">IFERROR(__xludf.DUMMYFUNCTION("B408*GOOGLEFINANCE(""CURRENCY:CHFINR"")"),2276715196832.66)</f>
        <v>2276715196832.6602</v>
      </c>
    </row>
    <row r="409" spans="1:3" x14ac:dyDescent="0.25">
      <c r="A409" s="2">
        <v>408</v>
      </c>
      <c r="B409" s="2">
        <v>28497419047.618999</v>
      </c>
      <c r="C409" s="3">
        <f ca="1">IFERROR(__xludf.DUMMYFUNCTION("B409*GOOGLEFINANCE(""CURRENCY:CHFINR"")"),2286921868210.09)</f>
        <v>2286921868210.0898</v>
      </c>
    </row>
    <row r="410" spans="1:3" x14ac:dyDescent="0.25">
      <c r="A410" s="2">
        <v>409</v>
      </c>
      <c r="B410" s="2">
        <v>28624604761.904701</v>
      </c>
      <c r="C410" s="3">
        <f ca="1">IFERROR(__xludf.DUMMYFUNCTION("B410*GOOGLEFINANCE(""CURRENCY:CHFINR"")"),2297128539587.51)</f>
        <v>2297128539587.5098</v>
      </c>
    </row>
    <row r="411" spans="1:3" x14ac:dyDescent="0.25">
      <c r="A411" s="2">
        <v>410</v>
      </c>
      <c r="B411" s="2">
        <v>28751790476.190399</v>
      </c>
      <c r="C411" s="3">
        <f ca="1">IFERROR(__xludf.DUMMYFUNCTION("B411*GOOGLEFINANCE(""CURRENCY:CHFINR"")"),2307335210964.94)</f>
        <v>2307335210964.9399</v>
      </c>
    </row>
    <row r="412" spans="1:3" x14ac:dyDescent="0.25">
      <c r="A412" s="2">
        <v>411</v>
      </c>
      <c r="B412" s="2">
        <v>28878976190.476101</v>
      </c>
      <c r="C412" s="3">
        <f ca="1">IFERROR(__xludf.DUMMYFUNCTION("B412*GOOGLEFINANCE(""CURRENCY:CHFINR"")"),2317541882342.37)</f>
        <v>2317541882342.3701</v>
      </c>
    </row>
    <row r="413" spans="1:3" x14ac:dyDescent="0.25">
      <c r="A413" s="2">
        <v>412</v>
      </c>
      <c r="B413" s="2">
        <v>29006161904.761799</v>
      </c>
      <c r="C413" s="3">
        <f ca="1">IFERROR(__xludf.DUMMYFUNCTION("B413*GOOGLEFINANCE(""CURRENCY:CHFINR"")"),2327748553719.8)</f>
        <v>2327748553719.7998</v>
      </c>
    </row>
    <row r="414" spans="1:3" x14ac:dyDescent="0.25">
      <c r="A414" s="2">
        <v>413</v>
      </c>
      <c r="B414" s="2">
        <v>29133347619.0476</v>
      </c>
      <c r="C414" s="3">
        <f ca="1">IFERROR(__xludf.DUMMYFUNCTION("B414*GOOGLEFINANCE(""CURRENCY:CHFINR"")"),2337955225097.23)</f>
        <v>2337955225097.23</v>
      </c>
    </row>
    <row r="415" spans="1:3" x14ac:dyDescent="0.25">
      <c r="A415" s="2">
        <v>414</v>
      </c>
      <c r="B415" s="2">
        <v>29260533333.333302</v>
      </c>
      <c r="C415" s="3">
        <f ca="1">IFERROR(__xludf.DUMMYFUNCTION("B415*GOOGLEFINANCE(""CURRENCY:CHFINR"")"),2348161896474.66)</f>
        <v>2348161896474.6602</v>
      </c>
    </row>
    <row r="416" spans="1:3" x14ac:dyDescent="0.25">
      <c r="A416" s="2">
        <v>415</v>
      </c>
      <c r="B416" s="2">
        <v>29387719047.618999</v>
      </c>
      <c r="C416" s="3">
        <f ca="1">IFERROR(__xludf.DUMMYFUNCTION("B416*GOOGLEFINANCE(""CURRENCY:CHFINR"")"),2358368567852.09)</f>
        <v>2358368567852.0898</v>
      </c>
    </row>
    <row r="417" spans="1:3" x14ac:dyDescent="0.25">
      <c r="A417" s="2">
        <v>416</v>
      </c>
      <c r="B417" s="2">
        <v>29514904761.904701</v>
      </c>
      <c r="C417" s="3">
        <f ca="1">IFERROR(__xludf.DUMMYFUNCTION("B417*GOOGLEFINANCE(""CURRENCY:CHFINR"")"),2368575239229.51)</f>
        <v>2368575239229.5098</v>
      </c>
    </row>
    <row r="418" spans="1:3" x14ac:dyDescent="0.25">
      <c r="A418" s="2">
        <v>417</v>
      </c>
      <c r="B418" s="2">
        <v>29642090476.190399</v>
      </c>
      <c r="C418" s="3">
        <f ca="1">IFERROR(__xludf.DUMMYFUNCTION("B418*GOOGLEFINANCE(""CURRENCY:CHFINR"")"),2378781910606.94)</f>
        <v>2378781910606.9399</v>
      </c>
    </row>
    <row r="419" spans="1:3" x14ac:dyDescent="0.25">
      <c r="A419" s="2">
        <v>418</v>
      </c>
      <c r="B419" s="2">
        <v>29769276190.476101</v>
      </c>
      <c r="C419" s="3">
        <f ca="1">IFERROR(__xludf.DUMMYFUNCTION("B419*GOOGLEFINANCE(""CURRENCY:CHFINR"")"),2388988581984.37)</f>
        <v>2388988581984.3701</v>
      </c>
    </row>
    <row r="420" spans="1:3" x14ac:dyDescent="0.25">
      <c r="A420" s="2">
        <v>419</v>
      </c>
      <c r="B420" s="2">
        <v>29896461904.761799</v>
      </c>
      <c r="C420" s="3">
        <f ca="1">IFERROR(__xludf.DUMMYFUNCTION("B420*GOOGLEFINANCE(""CURRENCY:CHFINR"")"),2399195253361.8)</f>
        <v>2399195253361.7998</v>
      </c>
    </row>
    <row r="421" spans="1:3" x14ac:dyDescent="0.25">
      <c r="A421" s="2">
        <v>420</v>
      </c>
      <c r="B421" s="2">
        <v>30023647619.0476</v>
      </c>
      <c r="C421" s="3">
        <f ca="1">IFERROR(__xludf.DUMMYFUNCTION("B421*GOOGLEFINANCE(""CURRENCY:CHFINR"")"),2409401924739.23)</f>
        <v>2409401924739.23</v>
      </c>
    </row>
    <row r="422" spans="1:3" x14ac:dyDescent="0.25">
      <c r="A422" s="2">
        <v>421</v>
      </c>
      <c r="B422" s="2">
        <v>30150833333.333302</v>
      </c>
      <c r="C422" s="3">
        <f ca="1">IFERROR(__xludf.DUMMYFUNCTION("B422*GOOGLEFINANCE(""CURRENCY:CHFINR"")"),2419608596116.66)</f>
        <v>2419608596116.6602</v>
      </c>
    </row>
    <row r="423" spans="1:3" x14ac:dyDescent="0.25">
      <c r="A423" s="2">
        <v>422</v>
      </c>
      <c r="B423" s="2">
        <v>30278019047.618999</v>
      </c>
      <c r="C423" s="3">
        <f ca="1">IFERROR(__xludf.DUMMYFUNCTION("B423*GOOGLEFINANCE(""CURRENCY:CHFINR"")"),2429815267494.09)</f>
        <v>2429815267494.0898</v>
      </c>
    </row>
    <row r="424" spans="1:3" x14ac:dyDescent="0.25">
      <c r="A424" s="2">
        <v>423</v>
      </c>
      <c r="B424" s="2">
        <v>30405204761.904701</v>
      </c>
      <c r="C424" s="3">
        <f ca="1">IFERROR(__xludf.DUMMYFUNCTION("B424*GOOGLEFINANCE(""CURRENCY:CHFINR"")"),2440021938871.51)</f>
        <v>2440021938871.5098</v>
      </c>
    </row>
    <row r="425" spans="1:3" x14ac:dyDescent="0.25">
      <c r="A425" s="2">
        <v>424</v>
      </c>
      <c r="B425" s="2">
        <v>30532390476.190399</v>
      </c>
      <c r="C425" s="3">
        <f ca="1">IFERROR(__xludf.DUMMYFUNCTION("B425*GOOGLEFINANCE(""CURRENCY:CHFINR"")"),2450228610248.94)</f>
        <v>2450228610248.9399</v>
      </c>
    </row>
    <row r="426" spans="1:3" x14ac:dyDescent="0.25">
      <c r="A426" s="2">
        <v>425</v>
      </c>
      <c r="B426" s="2">
        <v>30659576190.476101</v>
      </c>
      <c r="C426" s="3">
        <f ca="1">IFERROR(__xludf.DUMMYFUNCTION("B426*GOOGLEFINANCE(""CURRENCY:CHFINR"")"),2460435281626.37)</f>
        <v>2460435281626.3701</v>
      </c>
    </row>
    <row r="427" spans="1:3" x14ac:dyDescent="0.25">
      <c r="A427" s="2">
        <v>426</v>
      </c>
      <c r="B427" s="2">
        <v>30786761904.761799</v>
      </c>
      <c r="C427" s="3">
        <f ca="1">IFERROR(__xludf.DUMMYFUNCTION("B427*GOOGLEFINANCE(""CURRENCY:CHFINR"")"),2470641953003.8)</f>
        <v>2470641953003.7998</v>
      </c>
    </row>
    <row r="428" spans="1:3" x14ac:dyDescent="0.25">
      <c r="A428" s="2">
        <v>427</v>
      </c>
      <c r="B428" s="2">
        <v>30913947619.0476</v>
      </c>
      <c r="C428" s="3">
        <f ca="1">IFERROR(__xludf.DUMMYFUNCTION("B428*GOOGLEFINANCE(""CURRENCY:CHFINR"")"),2480848624381.23)</f>
        <v>2480848624381.23</v>
      </c>
    </row>
    <row r="429" spans="1:3" x14ac:dyDescent="0.25">
      <c r="A429" s="2">
        <v>428</v>
      </c>
      <c r="B429" s="2">
        <v>31041133333.333302</v>
      </c>
      <c r="C429" s="3">
        <f ca="1">IFERROR(__xludf.DUMMYFUNCTION("B429*GOOGLEFINANCE(""CURRENCY:CHFINR"")"),2491055295758.66)</f>
        <v>2491055295758.6602</v>
      </c>
    </row>
    <row r="430" spans="1:3" x14ac:dyDescent="0.25">
      <c r="A430" s="2">
        <v>429</v>
      </c>
      <c r="B430" s="2">
        <v>31168319047.618999</v>
      </c>
      <c r="C430" s="3">
        <f ca="1">IFERROR(__xludf.DUMMYFUNCTION("B430*GOOGLEFINANCE(""CURRENCY:CHFINR"")"),2501261967136.09)</f>
        <v>2501261967136.0898</v>
      </c>
    </row>
    <row r="431" spans="1:3" x14ac:dyDescent="0.25">
      <c r="A431" s="2">
        <v>430</v>
      </c>
      <c r="B431" s="2">
        <v>31295504761.904701</v>
      </c>
      <c r="C431" s="3">
        <f ca="1">IFERROR(__xludf.DUMMYFUNCTION("B431*GOOGLEFINANCE(""CURRENCY:CHFINR"")"),2511468638513.51)</f>
        <v>2511468638513.5098</v>
      </c>
    </row>
    <row r="432" spans="1:3" x14ac:dyDescent="0.25">
      <c r="A432" s="2">
        <v>431</v>
      </c>
      <c r="B432" s="2">
        <v>31422690476.190399</v>
      </c>
      <c r="C432" s="3">
        <f ca="1">IFERROR(__xludf.DUMMYFUNCTION("B432*GOOGLEFINANCE(""CURRENCY:CHFINR"")"),2521675309890.94)</f>
        <v>2521675309890.9399</v>
      </c>
    </row>
    <row r="433" spans="1:3" x14ac:dyDescent="0.25">
      <c r="A433" s="2">
        <v>432</v>
      </c>
      <c r="B433" s="2">
        <v>31549876190.476101</v>
      </c>
      <c r="C433" s="3">
        <f ca="1">IFERROR(__xludf.DUMMYFUNCTION("B433*GOOGLEFINANCE(""CURRENCY:CHFINR"")"),2531881981268.37)</f>
        <v>2531881981268.3701</v>
      </c>
    </row>
    <row r="434" spans="1:3" x14ac:dyDescent="0.25">
      <c r="A434" s="2">
        <v>433</v>
      </c>
      <c r="B434" s="2">
        <v>31677061904.761799</v>
      </c>
      <c r="C434" s="3">
        <f ca="1">IFERROR(__xludf.DUMMYFUNCTION("B434*GOOGLEFINANCE(""CURRENCY:CHFINR"")"),2542088652645.8)</f>
        <v>2542088652645.7998</v>
      </c>
    </row>
    <row r="435" spans="1:3" x14ac:dyDescent="0.25">
      <c r="A435" s="2">
        <v>434</v>
      </c>
      <c r="B435" s="2">
        <v>31804247619.0476</v>
      </c>
      <c r="C435" s="3">
        <f ca="1">IFERROR(__xludf.DUMMYFUNCTION("B435*GOOGLEFINANCE(""CURRENCY:CHFINR"")"),2552295324023.23)</f>
        <v>2552295324023.23</v>
      </c>
    </row>
    <row r="436" spans="1:3" x14ac:dyDescent="0.25">
      <c r="A436" s="2">
        <v>435</v>
      </c>
      <c r="B436" s="2">
        <v>31931433333.333302</v>
      </c>
      <c r="C436" s="3">
        <f ca="1">IFERROR(__xludf.DUMMYFUNCTION("B436*GOOGLEFINANCE(""CURRENCY:CHFINR"")"),2562501995400.66)</f>
        <v>2562501995400.6602</v>
      </c>
    </row>
    <row r="437" spans="1:3" x14ac:dyDescent="0.25">
      <c r="A437" s="2">
        <v>436</v>
      </c>
      <c r="B437" s="2">
        <v>32058619047.618999</v>
      </c>
      <c r="C437" s="3">
        <f ca="1">IFERROR(__xludf.DUMMYFUNCTION("B437*GOOGLEFINANCE(""CURRENCY:CHFINR"")"),2572708666778.09)</f>
        <v>2572708666778.0898</v>
      </c>
    </row>
    <row r="438" spans="1:3" x14ac:dyDescent="0.25">
      <c r="A438" s="2">
        <v>437</v>
      </c>
      <c r="B438" s="2">
        <v>32185804761.904701</v>
      </c>
      <c r="C438" s="3">
        <f ca="1">IFERROR(__xludf.DUMMYFUNCTION("B438*GOOGLEFINANCE(""CURRENCY:CHFINR"")"),2582915338155.51)</f>
        <v>2582915338155.5098</v>
      </c>
    </row>
    <row r="439" spans="1:3" x14ac:dyDescent="0.25">
      <c r="A439" s="2">
        <v>438</v>
      </c>
      <c r="B439" s="2">
        <v>32312990476.190399</v>
      </c>
      <c r="C439" s="3">
        <f ca="1">IFERROR(__xludf.DUMMYFUNCTION("B439*GOOGLEFINANCE(""CURRENCY:CHFINR"")"),2593122009532.94)</f>
        <v>2593122009532.9399</v>
      </c>
    </row>
    <row r="440" spans="1:3" x14ac:dyDescent="0.25">
      <c r="A440" s="2">
        <v>439</v>
      </c>
      <c r="B440" s="2">
        <v>32440176190.476101</v>
      </c>
      <c r="C440" s="3">
        <f ca="1">IFERROR(__xludf.DUMMYFUNCTION("B440*GOOGLEFINANCE(""CURRENCY:CHFINR"")"),2603328680910.37)</f>
        <v>2603328680910.3701</v>
      </c>
    </row>
    <row r="441" spans="1:3" x14ac:dyDescent="0.25">
      <c r="A441" s="2">
        <v>440</v>
      </c>
      <c r="B441" s="2">
        <v>32567361904.761799</v>
      </c>
      <c r="C441" s="3">
        <f ca="1">IFERROR(__xludf.DUMMYFUNCTION("B441*GOOGLEFINANCE(""CURRENCY:CHFINR"")"),2613535352287.8)</f>
        <v>2613535352287.7998</v>
      </c>
    </row>
    <row r="442" spans="1:3" x14ac:dyDescent="0.25">
      <c r="A442" s="2">
        <v>441</v>
      </c>
      <c r="B442" s="2">
        <v>32694547619.0476</v>
      </c>
      <c r="C442" s="3">
        <f ca="1">IFERROR(__xludf.DUMMYFUNCTION("B442*GOOGLEFINANCE(""CURRENCY:CHFINR"")"),2623742023665.23)</f>
        <v>2623742023665.23</v>
      </c>
    </row>
    <row r="443" spans="1:3" x14ac:dyDescent="0.25">
      <c r="A443" s="2">
        <v>442</v>
      </c>
      <c r="B443" s="2">
        <v>32821733333.333302</v>
      </c>
      <c r="C443" s="3">
        <f ca="1">IFERROR(__xludf.DUMMYFUNCTION("B443*GOOGLEFINANCE(""CURRENCY:CHFINR"")"),2633948695042.66)</f>
        <v>2633948695042.6602</v>
      </c>
    </row>
    <row r="444" spans="1:3" x14ac:dyDescent="0.25">
      <c r="A444" s="2">
        <v>443</v>
      </c>
      <c r="B444" s="2">
        <v>32948919047.618999</v>
      </c>
      <c r="C444" s="3">
        <f ca="1">IFERROR(__xludf.DUMMYFUNCTION("B444*GOOGLEFINANCE(""CURRENCY:CHFINR"")"),2644155366420.09)</f>
        <v>2644155366420.0898</v>
      </c>
    </row>
    <row r="445" spans="1:3" x14ac:dyDescent="0.25">
      <c r="A445" s="2">
        <v>444</v>
      </c>
      <c r="B445" s="2">
        <v>33076104761.904701</v>
      </c>
      <c r="C445" s="3">
        <f ca="1">IFERROR(__xludf.DUMMYFUNCTION("B445*GOOGLEFINANCE(""CURRENCY:CHFINR"")"),2654362037797.51)</f>
        <v>2654362037797.5098</v>
      </c>
    </row>
    <row r="446" spans="1:3" x14ac:dyDescent="0.25">
      <c r="A446" s="2">
        <v>445</v>
      </c>
      <c r="B446" s="2">
        <v>33203290476.190399</v>
      </c>
      <c r="C446" s="3">
        <f ca="1">IFERROR(__xludf.DUMMYFUNCTION("B446*GOOGLEFINANCE(""CURRENCY:CHFINR"")"),2664568709174.94)</f>
        <v>2664568709174.9399</v>
      </c>
    </row>
    <row r="447" spans="1:3" x14ac:dyDescent="0.25">
      <c r="A447" s="2">
        <v>446</v>
      </c>
      <c r="B447" s="2">
        <v>33330476190.476101</v>
      </c>
      <c r="C447" s="3">
        <f ca="1">IFERROR(__xludf.DUMMYFUNCTION("B447*GOOGLEFINANCE(""CURRENCY:CHFINR"")"),2674775380552.37)</f>
        <v>2674775380552.3701</v>
      </c>
    </row>
    <row r="448" spans="1:3" x14ac:dyDescent="0.25">
      <c r="A448" s="2">
        <v>447</v>
      </c>
      <c r="B448" s="2">
        <v>33457661904.761799</v>
      </c>
      <c r="C448" s="3">
        <f ca="1">IFERROR(__xludf.DUMMYFUNCTION("B448*GOOGLEFINANCE(""CURRENCY:CHFINR"")"),2684982051929.8)</f>
        <v>2684982051929.7998</v>
      </c>
    </row>
    <row r="449" spans="1:3" x14ac:dyDescent="0.25">
      <c r="A449" s="2">
        <v>448</v>
      </c>
      <c r="B449" s="2">
        <v>33584847619.047501</v>
      </c>
      <c r="C449" s="3">
        <f ca="1">IFERROR(__xludf.DUMMYFUNCTION("B449*GOOGLEFINANCE(""CURRENCY:CHFINR"")"),2695188723307.22)</f>
        <v>2695188723307.2202</v>
      </c>
    </row>
    <row r="450" spans="1:3" x14ac:dyDescent="0.25">
      <c r="A450" s="2">
        <v>449</v>
      </c>
      <c r="B450" s="2">
        <v>33712033333.333302</v>
      </c>
      <c r="C450" s="3">
        <f ca="1">IFERROR(__xludf.DUMMYFUNCTION("B450*GOOGLEFINANCE(""CURRENCY:CHFINR"")"),2705395394684.66)</f>
        <v>2705395394684.6602</v>
      </c>
    </row>
    <row r="451" spans="1:3" x14ac:dyDescent="0.25">
      <c r="A451" s="2">
        <v>450</v>
      </c>
      <c r="B451" s="2">
        <v>33839219047.618999</v>
      </c>
      <c r="C451" s="3">
        <f ca="1">IFERROR(__xludf.DUMMYFUNCTION("B451*GOOGLEFINANCE(""CURRENCY:CHFINR"")"),2715602066062.09)</f>
        <v>2715602066062.0898</v>
      </c>
    </row>
    <row r="452" spans="1:3" x14ac:dyDescent="0.25">
      <c r="A452" s="2">
        <v>451</v>
      </c>
      <c r="B452" s="2">
        <v>33966404761.904701</v>
      </c>
      <c r="C452" s="3">
        <f ca="1">IFERROR(__xludf.DUMMYFUNCTION("B452*GOOGLEFINANCE(""CURRENCY:CHFINR"")"),2725808737439.51)</f>
        <v>2725808737439.5098</v>
      </c>
    </row>
    <row r="453" spans="1:3" x14ac:dyDescent="0.25">
      <c r="A453" s="2">
        <v>452</v>
      </c>
      <c r="B453" s="2">
        <v>34093590476.190399</v>
      </c>
      <c r="C453" s="3">
        <f ca="1">IFERROR(__xludf.DUMMYFUNCTION("B453*GOOGLEFINANCE(""CURRENCY:CHFINR"")"),2736015408816.94)</f>
        <v>2736015408816.9399</v>
      </c>
    </row>
    <row r="454" spans="1:3" x14ac:dyDescent="0.25">
      <c r="A454" s="2">
        <v>453</v>
      </c>
      <c r="B454" s="2">
        <v>34220776190.476101</v>
      </c>
      <c r="C454" s="3">
        <f ca="1">IFERROR(__xludf.DUMMYFUNCTION("B454*GOOGLEFINANCE(""CURRENCY:CHFINR"")"),2746222080194.37)</f>
        <v>2746222080194.3701</v>
      </c>
    </row>
    <row r="455" spans="1:3" x14ac:dyDescent="0.25">
      <c r="A455" s="2">
        <v>454</v>
      </c>
      <c r="B455" s="2">
        <v>34347961904.761799</v>
      </c>
      <c r="C455" s="3">
        <f ca="1">IFERROR(__xludf.DUMMYFUNCTION("B455*GOOGLEFINANCE(""CURRENCY:CHFINR"")"),2756428751571.8)</f>
        <v>2756428751571.7998</v>
      </c>
    </row>
    <row r="456" spans="1:3" x14ac:dyDescent="0.25">
      <c r="A456" s="2">
        <v>455</v>
      </c>
      <c r="B456" s="2">
        <v>34475147619.047501</v>
      </c>
      <c r="C456" s="3">
        <f ca="1">IFERROR(__xludf.DUMMYFUNCTION("B456*GOOGLEFINANCE(""CURRENCY:CHFINR"")"),2766635422949.22)</f>
        <v>2766635422949.2202</v>
      </c>
    </row>
    <row r="457" spans="1:3" x14ac:dyDescent="0.25">
      <c r="A457" s="2">
        <v>456</v>
      </c>
      <c r="B457" s="2">
        <v>34602333333.333298</v>
      </c>
      <c r="C457" s="3">
        <f ca="1">IFERROR(__xludf.DUMMYFUNCTION("B457*GOOGLEFINANCE(""CURRENCY:CHFINR"")"),2776842094326.66)</f>
        <v>2776842094326.6602</v>
      </c>
    </row>
    <row r="458" spans="1:3" x14ac:dyDescent="0.25">
      <c r="A458" s="2">
        <v>457</v>
      </c>
      <c r="B458" s="2">
        <v>34729519047.619003</v>
      </c>
      <c r="C458" s="3">
        <f ca="1">IFERROR(__xludf.DUMMYFUNCTION("B458*GOOGLEFINANCE(""CURRENCY:CHFINR"")"),2787048765704.09)</f>
        <v>2787048765704.0898</v>
      </c>
    </row>
    <row r="459" spans="1:3" x14ac:dyDescent="0.25">
      <c r="A459" s="2">
        <v>458</v>
      </c>
      <c r="B459" s="2">
        <v>34856704761.904701</v>
      </c>
      <c r="C459" s="3">
        <f ca="1">IFERROR(__xludf.DUMMYFUNCTION("B459*GOOGLEFINANCE(""CURRENCY:CHFINR"")"),2797255437081.51)</f>
        <v>2797255437081.5098</v>
      </c>
    </row>
    <row r="460" spans="1:3" x14ac:dyDescent="0.25">
      <c r="A460" s="2">
        <v>459</v>
      </c>
      <c r="B460" s="2">
        <v>34983890476.190399</v>
      </c>
      <c r="C460" s="3">
        <f ca="1">IFERROR(__xludf.DUMMYFUNCTION("B460*GOOGLEFINANCE(""CURRENCY:CHFINR"")"),2807462108458.94)</f>
        <v>2807462108458.9399</v>
      </c>
    </row>
    <row r="461" spans="1:3" x14ac:dyDescent="0.25">
      <c r="A461" s="2">
        <v>460</v>
      </c>
      <c r="B461" s="2">
        <v>35111076190.476097</v>
      </c>
      <c r="C461" s="3">
        <f ca="1">IFERROR(__xludf.DUMMYFUNCTION("B461*GOOGLEFINANCE(""CURRENCY:CHFINR"")"),2817668779836.37)</f>
        <v>2817668779836.3701</v>
      </c>
    </row>
    <row r="462" spans="1:3" x14ac:dyDescent="0.25">
      <c r="A462" s="2">
        <v>461</v>
      </c>
      <c r="B462" s="2">
        <v>35238261904.761803</v>
      </c>
      <c r="C462" s="3">
        <f ca="1">IFERROR(__xludf.DUMMYFUNCTION("B462*GOOGLEFINANCE(""CURRENCY:CHFINR"")"),2827875451213.8)</f>
        <v>2827875451213.7998</v>
      </c>
    </row>
    <row r="463" spans="1:3" x14ac:dyDescent="0.25">
      <c r="A463" s="2">
        <v>462</v>
      </c>
      <c r="B463" s="2">
        <v>35365447619.047501</v>
      </c>
      <c r="C463" s="3">
        <f ca="1">IFERROR(__xludf.DUMMYFUNCTION("B463*GOOGLEFINANCE(""CURRENCY:CHFINR"")"),2838082122591.22)</f>
        <v>2838082122591.2202</v>
      </c>
    </row>
    <row r="464" spans="1:3" x14ac:dyDescent="0.25">
      <c r="A464" s="2">
        <v>463</v>
      </c>
      <c r="B464" s="2">
        <v>35492633333.333298</v>
      </c>
      <c r="C464" s="3">
        <f ca="1">IFERROR(__xludf.DUMMYFUNCTION("B464*GOOGLEFINANCE(""CURRENCY:CHFINR"")"),2848288793968.66)</f>
        <v>2848288793968.6602</v>
      </c>
    </row>
    <row r="465" spans="1:3" x14ac:dyDescent="0.25">
      <c r="A465" s="2">
        <v>464</v>
      </c>
      <c r="B465" s="2">
        <v>35619819047.619003</v>
      </c>
      <c r="C465" s="3">
        <f ca="1">IFERROR(__xludf.DUMMYFUNCTION("B465*GOOGLEFINANCE(""CURRENCY:CHFINR"")"),2858495465346.09)</f>
        <v>2858495465346.0898</v>
      </c>
    </row>
    <row r="466" spans="1:3" x14ac:dyDescent="0.25">
      <c r="A466" s="2">
        <v>465</v>
      </c>
      <c r="B466" s="2">
        <v>35747004761.904701</v>
      </c>
      <c r="C466" s="3">
        <f ca="1">IFERROR(__xludf.DUMMYFUNCTION("B466*GOOGLEFINANCE(""CURRENCY:CHFINR"")"),2868702136723.51)</f>
        <v>2868702136723.5098</v>
      </c>
    </row>
    <row r="467" spans="1:3" x14ac:dyDescent="0.25">
      <c r="A467" s="2">
        <v>466</v>
      </c>
      <c r="B467" s="2">
        <v>35874190476.190399</v>
      </c>
      <c r="C467" s="3">
        <f ca="1">IFERROR(__xludf.DUMMYFUNCTION("B467*GOOGLEFINANCE(""CURRENCY:CHFINR"")"),2878908808100.94)</f>
        <v>2878908808100.9399</v>
      </c>
    </row>
    <row r="468" spans="1:3" x14ac:dyDescent="0.25">
      <c r="A468" s="2">
        <v>467</v>
      </c>
      <c r="B468" s="2">
        <v>36001376190.476097</v>
      </c>
      <c r="C468" s="3">
        <f ca="1">IFERROR(__xludf.DUMMYFUNCTION("B468*GOOGLEFINANCE(""CURRENCY:CHFINR"")"),2889115479478.37)</f>
        <v>2889115479478.3701</v>
      </c>
    </row>
    <row r="469" spans="1:3" x14ac:dyDescent="0.25">
      <c r="A469" s="2">
        <v>468</v>
      </c>
      <c r="B469" s="2">
        <v>36128561904.761803</v>
      </c>
      <c r="C469" s="3">
        <f ca="1">IFERROR(__xludf.DUMMYFUNCTION("B469*GOOGLEFINANCE(""CURRENCY:CHFINR"")"),2899322150855.8)</f>
        <v>2899322150855.7998</v>
      </c>
    </row>
    <row r="470" spans="1:3" x14ac:dyDescent="0.25">
      <c r="A470" s="2">
        <v>469</v>
      </c>
      <c r="B470" s="2">
        <v>36255747619.047501</v>
      </c>
      <c r="C470" s="3">
        <f ca="1">IFERROR(__xludf.DUMMYFUNCTION("B470*GOOGLEFINANCE(""CURRENCY:CHFINR"")"),2909528822233.22)</f>
        <v>2909528822233.2202</v>
      </c>
    </row>
    <row r="471" spans="1:3" x14ac:dyDescent="0.25">
      <c r="A471" s="2">
        <v>470</v>
      </c>
      <c r="B471" s="2">
        <v>36382933333.333298</v>
      </c>
      <c r="C471" s="3">
        <f ca="1">IFERROR(__xludf.DUMMYFUNCTION("B471*GOOGLEFINANCE(""CURRENCY:CHFINR"")"),2919735493610.66)</f>
        <v>2919735493610.6602</v>
      </c>
    </row>
    <row r="472" spans="1:3" x14ac:dyDescent="0.25">
      <c r="A472" s="2">
        <v>471</v>
      </c>
      <c r="B472" s="2">
        <v>36510119047.619003</v>
      </c>
      <c r="C472" s="3">
        <f ca="1">IFERROR(__xludf.DUMMYFUNCTION("B472*GOOGLEFINANCE(""CURRENCY:CHFINR"")"),2929942164988.09)</f>
        <v>2929942164988.0898</v>
      </c>
    </row>
    <row r="473" spans="1:3" x14ac:dyDescent="0.25">
      <c r="A473" s="2">
        <v>472</v>
      </c>
      <c r="B473" s="2">
        <v>36637304761.904701</v>
      </c>
      <c r="C473" s="3">
        <f ca="1">IFERROR(__xludf.DUMMYFUNCTION("B473*GOOGLEFINANCE(""CURRENCY:CHFINR"")"),2940148836365.51)</f>
        <v>2940148836365.5098</v>
      </c>
    </row>
    <row r="474" spans="1:3" x14ac:dyDescent="0.25">
      <c r="A474" s="2">
        <v>473</v>
      </c>
      <c r="B474" s="2">
        <v>36764490476.190399</v>
      </c>
      <c r="C474" s="3">
        <f ca="1">IFERROR(__xludf.DUMMYFUNCTION("B474*GOOGLEFINANCE(""CURRENCY:CHFINR"")"),2950355507742.94)</f>
        <v>2950355507742.9399</v>
      </c>
    </row>
    <row r="475" spans="1:3" x14ac:dyDescent="0.25">
      <c r="A475" s="2">
        <v>474</v>
      </c>
      <c r="B475" s="2">
        <v>36891676190.476097</v>
      </c>
      <c r="C475" s="3">
        <f ca="1">IFERROR(__xludf.DUMMYFUNCTION("B475*GOOGLEFINANCE(""CURRENCY:CHFINR"")"),2960562179120.37)</f>
        <v>2960562179120.3701</v>
      </c>
    </row>
    <row r="476" spans="1:3" x14ac:dyDescent="0.25">
      <c r="A476" s="2">
        <v>475</v>
      </c>
      <c r="B476" s="2">
        <v>37018861904.761803</v>
      </c>
      <c r="C476" s="3">
        <f ca="1">IFERROR(__xludf.DUMMYFUNCTION("B476*GOOGLEFINANCE(""CURRENCY:CHFINR"")"),2970768850497.8)</f>
        <v>2970768850497.7998</v>
      </c>
    </row>
    <row r="477" spans="1:3" x14ac:dyDescent="0.25">
      <c r="A477" s="2">
        <v>476</v>
      </c>
      <c r="B477" s="2">
        <v>37146047619.047501</v>
      </c>
      <c r="C477" s="3">
        <f ca="1">IFERROR(__xludf.DUMMYFUNCTION("B477*GOOGLEFINANCE(""CURRENCY:CHFINR"")"),2980975521875.22)</f>
        <v>2980975521875.2202</v>
      </c>
    </row>
    <row r="478" spans="1:3" x14ac:dyDescent="0.25">
      <c r="A478" s="2">
        <v>477</v>
      </c>
      <c r="B478" s="2">
        <v>37273233333.333298</v>
      </c>
      <c r="C478" s="3">
        <f ca="1">IFERROR(__xludf.DUMMYFUNCTION("B478*GOOGLEFINANCE(""CURRENCY:CHFINR"")"),2991182193252.66)</f>
        <v>2991182193252.6602</v>
      </c>
    </row>
    <row r="479" spans="1:3" x14ac:dyDescent="0.25">
      <c r="A479" s="2">
        <v>478</v>
      </c>
      <c r="B479" s="2">
        <v>37400419047.619003</v>
      </c>
      <c r="C479" s="3">
        <f ca="1">IFERROR(__xludf.DUMMYFUNCTION("B479*GOOGLEFINANCE(""CURRENCY:CHFINR"")"),3001388864630.09)</f>
        <v>3001388864630.0898</v>
      </c>
    </row>
    <row r="480" spans="1:3" x14ac:dyDescent="0.25">
      <c r="A480" s="2">
        <v>479</v>
      </c>
      <c r="B480" s="2">
        <v>37527604761.904701</v>
      </c>
      <c r="C480" s="3">
        <f ca="1">IFERROR(__xludf.DUMMYFUNCTION("B480*GOOGLEFINANCE(""CURRENCY:CHFINR"")"),3011595536007.51)</f>
        <v>3011595536007.5098</v>
      </c>
    </row>
    <row r="481" spans="1:3" x14ac:dyDescent="0.25">
      <c r="A481" s="2">
        <v>480</v>
      </c>
      <c r="B481" s="2">
        <v>37654790476.190399</v>
      </c>
      <c r="C481" s="3">
        <f ca="1">IFERROR(__xludf.DUMMYFUNCTION("B481*GOOGLEFINANCE(""CURRENCY:CHFINR"")"),3021802207384.94)</f>
        <v>3021802207384.9399</v>
      </c>
    </row>
    <row r="482" spans="1:3" x14ac:dyDescent="0.25">
      <c r="A482" s="2">
        <v>481</v>
      </c>
      <c r="B482" s="2">
        <v>37781976190.476097</v>
      </c>
      <c r="C482" s="3">
        <f ca="1">IFERROR(__xludf.DUMMYFUNCTION("B482*GOOGLEFINANCE(""CURRENCY:CHFINR"")"),3032008878762.37)</f>
        <v>3032008878762.3701</v>
      </c>
    </row>
    <row r="483" spans="1:3" x14ac:dyDescent="0.25">
      <c r="A483" s="2">
        <v>482</v>
      </c>
      <c r="B483" s="2">
        <v>37909161904.761803</v>
      </c>
      <c r="C483" s="3">
        <f ca="1">IFERROR(__xludf.DUMMYFUNCTION("B483*GOOGLEFINANCE(""CURRENCY:CHFINR"")"),3042215550139.8)</f>
        <v>3042215550139.7998</v>
      </c>
    </row>
    <row r="484" spans="1:3" x14ac:dyDescent="0.25">
      <c r="A484" s="2">
        <v>483</v>
      </c>
      <c r="B484" s="2">
        <v>38036347619.047501</v>
      </c>
      <c r="C484" s="3">
        <f ca="1">IFERROR(__xludf.DUMMYFUNCTION("B484*GOOGLEFINANCE(""CURRENCY:CHFINR"")"),3052422221517.22)</f>
        <v>3052422221517.2202</v>
      </c>
    </row>
    <row r="485" spans="1:3" x14ac:dyDescent="0.25">
      <c r="A485" s="2">
        <v>484</v>
      </c>
      <c r="B485" s="2">
        <v>38163533333.333298</v>
      </c>
      <c r="C485" s="3">
        <f ca="1">IFERROR(__xludf.DUMMYFUNCTION("B485*GOOGLEFINANCE(""CURRENCY:CHFINR"")"),3062628892894.66)</f>
        <v>3062628892894.6602</v>
      </c>
    </row>
    <row r="486" spans="1:3" x14ac:dyDescent="0.25">
      <c r="A486" s="2">
        <v>485</v>
      </c>
      <c r="B486" s="2">
        <v>38290719047.619003</v>
      </c>
      <c r="C486" s="3">
        <f ca="1">IFERROR(__xludf.DUMMYFUNCTION("B486*GOOGLEFINANCE(""CURRENCY:CHFINR"")"),3072835564272.09)</f>
        <v>3072835564272.0898</v>
      </c>
    </row>
    <row r="487" spans="1:3" x14ac:dyDescent="0.25">
      <c r="A487" s="2">
        <v>486</v>
      </c>
      <c r="B487" s="2">
        <v>38417904761.904701</v>
      </c>
      <c r="C487" s="3">
        <f ca="1">IFERROR(__xludf.DUMMYFUNCTION("B487*GOOGLEFINANCE(""CURRENCY:CHFINR"")"),3083042235649.51)</f>
        <v>3083042235649.5098</v>
      </c>
    </row>
    <row r="488" spans="1:3" x14ac:dyDescent="0.25">
      <c r="A488" s="2">
        <v>487</v>
      </c>
      <c r="B488" s="2">
        <v>38545090476.190399</v>
      </c>
      <c r="C488" s="3">
        <f ca="1">IFERROR(__xludf.DUMMYFUNCTION("B488*GOOGLEFINANCE(""CURRENCY:CHFINR"")"),3093248907026.94)</f>
        <v>3093248907026.9399</v>
      </c>
    </row>
    <row r="489" spans="1:3" x14ac:dyDescent="0.25">
      <c r="A489" s="2">
        <v>488</v>
      </c>
      <c r="B489" s="2">
        <v>38672276190.476097</v>
      </c>
      <c r="C489" s="3">
        <f ca="1">IFERROR(__xludf.DUMMYFUNCTION("B489*GOOGLEFINANCE(""CURRENCY:CHFINR"")"),3103455578404.37)</f>
        <v>3103455578404.3701</v>
      </c>
    </row>
    <row r="490" spans="1:3" x14ac:dyDescent="0.25">
      <c r="A490" s="2">
        <v>489</v>
      </c>
      <c r="B490" s="2">
        <v>38799461904.761803</v>
      </c>
      <c r="C490" s="3">
        <f ca="1">IFERROR(__xludf.DUMMYFUNCTION("B490*GOOGLEFINANCE(""CURRENCY:CHFINR"")"),3113662249781.8)</f>
        <v>3113662249781.7998</v>
      </c>
    </row>
    <row r="491" spans="1:3" x14ac:dyDescent="0.25">
      <c r="A491" s="2">
        <v>490</v>
      </c>
      <c r="B491" s="2">
        <v>38926647619.047501</v>
      </c>
      <c r="C491" s="3">
        <f ca="1">IFERROR(__xludf.DUMMYFUNCTION("B491*GOOGLEFINANCE(""CURRENCY:CHFINR"")"),3123868921159.22)</f>
        <v>3123868921159.2202</v>
      </c>
    </row>
    <row r="492" spans="1:3" x14ac:dyDescent="0.25">
      <c r="A492" s="2">
        <v>491</v>
      </c>
      <c r="B492" s="2">
        <v>39053833333.333298</v>
      </c>
      <c r="C492" s="3">
        <f ca="1">IFERROR(__xludf.DUMMYFUNCTION("B492*GOOGLEFINANCE(""CURRENCY:CHFINR"")"),3134075592536.66)</f>
        <v>3134075592536.6602</v>
      </c>
    </row>
    <row r="493" spans="1:3" x14ac:dyDescent="0.25">
      <c r="A493" s="2">
        <v>492</v>
      </c>
      <c r="B493" s="2">
        <v>39181019047.619003</v>
      </c>
      <c r="C493" s="3">
        <f ca="1">IFERROR(__xludf.DUMMYFUNCTION("B493*GOOGLEFINANCE(""CURRENCY:CHFINR"")"),3144282263914.09)</f>
        <v>3144282263914.0898</v>
      </c>
    </row>
    <row r="494" spans="1:3" x14ac:dyDescent="0.25">
      <c r="A494" s="2">
        <v>493</v>
      </c>
      <c r="B494" s="2">
        <v>39308204761.904701</v>
      </c>
      <c r="C494" s="3">
        <f ca="1">IFERROR(__xludf.DUMMYFUNCTION("B494*GOOGLEFINANCE(""CURRENCY:CHFINR"")"),3154488935291.51)</f>
        <v>3154488935291.5098</v>
      </c>
    </row>
    <row r="495" spans="1:3" x14ac:dyDescent="0.25">
      <c r="A495" s="2">
        <v>494</v>
      </c>
      <c r="B495" s="2">
        <v>39435390476.190399</v>
      </c>
      <c r="C495" s="3">
        <f ca="1">IFERROR(__xludf.DUMMYFUNCTION("B495*GOOGLEFINANCE(""CURRENCY:CHFINR"")"),3164695606668.94)</f>
        <v>3164695606668.9399</v>
      </c>
    </row>
    <row r="496" spans="1:3" x14ac:dyDescent="0.25">
      <c r="A496" s="2">
        <v>495</v>
      </c>
      <c r="B496" s="2">
        <v>39562576190.476097</v>
      </c>
      <c r="C496" s="3">
        <f ca="1">IFERROR(__xludf.DUMMYFUNCTION("B496*GOOGLEFINANCE(""CURRENCY:CHFINR"")"),3174902278046.37)</f>
        <v>3174902278046.3701</v>
      </c>
    </row>
    <row r="497" spans="1:3" x14ac:dyDescent="0.25">
      <c r="A497" s="2">
        <v>496</v>
      </c>
      <c r="B497" s="2">
        <v>39689761904.761803</v>
      </c>
      <c r="C497" s="3">
        <f ca="1">IFERROR(__xludf.DUMMYFUNCTION("B497*GOOGLEFINANCE(""CURRENCY:CHFINR"")"),3185108949423.8)</f>
        <v>3185108949423.7998</v>
      </c>
    </row>
    <row r="498" spans="1:3" x14ac:dyDescent="0.25">
      <c r="A498" s="2">
        <v>497</v>
      </c>
      <c r="B498" s="2">
        <v>39816947619.047501</v>
      </c>
      <c r="C498" s="3">
        <f ca="1">IFERROR(__xludf.DUMMYFUNCTION("B498*GOOGLEFINANCE(""CURRENCY:CHFINR"")"),3195315620801.22)</f>
        <v>3195315620801.2202</v>
      </c>
    </row>
    <row r="499" spans="1:3" x14ac:dyDescent="0.25">
      <c r="A499" s="2">
        <v>498</v>
      </c>
      <c r="B499" s="2">
        <v>39944133333.333199</v>
      </c>
      <c r="C499" s="3">
        <f ca="1">IFERROR(__xludf.DUMMYFUNCTION("B499*GOOGLEFINANCE(""CURRENCY:CHFINR"")"),3205522292178.65)</f>
        <v>3205522292178.6499</v>
      </c>
    </row>
    <row r="500" spans="1:3" x14ac:dyDescent="0.25">
      <c r="A500" s="2">
        <v>499</v>
      </c>
      <c r="B500" s="2">
        <v>40071319047.619003</v>
      </c>
      <c r="C500" s="3">
        <f ca="1">IFERROR(__xludf.DUMMYFUNCTION("B500*GOOGLEFINANCE(""CURRENCY:CHFINR"")"),3215728963556.09)</f>
        <v>3215728963556.0898</v>
      </c>
    </row>
    <row r="501" spans="1:3" x14ac:dyDescent="0.25">
      <c r="A501" s="2">
        <v>500</v>
      </c>
      <c r="B501" s="2">
        <v>40198504761.904701</v>
      </c>
      <c r="C501" s="3">
        <f ca="1">IFERROR(__xludf.DUMMYFUNCTION("B501*GOOGLEFINANCE(""CURRENCY:CHFINR"")"),3225935634933.51)</f>
        <v>3225935634933.5098</v>
      </c>
    </row>
    <row r="502" spans="1:3" x14ac:dyDescent="0.25">
      <c r="A502" s="2">
        <v>501</v>
      </c>
      <c r="B502" s="2">
        <v>40325690476.190399</v>
      </c>
      <c r="C502" s="3">
        <f ca="1">IFERROR(__xludf.DUMMYFUNCTION("B502*GOOGLEFINANCE(""CURRENCY:CHFINR"")"),3236142306310.94)</f>
        <v>3236142306310.9399</v>
      </c>
    </row>
    <row r="503" spans="1:3" x14ac:dyDescent="0.25">
      <c r="A503" s="2">
        <v>502</v>
      </c>
      <c r="B503" s="2">
        <v>40452876190.476097</v>
      </c>
      <c r="C503" s="3">
        <f ca="1">IFERROR(__xludf.DUMMYFUNCTION("B503*GOOGLEFINANCE(""CURRENCY:CHFINR"")"),3246348977688.37)</f>
        <v>3246348977688.3701</v>
      </c>
    </row>
    <row r="504" spans="1:3" x14ac:dyDescent="0.25">
      <c r="A504" s="2">
        <v>503</v>
      </c>
      <c r="B504" s="2">
        <v>40580061904.761803</v>
      </c>
      <c r="C504" s="3">
        <f ca="1">IFERROR(__xludf.DUMMYFUNCTION("B504*GOOGLEFINANCE(""CURRENCY:CHFINR"")"),3256555649065.8)</f>
        <v>3256555649065.7998</v>
      </c>
    </row>
    <row r="505" spans="1:3" x14ac:dyDescent="0.25">
      <c r="A505" s="2">
        <v>504</v>
      </c>
      <c r="B505" s="2">
        <v>40707247619.047501</v>
      </c>
      <c r="C505" s="3">
        <f ca="1">IFERROR(__xludf.DUMMYFUNCTION("B505*GOOGLEFINANCE(""CURRENCY:CHFINR"")"),3266762320443.22)</f>
        <v>3266762320443.2202</v>
      </c>
    </row>
    <row r="506" spans="1:3" x14ac:dyDescent="0.25">
      <c r="A506" s="2">
        <v>505</v>
      </c>
      <c r="B506" s="2">
        <v>40834433333.333199</v>
      </c>
      <c r="C506" s="3">
        <f ca="1">IFERROR(__xludf.DUMMYFUNCTION("B506*GOOGLEFINANCE(""CURRENCY:CHFINR"")"),3276968991820.65)</f>
        <v>3276968991820.6499</v>
      </c>
    </row>
    <row r="507" spans="1:3" x14ac:dyDescent="0.25">
      <c r="A507" s="2">
        <v>506</v>
      </c>
      <c r="B507" s="2">
        <v>40961619047.619003</v>
      </c>
      <c r="C507" s="3">
        <f ca="1">IFERROR(__xludf.DUMMYFUNCTION("B507*GOOGLEFINANCE(""CURRENCY:CHFINR"")"),3287175663198.09)</f>
        <v>3287175663198.0898</v>
      </c>
    </row>
    <row r="508" spans="1:3" x14ac:dyDescent="0.25">
      <c r="A508" s="2">
        <v>507</v>
      </c>
      <c r="B508" s="2">
        <v>41088804761.904701</v>
      </c>
      <c r="C508" s="3">
        <f ca="1">IFERROR(__xludf.DUMMYFUNCTION("B508*GOOGLEFINANCE(""CURRENCY:CHFINR"")"),3297382334575.51)</f>
        <v>3297382334575.5098</v>
      </c>
    </row>
    <row r="509" spans="1:3" x14ac:dyDescent="0.25">
      <c r="A509" s="2">
        <v>508</v>
      </c>
      <c r="B509" s="2">
        <v>41215990476.190399</v>
      </c>
      <c r="C509" s="3">
        <f ca="1">IFERROR(__xludf.DUMMYFUNCTION("B509*GOOGLEFINANCE(""CURRENCY:CHFINR"")"),3307589005952.94)</f>
        <v>3307589005952.9399</v>
      </c>
    </row>
    <row r="510" spans="1:3" x14ac:dyDescent="0.25">
      <c r="A510" s="2">
        <v>509</v>
      </c>
      <c r="B510" s="2">
        <v>41343176190.476097</v>
      </c>
      <c r="C510" s="3">
        <f ca="1">IFERROR(__xludf.DUMMYFUNCTION("B510*GOOGLEFINANCE(""CURRENCY:CHFINR"")"),3317795677330.37)</f>
        <v>3317795677330.3701</v>
      </c>
    </row>
    <row r="511" spans="1:3" x14ac:dyDescent="0.25">
      <c r="A511" s="2">
        <v>510</v>
      </c>
      <c r="B511" s="2">
        <v>41470361904.761803</v>
      </c>
      <c r="C511" s="3">
        <f ca="1">IFERROR(__xludf.DUMMYFUNCTION("B511*GOOGLEFINANCE(""CURRENCY:CHFINR"")"),3328002348707.8)</f>
        <v>3328002348707.7998</v>
      </c>
    </row>
    <row r="512" spans="1:3" x14ac:dyDescent="0.25">
      <c r="A512" s="2">
        <v>511</v>
      </c>
      <c r="B512" s="2">
        <v>41597547619.047501</v>
      </c>
      <c r="C512" s="3">
        <f ca="1">IFERROR(__xludf.DUMMYFUNCTION("B512*GOOGLEFINANCE(""CURRENCY:CHFINR"")"),3338209020085.22)</f>
        <v>3338209020085.2202</v>
      </c>
    </row>
    <row r="513" spans="1:3" x14ac:dyDescent="0.25">
      <c r="A513" s="2">
        <v>512</v>
      </c>
      <c r="B513" s="2">
        <v>41724733333.333199</v>
      </c>
      <c r="C513" s="3">
        <f ca="1">IFERROR(__xludf.DUMMYFUNCTION("B513*GOOGLEFINANCE(""CURRENCY:CHFINR"")"),3348415691462.65)</f>
        <v>3348415691462.6499</v>
      </c>
    </row>
    <row r="514" spans="1:3" x14ac:dyDescent="0.25">
      <c r="A514" s="2">
        <v>513</v>
      </c>
      <c r="B514" s="2">
        <v>41851919047.619003</v>
      </c>
      <c r="C514" s="3">
        <f ca="1">IFERROR(__xludf.DUMMYFUNCTION("B514*GOOGLEFINANCE(""CURRENCY:CHFINR"")"),3358622362840.09)</f>
        <v>3358622362840.0898</v>
      </c>
    </row>
    <row r="515" spans="1:3" x14ac:dyDescent="0.25">
      <c r="A515" s="2">
        <v>514</v>
      </c>
      <c r="B515" s="2">
        <v>41979104761.904701</v>
      </c>
      <c r="C515" s="3">
        <f ca="1">IFERROR(__xludf.DUMMYFUNCTION("B515*GOOGLEFINANCE(""CURRENCY:CHFINR"")"),3368829034217.51)</f>
        <v>3368829034217.5098</v>
      </c>
    </row>
    <row r="516" spans="1:3" x14ac:dyDescent="0.25">
      <c r="A516" s="2">
        <v>515</v>
      </c>
      <c r="B516" s="2">
        <v>42106290476.190399</v>
      </c>
      <c r="C516" s="3">
        <f ca="1">IFERROR(__xludf.DUMMYFUNCTION("B516*GOOGLEFINANCE(""CURRENCY:CHFINR"")"),3379035705594.94)</f>
        <v>3379035705594.9399</v>
      </c>
    </row>
    <row r="517" spans="1:3" x14ac:dyDescent="0.25">
      <c r="A517" s="2">
        <v>516</v>
      </c>
      <c r="B517" s="2">
        <v>42233476190.476097</v>
      </c>
      <c r="C517" s="3">
        <f ca="1">IFERROR(__xludf.DUMMYFUNCTION("B517*GOOGLEFINANCE(""CURRENCY:CHFINR"")"),3389242376972.37)</f>
        <v>3389242376972.3701</v>
      </c>
    </row>
    <row r="518" spans="1:3" x14ac:dyDescent="0.25">
      <c r="A518" s="2">
        <v>517</v>
      </c>
      <c r="B518" s="2">
        <v>42360661904.761803</v>
      </c>
      <c r="C518" s="3">
        <f ca="1">IFERROR(__xludf.DUMMYFUNCTION("B518*GOOGLEFINANCE(""CURRENCY:CHFINR"")"),3399449048349.8)</f>
        <v>3399449048349.7998</v>
      </c>
    </row>
    <row r="519" spans="1:3" x14ac:dyDescent="0.25">
      <c r="A519" s="2">
        <v>518</v>
      </c>
      <c r="B519" s="2">
        <v>42487847619.047501</v>
      </c>
      <c r="C519" s="3">
        <f ca="1">IFERROR(__xludf.DUMMYFUNCTION("B519*GOOGLEFINANCE(""CURRENCY:CHFINR"")"),3409655719727.22)</f>
        <v>3409655719727.2202</v>
      </c>
    </row>
    <row r="520" spans="1:3" x14ac:dyDescent="0.25">
      <c r="A520" s="2">
        <v>519</v>
      </c>
      <c r="B520" s="2">
        <v>42615033333.333199</v>
      </c>
      <c r="C520" s="3">
        <f ca="1">IFERROR(__xludf.DUMMYFUNCTION("B520*GOOGLEFINANCE(""CURRENCY:CHFINR"")"),3419862391104.65)</f>
        <v>3419862391104.6499</v>
      </c>
    </row>
    <row r="521" spans="1:3" x14ac:dyDescent="0.25">
      <c r="A521" s="2">
        <v>520</v>
      </c>
      <c r="B521" s="2">
        <v>42742219047.619003</v>
      </c>
      <c r="C521" s="3">
        <f ca="1">IFERROR(__xludf.DUMMYFUNCTION("B521*GOOGLEFINANCE(""CURRENCY:CHFINR"")"),3430069062482.09)</f>
        <v>3430069062482.0898</v>
      </c>
    </row>
    <row r="522" spans="1:3" x14ac:dyDescent="0.25">
      <c r="A522" s="2">
        <v>521</v>
      </c>
      <c r="B522" s="2">
        <v>42869404761.904701</v>
      </c>
      <c r="C522" s="3">
        <f ca="1">IFERROR(__xludf.DUMMYFUNCTION("B522*GOOGLEFINANCE(""CURRENCY:CHFINR"")"),3440275733859.51)</f>
        <v>3440275733859.5098</v>
      </c>
    </row>
    <row r="523" spans="1:3" x14ac:dyDescent="0.25">
      <c r="A523" s="2">
        <v>522</v>
      </c>
      <c r="B523" s="2">
        <v>42996590476.190399</v>
      </c>
      <c r="C523" s="3">
        <f ca="1">IFERROR(__xludf.DUMMYFUNCTION("B523*GOOGLEFINANCE(""CURRENCY:CHFINR"")"),3450482405236.94)</f>
        <v>3450482405236.9399</v>
      </c>
    </row>
    <row r="524" spans="1:3" x14ac:dyDescent="0.25">
      <c r="A524" s="2">
        <v>523</v>
      </c>
      <c r="B524" s="2">
        <v>43123776190.476097</v>
      </c>
      <c r="C524" s="3">
        <f ca="1">IFERROR(__xludf.DUMMYFUNCTION("B524*GOOGLEFINANCE(""CURRENCY:CHFINR"")"),3460689076614.37)</f>
        <v>3460689076614.3701</v>
      </c>
    </row>
    <row r="525" spans="1:3" x14ac:dyDescent="0.25">
      <c r="A525" s="2">
        <v>524</v>
      </c>
      <c r="B525" s="2">
        <v>43250961904.761803</v>
      </c>
      <c r="C525" s="3">
        <f ca="1">IFERROR(__xludf.DUMMYFUNCTION("B525*GOOGLEFINANCE(""CURRENCY:CHFINR"")"),3470895747991.8)</f>
        <v>3470895747991.7998</v>
      </c>
    </row>
    <row r="526" spans="1:3" x14ac:dyDescent="0.25">
      <c r="A526" s="2">
        <v>525</v>
      </c>
      <c r="B526" s="2">
        <v>43378147619.047501</v>
      </c>
      <c r="C526" s="3">
        <f ca="1">IFERROR(__xludf.DUMMYFUNCTION("B526*GOOGLEFINANCE(""CURRENCY:CHFINR"")"),3481102419369.22)</f>
        <v>3481102419369.2202</v>
      </c>
    </row>
    <row r="527" spans="1:3" x14ac:dyDescent="0.25">
      <c r="A527" s="2">
        <v>526</v>
      </c>
      <c r="B527" s="2">
        <v>43505333333.333199</v>
      </c>
      <c r="C527" s="3">
        <f ca="1">IFERROR(__xludf.DUMMYFUNCTION("B527*GOOGLEFINANCE(""CURRENCY:CHFINR"")"),3491309090746.65)</f>
        <v>3491309090746.6499</v>
      </c>
    </row>
    <row r="528" spans="1:3" x14ac:dyDescent="0.25">
      <c r="A528" s="2">
        <v>527</v>
      </c>
      <c r="B528" s="2">
        <v>43632519047.619003</v>
      </c>
      <c r="C528" s="3">
        <f ca="1">IFERROR(__xludf.DUMMYFUNCTION("B528*GOOGLEFINANCE(""CURRENCY:CHFINR"")"),3501515762124.09)</f>
        <v>3501515762124.0898</v>
      </c>
    </row>
    <row r="529" spans="1:3" x14ac:dyDescent="0.25">
      <c r="A529" s="2">
        <v>528</v>
      </c>
      <c r="B529" s="2">
        <v>43759704761.904701</v>
      </c>
      <c r="C529" s="3">
        <f ca="1">IFERROR(__xludf.DUMMYFUNCTION("B529*GOOGLEFINANCE(""CURRENCY:CHFINR"")"),3511722433501.51)</f>
        <v>3511722433501.5098</v>
      </c>
    </row>
    <row r="530" spans="1:3" x14ac:dyDescent="0.25">
      <c r="A530" s="2">
        <v>529</v>
      </c>
      <c r="B530" s="2">
        <v>43886890476.190399</v>
      </c>
      <c r="C530" s="3">
        <f ca="1">IFERROR(__xludf.DUMMYFUNCTION("B530*GOOGLEFINANCE(""CURRENCY:CHFINR"")"),3521929104878.94)</f>
        <v>3521929104878.9399</v>
      </c>
    </row>
    <row r="531" spans="1:3" x14ac:dyDescent="0.25">
      <c r="A531" s="2">
        <v>530</v>
      </c>
      <c r="B531" s="2">
        <v>44014076190.476097</v>
      </c>
      <c r="C531" s="3">
        <f ca="1">IFERROR(__xludf.DUMMYFUNCTION("B531*GOOGLEFINANCE(""CURRENCY:CHFINR"")"),3532135776256.37)</f>
        <v>3532135776256.3701</v>
      </c>
    </row>
    <row r="532" spans="1:3" x14ac:dyDescent="0.25">
      <c r="A532" s="2">
        <v>531</v>
      </c>
      <c r="B532" s="2">
        <v>44141261904.761803</v>
      </c>
      <c r="C532" s="3">
        <f ca="1">IFERROR(__xludf.DUMMYFUNCTION("B532*GOOGLEFINANCE(""CURRENCY:CHFINR"")"),3542342447633.8)</f>
        <v>3542342447633.7998</v>
      </c>
    </row>
    <row r="533" spans="1:3" x14ac:dyDescent="0.25">
      <c r="A533" s="2">
        <v>532</v>
      </c>
      <c r="B533" s="2">
        <v>44268447619.047501</v>
      </c>
      <c r="C533" s="3">
        <f ca="1">IFERROR(__xludf.DUMMYFUNCTION("B533*GOOGLEFINANCE(""CURRENCY:CHFINR"")"),3552549119011.22)</f>
        <v>3552549119011.2202</v>
      </c>
    </row>
    <row r="534" spans="1:3" x14ac:dyDescent="0.25">
      <c r="A534" s="2">
        <v>533</v>
      </c>
      <c r="B534" s="2">
        <v>44395633333.333199</v>
      </c>
      <c r="C534" s="3">
        <f ca="1">IFERROR(__xludf.DUMMYFUNCTION("B534*GOOGLEFINANCE(""CURRENCY:CHFINR"")"),3562755790388.65)</f>
        <v>3562755790388.6499</v>
      </c>
    </row>
    <row r="535" spans="1:3" x14ac:dyDescent="0.25">
      <c r="A535" s="2">
        <v>534</v>
      </c>
      <c r="B535" s="2">
        <v>44522819047.619003</v>
      </c>
      <c r="C535" s="3">
        <f ca="1">IFERROR(__xludf.DUMMYFUNCTION("B535*GOOGLEFINANCE(""CURRENCY:CHFINR"")"),3572962461766.09)</f>
        <v>3572962461766.0898</v>
      </c>
    </row>
    <row r="536" spans="1:3" x14ac:dyDescent="0.25">
      <c r="A536" s="2">
        <v>535</v>
      </c>
      <c r="B536" s="2">
        <v>44650004761.904701</v>
      </c>
      <c r="C536" s="3">
        <f ca="1">IFERROR(__xludf.DUMMYFUNCTION("B536*GOOGLEFINANCE(""CURRENCY:CHFINR"")"),3583169133143.51)</f>
        <v>3583169133143.5098</v>
      </c>
    </row>
    <row r="537" spans="1:3" x14ac:dyDescent="0.25">
      <c r="A537" s="2">
        <v>536</v>
      </c>
      <c r="B537" s="2">
        <v>44777190476.190399</v>
      </c>
      <c r="C537" s="3">
        <f ca="1">IFERROR(__xludf.DUMMYFUNCTION("B537*GOOGLEFINANCE(""CURRENCY:CHFINR"")"),3593375804520.94)</f>
        <v>3593375804520.9399</v>
      </c>
    </row>
    <row r="538" spans="1:3" x14ac:dyDescent="0.25">
      <c r="A538" s="2">
        <v>537</v>
      </c>
      <c r="B538" s="2">
        <v>44904376190.476097</v>
      </c>
      <c r="C538" s="3">
        <f ca="1">IFERROR(__xludf.DUMMYFUNCTION("B538*GOOGLEFINANCE(""CURRENCY:CHFINR"")"),3603582475898.37)</f>
        <v>3603582475898.3701</v>
      </c>
    </row>
    <row r="539" spans="1:3" x14ac:dyDescent="0.25">
      <c r="A539" s="2">
        <v>538</v>
      </c>
      <c r="B539" s="2">
        <v>45031561904.761803</v>
      </c>
      <c r="C539" s="3">
        <f ca="1">IFERROR(__xludf.DUMMYFUNCTION("B539*GOOGLEFINANCE(""CURRENCY:CHFINR"")"),3613789147275.8)</f>
        <v>3613789147275.7998</v>
      </c>
    </row>
    <row r="540" spans="1:3" x14ac:dyDescent="0.25">
      <c r="A540" s="2">
        <v>539</v>
      </c>
      <c r="B540" s="2">
        <v>45158747619.047501</v>
      </c>
      <c r="C540" s="3">
        <f ca="1">IFERROR(__xludf.DUMMYFUNCTION("B540*GOOGLEFINANCE(""CURRENCY:CHFINR"")"),3623995818653.22)</f>
        <v>3623995818653.2202</v>
      </c>
    </row>
    <row r="541" spans="1:3" x14ac:dyDescent="0.25">
      <c r="A541" s="2">
        <v>540</v>
      </c>
      <c r="B541" s="2">
        <v>45285933333.333199</v>
      </c>
      <c r="C541" s="3">
        <f ca="1">IFERROR(__xludf.DUMMYFUNCTION("B541*GOOGLEFINANCE(""CURRENCY:CHFINR"")"),3634202490030.65)</f>
        <v>3634202490030.6499</v>
      </c>
    </row>
    <row r="542" spans="1:3" x14ac:dyDescent="0.25">
      <c r="A542" s="2">
        <v>541</v>
      </c>
      <c r="B542" s="2">
        <v>45413119047.619003</v>
      </c>
      <c r="C542" s="3">
        <f ca="1">IFERROR(__xludf.DUMMYFUNCTION("B542*GOOGLEFINANCE(""CURRENCY:CHFINR"")"),3644409161408.09)</f>
        <v>3644409161408.0898</v>
      </c>
    </row>
    <row r="543" spans="1:3" x14ac:dyDescent="0.25">
      <c r="A543" s="2">
        <v>542</v>
      </c>
      <c r="B543" s="2">
        <v>45540304761.904701</v>
      </c>
      <c r="C543" s="3">
        <f ca="1">IFERROR(__xludf.DUMMYFUNCTION("B543*GOOGLEFINANCE(""CURRENCY:CHFINR"")"),3654615832785.51)</f>
        <v>3654615832785.5098</v>
      </c>
    </row>
    <row r="544" spans="1:3" x14ac:dyDescent="0.25">
      <c r="A544" s="2">
        <v>543</v>
      </c>
      <c r="B544" s="2">
        <v>45667490476.190399</v>
      </c>
      <c r="C544" s="3">
        <f ca="1">IFERROR(__xludf.DUMMYFUNCTION("B544*GOOGLEFINANCE(""CURRENCY:CHFINR"")"),3664822504162.94)</f>
        <v>3664822504162.9399</v>
      </c>
    </row>
    <row r="545" spans="1:3" x14ac:dyDescent="0.25">
      <c r="A545" s="2">
        <v>544</v>
      </c>
      <c r="B545" s="2">
        <v>45794676190.476097</v>
      </c>
      <c r="C545" s="3">
        <f ca="1">IFERROR(__xludf.DUMMYFUNCTION("B545*GOOGLEFINANCE(""CURRENCY:CHFINR"")"),3675029175540.37)</f>
        <v>3675029175540.3701</v>
      </c>
    </row>
    <row r="546" spans="1:3" x14ac:dyDescent="0.25">
      <c r="A546" s="2">
        <v>545</v>
      </c>
      <c r="B546" s="2">
        <v>45921861904.761803</v>
      </c>
      <c r="C546" s="3">
        <f ca="1">IFERROR(__xludf.DUMMYFUNCTION("B546*GOOGLEFINANCE(""CURRENCY:CHFINR"")"),3685235846917.8)</f>
        <v>3685235846917.7998</v>
      </c>
    </row>
    <row r="547" spans="1:3" x14ac:dyDescent="0.25">
      <c r="A547" s="2">
        <v>546</v>
      </c>
      <c r="B547" s="2">
        <v>46049047619.047501</v>
      </c>
      <c r="C547" s="3">
        <f ca="1">IFERROR(__xludf.DUMMYFUNCTION("B547*GOOGLEFINANCE(""CURRENCY:CHFINR"")"),3695442518295.22)</f>
        <v>3695442518295.2202</v>
      </c>
    </row>
    <row r="548" spans="1:3" x14ac:dyDescent="0.25">
      <c r="A548" s="2">
        <v>547</v>
      </c>
      <c r="B548" s="2">
        <v>46176233333.333199</v>
      </c>
      <c r="C548" s="3">
        <f ca="1">IFERROR(__xludf.DUMMYFUNCTION("B548*GOOGLEFINANCE(""CURRENCY:CHFINR"")"),3705649189672.65)</f>
        <v>3705649189672.6499</v>
      </c>
    </row>
    <row r="549" spans="1:3" x14ac:dyDescent="0.25">
      <c r="A549" s="2">
        <v>548</v>
      </c>
      <c r="B549" s="2">
        <v>46303419047.619003</v>
      </c>
      <c r="C549" s="3">
        <f ca="1">IFERROR(__xludf.DUMMYFUNCTION("B549*GOOGLEFINANCE(""CURRENCY:CHFINR"")"),3715855861050.09)</f>
        <v>3715855861050.0898</v>
      </c>
    </row>
    <row r="550" spans="1:3" x14ac:dyDescent="0.25">
      <c r="A550" s="2">
        <v>549</v>
      </c>
      <c r="B550" s="2">
        <v>46430604761.904701</v>
      </c>
      <c r="C550" s="3">
        <f ca="1">IFERROR(__xludf.DUMMYFUNCTION("B550*GOOGLEFINANCE(""CURRENCY:CHFINR"")"),3726062532427.51)</f>
        <v>3726062532427.5098</v>
      </c>
    </row>
    <row r="551" spans="1:3" x14ac:dyDescent="0.25">
      <c r="A551" s="2">
        <v>550</v>
      </c>
      <c r="B551" s="2">
        <v>46557790476.190399</v>
      </c>
      <c r="C551" s="3">
        <f ca="1">IFERROR(__xludf.DUMMYFUNCTION("B551*GOOGLEFINANCE(""CURRENCY:CHFINR"")"),3736269203804.94)</f>
        <v>3736269203804.9399</v>
      </c>
    </row>
    <row r="552" spans="1:3" x14ac:dyDescent="0.25">
      <c r="A552" s="2">
        <v>551</v>
      </c>
      <c r="B552" s="2">
        <v>46684976190.476097</v>
      </c>
      <c r="C552" s="3">
        <f ca="1">IFERROR(__xludf.DUMMYFUNCTION("B552*GOOGLEFINANCE(""CURRENCY:CHFINR"")"),3746475875182.37)</f>
        <v>3746475875182.3701</v>
      </c>
    </row>
    <row r="553" spans="1:3" x14ac:dyDescent="0.25">
      <c r="A553" s="2">
        <v>552</v>
      </c>
      <c r="B553" s="2">
        <v>46812161904.761803</v>
      </c>
      <c r="C553" s="3">
        <f ca="1">IFERROR(__xludf.DUMMYFUNCTION("B553*GOOGLEFINANCE(""CURRENCY:CHFINR"")"),3756682546559.8)</f>
        <v>3756682546559.7998</v>
      </c>
    </row>
    <row r="554" spans="1:3" x14ac:dyDescent="0.25">
      <c r="A554" s="2">
        <v>553</v>
      </c>
      <c r="B554" s="2">
        <v>46939347619.047501</v>
      </c>
      <c r="C554" s="3">
        <f ca="1">IFERROR(__xludf.DUMMYFUNCTION("B554*GOOGLEFINANCE(""CURRENCY:CHFINR"")"),3766889217937.22)</f>
        <v>3766889217937.2202</v>
      </c>
    </row>
    <row r="555" spans="1:3" x14ac:dyDescent="0.25">
      <c r="A555" s="2">
        <v>554</v>
      </c>
      <c r="B555" s="2">
        <v>47066533333.333199</v>
      </c>
      <c r="C555" s="3">
        <f ca="1">IFERROR(__xludf.DUMMYFUNCTION("B555*GOOGLEFINANCE(""CURRENCY:CHFINR"")"),3777095889314.65)</f>
        <v>3777095889314.6499</v>
      </c>
    </row>
    <row r="556" spans="1:3" x14ac:dyDescent="0.25">
      <c r="A556" s="2">
        <v>555</v>
      </c>
      <c r="B556" s="2">
        <v>47193719047.618896</v>
      </c>
      <c r="C556" s="3">
        <f ca="1">IFERROR(__xludf.DUMMYFUNCTION("B556*GOOGLEFINANCE(""CURRENCY:CHFINR"")"),3787302560692.08)</f>
        <v>3787302560692.0801</v>
      </c>
    </row>
    <row r="557" spans="1:3" x14ac:dyDescent="0.25">
      <c r="A557" s="2">
        <v>556</v>
      </c>
      <c r="B557" s="2">
        <v>47320904761.904701</v>
      </c>
      <c r="C557" s="3">
        <f ca="1">IFERROR(__xludf.DUMMYFUNCTION("B557*GOOGLEFINANCE(""CURRENCY:CHFINR"")"),3797509232069.51)</f>
        <v>3797509232069.5098</v>
      </c>
    </row>
    <row r="558" spans="1:3" x14ac:dyDescent="0.25">
      <c r="A558" s="2">
        <v>557</v>
      </c>
      <c r="B558" s="2">
        <v>47448090476.190399</v>
      </c>
      <c r="C558" s="3">
        <f ca="1">IFERROR(__xludf.DUMMYFUNCTION("B558*GOOGLEFINANCE(""CURRENCY:CHFINR"")"),3807715903446.94)</f>
        <v>3807715903446.9399</v>
      </c>
    </row>
    <row r="559" spans="1:3" x14ac:dyDescent="0.25">
      <c r="A559" s="2">
        <v>558</v>
      </c>
      <c r="B559" s="2">
        <v>47575276190.476097</v>
      </c>
      <c r="C559" s="3">
        <f ca="1">IFERROR(__xludf.DUMMYFUNCTION("B559*GOOGLEFINANCE(""CURRENCY:CHFINR"")"),3817922574824.37)</f>
        <v>3817922574824.3701</v>
      </c>
    </row>
    <row r="560" spans="1:3" x14ac:dyDescent="0.25">
      <c r="A560" s="2">
        <v>559</v>
      </c>
      <c r="B560" s="2">
        <v>47702461904.761803</v>
      </c>
      <c r="C560" s="3">
        <f ca="1">IFERROR(__xludf.DUMMYFUNCTION("B560*GOOGLEFINANCE(""CURRENCY:CHFINR"")"),3828129246201.8)</f>
        <v>3828129246201.7998</v>
      </c>
    </row>
    <row r="561" spans="1:3" x14ac:dyDescent="0.25">
      <c r="A561" s="2">
        <v>560</v>
      </c>
      <c r="B561" s="2">
        <v>47829647619.047501</v>
      </c>
      <c r="C561" s="3">
        <f ca="1">IFERROR(__xludf.DUMMYFUNCTION("B561*GOOGLEFINANCE(""CURRENCY:CHFINR"")"),3838335917579.22)</f>
        <v>3838335917579.2202</v>
      </c>
    </row>
    <row r="562" spans="1:3" x14ac:dyDescent="0.25">
      <c r="A562" s="2">
        <v>561</v>
      </c>
      <c r="B562" s="2">
        <v>47956833333.333199</v>
      </c>
      <c r="C562" s="3">
        <f ca="1">IFERROR(__xludf.DUMMYFUNCTION("B562*GOOGLEFINANCE(""CURRENCY:CHFINR"")"),3848542588956.65)</f>
        <v>3848542588956.6499</v>
      </c>
    </row>
    <row r="563" spans="1:3" x14ac:dyDescent="0.25">
      <c r="A563" s="2">
        <v>562</v>
      </c>
      <c r="B563" s="2">
        <v>48084019047.618896</v>
      </c>
      <c r="C563" s="3">
        <f ca="1">IFERROR(__xludf.DUMMYFUNCTION("B563*GOOGLEFINANCE(""CURRENCY:CHFINR"")"),3858749260334.08)</f>
        <v>3858749260334.0801</v>
      </c>
    </row>
    <row r="564" spans="1:3" x14ac:dyDescent="0.25">
      <c r="A564" s="2">
        <v>563</v>
      </c>
      <c r="B564" s="2">
        <v>48211204761.904701</v>
      </c>
      <c r="C564" s="3">
        <f ca="1">IFERROR(__xludf.DUMMYFUNCTION("B564*GOOGLEFINANCE(""CURRENCY:CHFINR"")"),3868955931711.51)</f>
        <v>3868955931711.5098</v>
      </c>
    </row>
    <row r="565" spans="1:3" x14ac:dyDescent="0.25">
      <c r="A565" s="2">
        <v>564</v>
      </c>
      <c r="B565" s="2">
        <v>48338390476.190399</v>
      </c>
      <c r="C565" s="3">
        <f ca="1">IFERROR(__xludf.DUMMYFUNCTION("B565*GOOGLEFINANCE(""CURRENCY:CHFINR"")"),3879162603088.94)</f>
        <v>3879162603088.9399</v>
      </c>
    </row>
    <row r="566" spans="1:3" x14ac:dyDescent="0.25">
      <c r="A566" s="2">
        <v>565</v>
      </c>
      <c r="B566" s="2">
        <v>48465576190.476097</v>
      </c>
      <c r="C566" s="3">
        <f ca="1">IFERROR(__xludf.DUMMYFUNCTION("B566*GOOGLEFINANCE(""CURRENCY:CHFINR"")"),3889369274466.37)</f>
        <v>3889369274466.3701</v>
      </c>
    </row>
    <row r="567" spans="1:3" x14ac:dyDescent="0.25">
      <c r="A567" s="2">
        <v>566</v>
      </c>
      <c r="B567" s="2">
        <v>48592761904.761803</v>
      </c>
      <c r="C567" s="3">
        <f ca="1">IFERROR(__xludf.DUMMYFUNCTION("B567*GOOGLEFINANCE(""CURRENCY:CHFINR"")"),3899575945843.8)</f>
        <v>3899575945843.7998</v>
      </c>
    </row>
    <row r="568" spans="1:3" x14ac:dyDescent="0.25">
      <c r="A568" s="2">
        <v>567</v>
      </c>
      <c r="B568" s="2">
        <v>48719947619.047501</v>
      </c>
      <c r="C568" s="3">
        <f ca="1">IFERROR(__xludf.DUMMYFUNCTION("B568*GOOGLEFINANCE(""CURRENCY:CHFINR"")"),3909782617221.22)</f>
        <v>3909782617221.2202</v>
      </c>
    </row>
    <row r="569" spans="1:3" x14ac:dyDescent="0.25">
      <c r="A569" s="2">
        <v>568</v>
      </c>
      <c r="B569" s="2">
        <v>48847133333.333199</v>
      </c>
      <c r="C569" s="3">
        <f ca="1">IFERROR(__xludf.DUMMYFUNCTION("B569*GOOGLEFINANCE(""CURRENCY:CHFINR"")"),3919989288598.65)</f>
        <v>3919989288598.6499</v>
      </c>
    </row>
    <row r="570" spans="1:3" x14ac:dyDescent="0.25">
      <c r="A570" s="2">
        <v>569</v>
      </c>
      <c r="B570" s="2">
        <v>48974319047.618896</v>
      </c>
      <c r="C570" s="3">
        <f ca="1">IFERROR(__xludf.DUMMYFUNCTION("B570*GOOGLEFINANCE(""CURRENCY:CHFINR"")"),3930195959976.08)</f>
        <v>3930195959976.0801</v>
      </c>
    </row>
    <row r="571" spans="1:3" x14ac:dyDescent="0.25">
      <c r="A571" s="2">
        <v>570</v>
      </c>
      <c r="B571" s="2">
        <v>49101504761.904701</v>
      </c>
      <c r="C571" s="3">
        <f ca="1">IFERROR(__xludf.DUMMYFUNCTION("B571*GOOGLEFINANCE(""CURRENCY:CHFINR"")"),3940402631353.51)</f>
        <v>3940402631353.5098</v>
      </c>
    </row>
    <row r="572" spans="1:3" x14ac:dyDescent="0.25">
      <c r="A572" s="2">
        <v>571</v>
      </c>
      <c r="B572" s="2">
        <v>49228690476.190399</v>
      </c>
      <c r="C572" s="3">
        <f ca="1">IFERROR(__xludf.DUMMYFUNCTION("B572*GOOGLEFINANCE(""CURRENCY:CHFINR"")"),3950609302730.94)</f>
        <v>3950609302730.9399</v>
      </c>
    </row>
    <row r="573" spans="1:3" x14ac:dyDescent="0.25">
      <c r="A573" s="2">
        <v>572</v>
      </c>
      <c r="B573" s="2">
        <v>49355876190.476097</v>
      </c>
      <c r="C573" s="3">
        <f ca="1">IFERROR(__xludf.DUMMYFUNCTION("B573*GOOGLEFINANCE(""CURRENCY:CHFINR"")"),3960815974108.37)</f>
        <v>3960815974108.3701</v>
      </c>
    </row>
    <row r="574" spans="1:3" x14ac:dyDescent="0.25">
      <c r="A574" s="2">
        <v>573</v>
      </c>
      <c r="B574" s="2">
        <v>49483061904.761803</v>
      </c>
      <c r="C574" s="3">
        <f ca="1">IFERROR(__xludf.DUMMYFUNCTION("B574*GOOGLEFINANCE(""CURRENCY:CHFINR"")"),3971022645485.8)</f>
        <v>3971022645485.7998</v>
      </c>
    </row>
    <row r="575" spans="1:3" x14ac:dyDescent="0.25">
      <c r="A575" s="2">
        <v>574</v>
      </c>
      <c r="B575" s="2">
        <v>49610247619.047501</v>
      </c>
      <c r="C575" s="3">
        <f ca="1">IFERROR(__xludf.DUMMYFUNCTION("B575*GOOGLEFINANCE(""CURRENCY:CHFINR"")"),3981229316863.22)</f>
        <v>3981229316863.2202</v>
      </c>
    </row>
    <row r="576" spans="1:3" x14ac:dyDescent="0.25">
      <c r="A576" s="2">
        <v>575</v>
      </c>
      <c r="B576" s="2">
        <v>49737433333.333199</v>
      </c>
      <c r="C576" s="3">
        <f ca="1">IFERROR(__xludf.DUMMYFUNCTION("B576*GOOGLEFINANCE(""CURRENCY:CHFINR"")"),3991435988240.65)</f>
        <v>3991435988240.6499</v>
      </c>
    </row>
    <row r="577" spans="1:3" x14ac:dyDescent="0.25">
      <c r="A577" s="2">
        <v>576</v>
      </c>
      <c r="B577" s="2">
        <v>49864619047.618896</v>
      </c>
      <c r="C577" s="3">
        <f ca="1">IFERROR(__xludf.DUMMYFUNCTION("B577*GOOGLEFINANCE(""CURRENCY:CHFINR"")"),4001642659618.08)</f>
        <v>4001642659618.0801</v>
      </c>
    </row>
    <row r="578" spans="1:3" x14ac:dyDescent="0.25">
      <c r="A578" s="2">
        <v>577</v>
      </c>
      <c r="B578" s="2">
        <v>49991804761.904701</v>
      </c>
      <c r="C578" s="3">
        <f ca="1">IFERROR(__xludf.DUMMYFUNCTION("B578*GOOGLEFINANCE(""CURRENCY:CHFINR"")"),4011849330995.51)</f>
        <v>4011849330995.5098</v>
      </c>
    </row>
    <row r="579" spans="1:3" x14ac:dyDescent="0.25">
      <c r="A579" s="2">
        <v>578</v>
      </c>
      <c r="B579" s="2">
        <v>50118990476.190399</v>
      </c>
      <c r="C579" s="3">
        <f ca="1">IFERROR(__xludf.DUMMYFUNCTION("B579*GOOGLEFINANCE(""CURRENCY:CHFINR"")"),4022056002372.94)</f>
        <v>4022056002372.9399</v>
      </c>
    </row>
    <row r="580" spans="1:3" x14ac:dyDescent="0.25">
      <c r="A580" s="2">
        <v>579</v>
      </c>
      <c r="B580" s="2">
        <v>50246176190.476097</v>
      </c>
      <c r="C580" s="3">
        <f ca="1">IFERROR(__xludf.DUMMYFUNCTION("B580*GOOGLEFINANCE(""CURRENCY:CHFINR"")"),4032262673750.37)</f>
        <v>4032262673750.3701</v>
      </c>
    </row>
    <row r="581" spans="1:3" x14ac:dyDescent="0.25">
      <c r="A581" s="2">
        <v>580</v>
      </c>
      <c r="B581" s="2">
        <v>50373361904.761803</v>
      </c>
      <c r="C581" s="3">
        <f ca="1">IFERROR(__xludf.DUMMYFUNCTION("B581*GOOGLEFINANCE(""CURRENCY:CHFINR"")"),4042469345127.8)</f>
        <v>4042469345127.7998</v>
      </c>
    </row>
    <row r="582" spans="1:3" x14ac:dyDescent="0.25">
      <c r="A582" s="2">
        <v>581</v>
      </c>
      <c r="B582" s="2">
        <v>50500547619.047501</v>
      </c>
      <c r="C582" s="3">
        <f ca="1">IFERROR(__xludf.DUMMYFUNCTION("B582*GOOGLEFINANCE(""CURRENCY:CHFINR"")"),4052676016505.22)</f>
        <v>4052676016505.2202</v>
      </c>
    </row>
    <row r="583" spans="1:3" x14ac:dyDescent="0.25">
      <c r="A583" s="2">
        <v>582</v>
      </c>
      <c r="B583" s="2">
        <v>50627733333.333199</v>
      </c>
      <c r="C583" s="3">
        <f ca="1">IFERROR(__xludf.DUMMYFUNCTION("B583*GOOGLEFINANCE(""CURRENCY:CHFINR"")"),4062882687882.65)</f>
        <v>4062882687882.6499</v>
      </c>
    </row>
    <row r="584" spans="1:3" x14ac:dyDescent="0.25">
      <c r="A584" s="2">
        <v>583</v>
      </c>
      <c r="B584" s="2">
        <v>50754919047.618896</v>
      </c>
      <c r="C584" s="3">
        <f ca="1">IFERROR(__xludf.DUMMYFUNCTION("B584*GOOGLEFINANCE(""CURRENCY:CHFINR"")"),4073089359260.08)</f>
        <v>4073089359260.0801</v>
      </c>
    </row>
    <row r="585" spans="1:3" x14ac:dyDescent="0.25">
      <c r="A585" s="2">
        <v>584</v>
      </c>
      <c r="B585" s="2">
        <v>50882104761.904701</v>
      </c>
      <c r="C585" s="3">
        <f ca="1">IFERROR(__xludf.DUMMYFUNCTION("B585*GOOGLEFINANCE(""CURRENCY:CHFINR"")"),4083296030637.51)</f>
        <v>4083296030637.5098</v>
      </c>
    </row>
    <row r="586" spans="1:3" x14ac:dyDescent="0.25">
      <c r="A586" s="2">
        <v>585</v>
      </c>
      <c r="B586" s="2">
        <v>51009290476.190399</v>
      </c>
      <c r="C586" s="3">
        <f ca="1">IFERROR(__xludf.DUMMYFUNCTION("B586*GOOGLEFINANCE(""CURRENCY:CHFINR"")"),4093502702014.94)</f>
        <v>4093502702014.9399</v>
      </c>
    </row>
    <row r="587" spans="1:3" x14ac:dyDescent="0.25">
      <c r="A587" s="2">
        <v>586</v>
      </c>
      <c r="B587" s="2">
        <v>51136476190.476097</v>
      </c>
      <c r="C587" s="3">
        <f ca="1">IFERROR(__xludf.DUMMYFUNCTION("B587*GOOGLEFINANCE(""CURRENCY:CHFINR"")"),4103709373392.37)</f>
        <v>4103709373392.3701</v>
      </c>
    </row>
    <row r="588" spans="1:3" x14ac:dyDescent="0.25">
      <c r="A588" s="2">
        <v>587</v>
      </c>
      <c r="B588" s="2">
        <v>51263661904.761803</v>
      </c>
      <c r="C588" s="3">
        <f ca="1">IFERROR(__xludf.DUMMYFUNCTION("B588*GOOGLEFINANCE(""CURRENCY:CHFINR"")"),4113916044769.8)</f>
        <v>4113916044769.7998</v>
      </c>
    </row>
    <row r="589" spans="1:3" x14ac:dyDescent="0.25">
      <c r="A589" s="2">
        <v>588</v>
      </c>
      <c r="B589" s="2">
        <v>51390847619.047501</v>
      </c>
      <c r="C589" s="3">
        <f ca="1">IFERROR(__xludf.DUMMYFUNCTION("B589*GOOGLEFINANCE(""CURRENCY:CHFINR"")"),4124122716147.22)</f>
        <v>4124122716147.2202</v>
      </c>
    </row>
    <row r="590" spans="1:3" x14ac:dyDescent="0.25">
      <c r="A590" s="2">
        <v>589</v>
      </c>
      <c r="B590" s="2">
        <v>51518033333.333199</v>
      </c>
      <c r="C590" s="3">
        <f ca="1">IFERROR(__xludf.DUMMYFUNCTION("B590*GOOGLEFINANCE(""CURRENCY:CHFINR"")"),4134329387524.65)</f>
        <v>4134329387524.6499</v>
      </c>
    </row>
    <row r="591" spans="1:3" x14ac:dyDescent="0.25">
      <c r="A591" s="2">
        <v>590</v>
      </c>
      <c r="B591" s="2">
        <v>51645219047.618896</v>
      </c>
      <c r="C591" s="3">
        <f ca="1">IFERROR(__xludf.DUMMYFUNCTION("B591*GOOGLEFINANCE(""CURRENCY:CHFINR"")"),4144536058902.08)</f>
        <v>4144536058902.0801</v>
      </c>
    </row>
    <row r="592" spans="1:3" x14ac:dyDescent="0.25">
      <c r="A592" s="2">
        <v>591</v>
      </c>
      <c r="B592" s="2">
        <v>51772404761.904701</v>
      </c>
      <c r="C592" s="3">
        <f ca="1">IFERROR(__xludf.DUMMYFUNCTION("B592*GOOGLEFINANCE(""CURRENCY:CHFINR"")"),4154742730279.51)</f>
        <v>4154742730279.5098</v>
      </c>
    </row>
    <row r="593" spans="1:3" x14ac:dyDescent="0.25">
      <c r="A593" s="2">
        <v>592</v>
      </c>
      <c r="B593" s="2">
        <v>51899590476.190399</v>
      </c>
      <c r="C593" s="3">
        <f ca="1">IFERROR(__xludf.DUMMYFUNCTION("B593*GOOGLEFINANCE(""CURRENCY:CHFINR"")"),4164949401656.94)</f>
        <v>4164949401656.9399</v>
      </c>
    </row>
    <row r="594" spans="1:3" x14ac:dyDescent="0.25">
      <c r="A594" s="2">
        <v>593</v>
      </c>
      <c r="B594" s="2">
        <v>52026776190.476097</v>
      </c>
      <c r="C594" s="3">
        <f ca="1">IFERROR(__xludf.DUMMYFUNCTION("B594*GOOGLEFINANCE(""CURRENCY:CHFINR"")"),4175156073034.37)</f>
        <v>4175156073034.3701</v>
      </c>
    </row>
    <row r="595" spans="1:3" x14ac:dyDescent="0.25">
      <c r="A595" s="2">
        <v>594</v>
      </c>
      <c r="B595" s="2">
        <v>52153961904.761803</v>
      </c>
      <c r="C595" s="3">
        <f ca="1">IFERROR(__xludf.DUMMYFUNCTION("B595*GOOGLEFINANCE(""CURRENCY:CHFINR"")"),4185362744411.8)</f>
        <v>4185362744411.7998</v>
      </c>
    </row>
    <row r="596" spans="1:3" x14ac:dyDescent="0.25">
      <c r="A596" s="2">
        <v>595</v>
      </c>
      <c r="B596" s="2">
        <v>52281147619.047501</v>
      </c>
      <c r="C596" s="3">
        <f ca="1">IFERROR(__xludf.DUMMYFUNCTION("B596*GOOGLEFINANCE(""CURRENCY:CHFINR"")"),4195569415789.22)</f>
        <v>4195569415789.2202</v>
      </c>
    </row>
    <row r="597" spans="1:3" x14ac:dyDescent="0.25">
      <c r="A597" s="2">
        <v>596</v>
      </c>
      <c r="B597" s="2">
        <v>52408333333.333199</v>
      </c>
      <c r="C597" s="3">
        <f ca="1">IFERROR(__xludf.DUMMYFUNCTION("B597*GOOGLEFINANCE(""CURRENCY:CHFINR"")"),4205776087166.65)</f>
        <v>4205776087166.6499</v>
      </c>
    </row>
    <row r="598" spans="1:3" x14ac:dyDescent="0.25">
      <c r="A598" s="2">
        <v>597</v>
      </c>
      <c r="B598" s="2">
        <v>52535519047.618896</v>
      </c>
      <c r="C598" s="3">
        <f ca="1">IFERROR(__xludf.DUMMYFUNCTION("B598*GOOGLEFINANCE(""CURRENCY:CHFINR"")"),4215982758544.08)</f>
        <v>4215982758544.0801</v>
      </c>
    </row>
    <row r="599" spans="1:3" x14ac:dyDescent="0.25">
      <c r="A599" s="2">
        <v>598</v>
      </c>
      <c r="B599" s="2">
        <v>52662704761.904701</v>
      </c>
      <c r="C599" s="3">
        <f ca="1">IFERROR(__xludf.DUMMYFUNCTION("B599*GOOGLEFINANCE(""CURRENCY:CHFINR"")"),4226189429921.51)</f>
        <v>4226189429921.5098</v>
      </c>
    </row>
    <row r="600" spans="1:3" x14ac:dyDescent="0.25">
      <c r="A600" s="2">
        <v>599</v>
      </c>
      <c r="B600" s="2">
        <v>52789890476.190399</v>
      </c>
      <c r="C600" s="3">
        <f ca="1">IFERROR(__xludf.DUMMYFUNCTION("B600*GOOGLEFINANCE(""CURRENCY:CHFINR"")"),4236396101298.94)</f>
        <v>4236396101298.9399</v>
      </c>
    </row>
    <row r="601" spans="1:3" x14ac:dyDescent="0.25">
      <c r="A601" s="2">
        <v>600</v>
      </c>
      <c r="B601" s="2">
        <v>52917076190.476097</v>
      </c>
      <c r="C601" s="3">
        <f ca="1">IFERROR(__xludf.DUMMYFUNCTION("B601*GOOGLEFINANCE(""CURRENCY:CHFINR"")"),4246602772676.37)</f>
        <v>4246602772676.3701</v>
      </c>
    </row>
    <row r="602" spans="1:3" x14ac:dyDescent="0.25">
      <c r="A602" s="2">
        <v>601</v>
      </c>
      <c r="B602" s="2">
        <v>53044261904.761803</v>
      </c>
      <c r="C602" s="3">
        <f ca="1">IFERROR(__xludf.DUMMYFUNCTION("B602*GOOGLEFINANCE(""CURRENCY:CHFINR"")"),4256809444053.8)</f>
        <v>4256809444053.7998</v>
      </c>
    </row>
    <row r="603" spans="1:3" x14ac:dyDescent="0.25">
      <c r="A603" s="2">
        <v>602</v>
      </c>
      <c r="B603" s="2">
        <v>53171447619.047501</v>
      </c>
      <c r="C603" s="3">
        <f ca="1">IFERROR(__xludf.DUMMYFUNCTION("B603*GOOGLEFINANCE(""CURRENCY:CHFINR"")"),4267016115431.22)</f>
        <v>4267016115431.2202</v>
      </c>
    </row>
    <row r="604" spans="1:3" x14ac:dyDescent="0.25">
      <c r="A604" s="2">
        <v>603</v>
      </c>
      <c r="B604" s="2">
        <v>53298633333.333199</v>
      </c>
      <c r="C604" s="3">
        <f ca="1">IFERROR(__xludf.DUMMYFUNCTION("B604*GOOGLEFINANCE(""CURRENCY:CHFINR"")"),4277222786808.65)</f>
        <v>4277222786808.6499</v>
      </c>
    </row>
    <row r="605" spans="1:3" x14ac:dyDescent="0.25">
      <c r="A605" s="2">
        <v>604</v>
      </c>
      <c r="B605" s="2">
        <v>53425819047.618896</v>
      </c>
      <c r="C605" s="3">
        <f ca="1">IFERROR(__xludf.DUMMYFUNCTION("B605*GOOGLEFINANCE(""CURRENCY:CHFINR"")"),4287429458186.08)</f>
        <v>4287429458186.0801</v>
      </c>
    </row>
    <row r="606" spans="1:3" x14ac:dyDescent="0.25">
      <c r="A606" s="2">
        <v>605</v>
      </c>
      <c r="B606" s="2">
        <v>53553004761.904701</v>
      </c>
      <c r="C606" s="3">
        <f ca="1">IFERROR(__xludf.DUMMYFUNCTION("B606*GOOGLEFINANCE(""CURRENCY:CHFINR"")"),4297636129563.51)</f>
        <v>4297636129563.5098</v>
      </c>
    </row>
    <row r="607" spans="1:3" x14ac:dyDescent="0.25">
      <c r="A607" s="2">
        <v>606</v>
      </c>
      <c r="B607" s="2">
        <v>53680190476.190399</v>
      </c>
      <c r="C607" s="3">
        <f ca="1">IFERROR(__xludf.DUMMYFUNCTION("B607*GOOGLEFINANCE(""CURRENCY:CHFINR"")"),4307842800940.94)</f>
        <v>4307842800940.9399</v>
      </c>
    </row>
    <row r="608" spans="1:3" x14ac:dyDescent="0.25">
      <c r="A608" s="2">
        <v>607</v>
      </c>
      <c r="B608" s="2">
        <v>53807376190.476097</v>
      </c>
      <c r="C608" s="3">
        <f ca="1">IFERROR(__xludf.DUMMYFUNCTION("B608*GOOGLEFINANCE(""CURRENCY:CHFINR"")"),4318049472318.37)</f>
        <v>4318049472318.3701</v>
      </c>
    </row>
    <row r="609" spans="1:3" x14ac:dyDescent="0.25">
      <c r="A609" s="2">
        <v>608</v>
      </c>
      <c r="B609" s="2">
        <v>53934561904.761803</v>
      </c>
      <c r="C609" s="3">
        <f ca="1">IFERROR(__xludf.DUMMYFUNCTION("B609*GOOGLEFINANCE(""CURRENCY:CHFINR"")"),4328256143695.8)</f>
        <v>4328256143695.7998</v>
      </c>
    </row>
    <row r="610" spans="1:3" x14ac:dyDescent="0.25">
      <c r="A610" s="2">
        <v>609</v>
      </c>
      <c r="B610" s="2">
        <v>54061747619.047501</v>
      </c>
      <c r="C610" s="3">
        <f ca="1">IFERROR(__xludf.DUMMYFUNCTION("B610*GOOGLEFINANCE(""CURRENCY:CHFINR"")"),4338462815073.22)</f>
        <v>4338462815073.2202</v>
      </c>
    </row>
    <row r="611" spans="1:3" x14ac:dyDescent="0.25">
      <c r="A611" s="2">
        <v>610</v>
      </c>
      <c r="B611" s="2">
        <v>54188933333.333199</v>
      </c>
      <c r="C611" s="3">
        <f ca="1">IFERROR(__xludf.DUMMYFUNCTION("B611*GOOGLEFINANCE(""CURRENCY:CHFINR"")"),4348669486450.65)</f>
        <v>4348669486450.6499</v>
      </c>
    </row>
    <row r="612" spans="1:3" x14ac:dyDescent="0.25">
      <c r="A612" s="2">
        <v>611</v>
      </c>
      <c r="B612" s="2">
        <v>54316119047.618896</v>
      </c>
      <c r="C612" s="3">
        <f ca="1">IFERROR(__xludf.DUMMYFUNCTION("B612*GOOGLEFINANCE(""CURRENCY:CHFINR"")"),4358876157828.08)</f>
        <v>4358876157828.0801</v>
      </c>
    </row>
    <row r="613" spans="1:3" x14ac:dyDescent="0.25">
      <c r="A613" s="2">
        <v>612</v>
      </c>
      <c r="B613" s="2">
        <v>54443304761.904602</v>
      </c>
      <c r="C613" s="3">
        <f ca="1">IFERROR(__xludf.DUMMYFUNCTION("B613*GOOGLEFINANCE(""CURRENCY:CHFINR"")"),4369082829205.51)</f>
        <v>4369082829205.5098</v>
      </c>
    </row>
    <row r="614" spans="1:3" x14ac:dyDescent="0.25">
      <c r="A614" s="2">
        <v>613</v>
      </c>
      <c r="B614" s="2">
        <v>54570490476.190399</v>
      </c>
      <c r="C614" s="3">
        <f ca="1">IFERROR(__xludf.DUMMYFUNCTION("B614*GOOGLEFINANCE(""CURRENCY:CHFINR"")"),4379289500582.94)</f>
        <v>4379289500582.9399</v>
      </c>
    </row>
    <row r="615" spans="1:3" x14ac:dyDescent="0.25">
      <c r="A615" s="2">
        <v>614</v>
      </c>
      <c r="B615" s="2">
        <v>54697676190.476097</v>
      </c>
      <c r="C615" s="3">
        <f ca="1">IFERROR(__xludf.DUMMYFUNCTION("B615*GOOGLEFINANCE(""CURRENCY:CHFINR"")"),4389496171960.37)</f>
        <v>4389496171960.3701</v>
      </c>
    </row>
    <row r="616" spans="1:3" x14ac:dyDescent="0.25">
      <c r="A616" s="2">
        <v>615</v>
      </c>
      <c r="B616" s="2">
        <v>54824861904.761803</v>
      </c>
      <c r="C616" s="3">
        <f ca="1">IFERROR(__xludf.DUMMYFUNCTION("B616*GOOGLEFINANCE(""CURRENCY:CHFINR"")"),4399702843337.8)</f>
        <v>4399702843337.7998</v>
      </c>
    </row>
    <row r="617" spans="1:3" x14ac:dyDescent="0.25">
      <c r="A617" s="2">
        <v>616</v>
      </c>
      <c r="B617" s="2">
        <v>54952047619.047501</v>
      </c>
      <c r="C617" s="3">
        <f ca="1">IFERROR(__xludf.DUMMYFUNCTION("B617*GOOGLEFINANCE(""CURRENCY:CHFINR"")"),4409909514715.22)</f>
        <v>4409909514715.2197</v>
      </c>
    </row>
    <row r="618" spans="1:3" x14ac:dyDescent="0.25">
      <c r="A618" s="2">
        <v>617</v>
      </c>
      <c r="B618" s="2">
        <v>55079233333.333199</v>
      </c>
      <c r="C618" s="3">
        <f ca="1">IFERROR(__xludf.DUMMYFUNCTION("B618*GOOGLEFINANCE(""CURRENCY:CHFINR"")"),4420116186092.65)</f>
        <v>4420116186092.6504</v>
      </c>
    </row>
    <row r="619" spans="1:3" x14ac:dyDescent="0.25">
      <c r="A619" s="2">
        <v>618</v>
      </c>
      <c r="B619" s="2">
        <v>55206419047.618896</v>
      </c>
      <c r="C619" s="3">
        <f ca="1">IFERROR(__xludf.DUMMYFUNCTION("B619*GOOGLEFINANCE(""CURRENCY:CHFINR"")"),4430322857470.08)</f>
        <v>4430322857470.0801</v>
      </c>
    </row>
    <row r="620" spans="1:3" x14ac:dyDescent="0.25">
      <c r="A620" s="2">
        <v>619</v>
      </c>
      <c r="B620" s="2">
        <v>55333604761.904602</v>
      </c>
      <c r="C620" s="3">
        <f ca="1">IFERROR(__xludf.DUMMYFUNCTION("B620*GOOGLEFINANCE(""CURRENCY:CHFINR"")"),4440529528847.51)</f>
        <v>4440529528847.5098</v>
      </c>
    </row>
    <row r="621" spans="1:3" x14ac:dyDescent="0.25">
      <c r="A621" s="2">
        <v>620</v>
      </c>
      <c r="B621" s="2">
        <v>55460790476.190399</v>
      </c>
      <c r="C621" s="3">
        <f ca="1">IFERROR(__xludf.DUMMYFUNCTION("B621*GOOGLEFINANCE(""CURRENCY:CHFINR"")"),4450736200224.94)</f>
        <v>4450736200224.9404</v>
      </c>
    </row>
    <row r="622" spans="1:3" x14ac:dyDescent="0.25">
      <c r="A622" s="2">
        <v>621</v>
      </c>
      <c r="B622" s="2">
        <v>55587976190.476097</v>
      </c>
      <c r="C622" s="3">
        <f ca="1">IFERROR(__xludf.DUMMYFUNCTION("B622*GOOGLEFINANCE(""CURRENCY:CHFINR"")"),4460942871602.37)</f>
        <v>4460942871602.3701</v>
      </c>
    </row>
    <row r="623" spans="1:3" x14ac:dyDescent="0.25">
      <c r="A623" s="2">
        <v>622</v>
      </c>
      <c r="B623" s="2">
        <v>55715161904.761803</v>
      </c>
      <c r="C623" s="3">
        <f ca="1">IFERROR(__xludf.DUMMYFUNCTION("B623*GOOGLEFINANCE(""CURRENCY:CHFINR"")"),4471149542979.8)</f>
        <v>4471149542979.7998</v>
      </c>
    </row>
    <row r="624" spans="1:3" x14ac:dyDescent="0.25">
      <c r="A624" s="2">
        <v>623</v>
      </c>
      <c r="B624" s="2">
        <v>55842347619.047501</v>
      </c>
      <c r="C624" s="3">
        <f ca="1">IFERROR(__xludf.DUMMYFUNCTION("B624*GOOGLEFINANCE(""CURRENCY:CHFINR"")"),4481356214357.22)</f>
        <v>4481356214357.2197</v>
      </c>
    </row>
    <row r="625" spans="1:3" x14ac:dyDescent="0.25">
      <c r="A625" s="2">
        <v>624</v>
      </c>
      <c r="B625" s="2">
        <v>55969533333.333199</v>
      </c>
      <c r="C625" s="3">
        <f ca="1">IFERROR(__xludf.DUMMYFUNCTION("B625*GOOGLEFINANCE(""CURRENCY:CHFINR"")"),4491562885734.65)</f>
        <v>4491562885734.6504</v>
      </c>
    </row>
    <row r="626" spans="1:3" x14ac:dyDescent="0.25">
      <c r="A626" s="2">
        <v>625</v>
      </c>
      <c r="B626" s="2">
        <v>56096719047.618896</v>
      </c>
      <c r="C626" s="3">
        <f ca="1">IFERROR(__xludf.DUMMYFUNCTION("B626*GOOGLEFINANCE(""CURRENCY:CHFINR"")"),4501769557112.08)</f>
        <v>4501769557112.0801</v>
      </c>
    </row>
    <row r="627" spans="1:3" x14ac:dyDescent="0.25">
      <c r="A627" s="2">
        <v>626</v>
      </c>
      <c r="B627" s="2">
        <v>56223904761.904602</v>
      </c>
      <c r="C627" s="3">
        <f ca="1">IFERROR(__xludf.DUMMYFUNCTION("B627*GOOGLEFINANCE(""CURRENCY:CHFINR"")"),4511976228489.51)</f>
        <v>4511976228489.5098</v>
      </c>
    </row>
    <row r="628" spans="1:3" x14ac:dyDescent="0.25">
      <c r="A628" s="2">
        <v>627</v>
      </c>
      <c r="B628" s="2">
        <v>56351090476.190399</v>
      </c>
      <c r="C628" s="3">
        <f ca="1">IFERROR(__xludf.DUMMYFUNCTION("B628*GOOGLEFINANCE(""CURRENCY:CHFINR"")"),4522182899866.94)</f>
        <v>4522182899866.9404</v>
      </c>
    </row>
    <row r="629" spans="1:3" x14ac:dyDescent="0.25">
      <c r="A629" s="2">
        <v>628</v>
      </c>
      <c r="B629" s="2">
        <v>56478276190.476097</v>
      </c>
      <c r="C629" s="3">
        <f ca="1">IFERROR(__xludf.DUMMYFUNCTION("B629*GOOGLEFINANCE(""CURRENCY:CHFINR"")"),4532389571244.37)</f>
        <v>4532389571244.3701</v>
      </c>
    </row>
    <row r="630" spans="1:3" x14ac:dyDescent="0.25">
      <c r="A630" s="2">
        <v>629</v>
      </c>
      <c r="B630" s="2">
        <v>56605461904.761803</v>
      </c>
      <c r="C630" s="3">
        <f ca="1">IFERROR(__xludf.DUMMYFUNCTION("B630*GOOGLEFINANCE(""CURRENCY:CHFINR"")"),4542596242621.8)</f>
        <v>4542596242621.7998</v>
      </c>
    </row>
    <row r="631" spans="1:3" x14ac:dyDescent="0.25">
      <c r="A631" s="2">
        <v>630</v>
      </c>
      <c r="B631" s="2">
        <v>56732647619.047501</v>
      </c>
      <c r="C631" s="3">
        <f ca="1">IFERROR(__xludf.DUMMYFUNCTION("B631*GOOGLEFINANCE(""CURRENCY:CHFINR"")"),4552802913999.22)</f>
        <v>4552802913999.2197</v>
      </c>
    </row>
    <row r="632" spans="1:3" x14ac:dyDescent="0.25">
      <c r="A632" s="2">
        <v>631</v>
      </c>
      <c r="B632" s="2">
        <v>56859833333.333199</v>
      </c>
      <c r="C632" s="3">
        <f ca="1">IFERROR(__xludf.DUMMYFUNCTION("B632*GOOGLEFINANCE(""CURRENCY:CHFINR"")"),4563009585376.65)</f>
        <v>4563009585376.6504</v>
      </c>
    </row>
    <row r="633" spans="1:3" x14ac:dyDescent="0.25">
      <c r="A633" s="2">
        <v>632</v>
      </c>
      <c r="B633" s="2">
        <v>56987019047.618896</v>
      </c>
      <c r="C633" s="3">
        <f ca="1">IFERROR(__xludf.DUMMYFUNCTION("B633*GOOGLEFINANCE(""CURRENCY:CHFINR"")"),4573216256754.08)</f>
        <v>4573216256754.0801</v>
      </c>
    </row>
    <row r="634" spans="1:3" x14ac:dyDescent="0.25">
      <c r="A634" s="2">
        <v>633</v>
      </c>
      <c r="B634" s="2">
        <v>57114204761.904602</v>
      </c>
      <c r="C634" s="3">
        <f ca="1">IFERROR(__xludf.DUMMYFUNCTION("B634*GOOGLEFINANCE(""CURRENCY:CHFINR"")"),4583422928131.51)</f>
        <v>4583422928131.5098</v>
      </c>
    </row>
    <row r="635" spans="1:3" x14ac:dyDescent="0.25">
      <c r="A635" s="2">
        <v>634</v>
      </c>
      <c r="B635" s="2">
        <v>57241390476.190399</v>
      </c>
      <c r="C635" s="3">
        <f ca="1">IFERROR(__xludf.DUMMYFUNCTION("B635*GOOGLEFINANCE(""CURRENCY:CHFINR"")"),4593629599508.94)</f>
        <v>4593629599508.9404</v>
      </c>
    </row>
    <row r="636" spans="1:3" x14ac:dyDescent="0.25">
      <c r="A636" s="2">
        <v>635</v>
      </c>
      <c r="B636" s="2">
        <v>57368576190.476097</v>
      </c>
      <c r="C636" s="3">
        <f ca="1">IFERROR(__xludf.DUMMYFUNCTION("B636*GOOGLEFINANCE(""CURRENCY:CHFINR"")"),4603836270886.37)</f>
        <v>4603836270886.3701</v>
      </c>
    </row>
    <row r="637" spans="1:3" x14ac:dyDescent="0.25">
      <c r="A637" s="2">
        <v>636</v>
      </c>
      <c r="B637" s="2">
        <v>57495761904.761803</v>
      </c>
      <c r="C637" s="3">
        <f ca="1">IFERROR(__xludf.DUMMYFUNCTION("B637*GOOGLEFINANCE(""CURRENCY:CHFINR"")"),4614042942263.8)</f>
        <v>4614042942263.7998</v>
      </c>
    </row>
    <row r="638" spans="1:3" x14ac:dyDescent="0.25">
      <c r="A638" s="2">
        <v>637</v>
      </c>
      <c r="B638" s="2">
        <v>57622947619.047501</v>
      </c>
      <c r="C638" s="3">
        <f ca="1">IFERROR(__xludf.DUMMYFUNCTION("B638*GOOGLEFINANCE(""CURRENCY:CHFINR"")"),4624249613641.22)</f>
        <v>4624249613641.2197</v>
      </c>
    </row>
    <row r="639" spans="1:3" x14ac:dyDescent="0.25">
      <c r="A639" s="2">
        <v>638</v>
      </c>
      <c r="B639" s="2">
        <v>57750133333.333199</v>
      </c>
      <c r="C639" s="3">
        <f ca="1">IFERROR(__xludf.DUMMYFUNCTION("B639*GOOGLEFINANCE(""CURRENCY:CHFINR"")"),4634456285018.65)</f>
        <v>4634456285018.6504</v>
      </c>
    </row>
    <row r="640" spans="1:3" x14ac:dyDescent="0.25">
      <c r="A640" s="2">
        <v>639</v>
      </c>
      <c r="B640" s="2">
        <v>57877319047.618896</v>
      </c>
      <c r="C640" s="3">
        <f ca="1">IFERROR(__xludf.DUMMYFUNCTION("B640*GOOGLEFINANCE(""CURRENCY:CHFINR"")"),4644662956396.08)</f>
        <v>4644662956396.0801</v>
      </c>
    </row>
    <row r="641" spans="1:3" x14ac:dyDescent="0.25">
      <c r="A641" s="2">
        <v>640</v>
      </c>
      <c r="B641" s="2">
        <v>58004504761.904602</v>
      </c>
      <c r="C641" s="3">
        <f ca="1">IFERROR(__xludf.DUMMYFUNCTION("B641*GOOGLEFINANCE(""CURRENCY:CHFINR"")"),4654869627773.51)</f>
        <v>4654869627773.5098</v>
      </c>
    </row>
    <row r="642" spans="1:3" x14ac:dyDescent="0.25">
      <c r="A642" s="2">
        <v>641</v>
      </c>
      <c r="B642" s="2">
        <v>58131690476.190399</v>
      </c>
      <c r="C642" s="3">
        <f ca="1">IFERROR(__xludf.DUMMYFUNCTION("B642*GOOGLEFINANCE(""CURRENCY:CHFINR"")"),4665076299150.94)</f>
        <v>4665076299150.9404</v>
      </c>
    </row>
    <row r="643" spans="1:3" x14ac:dyDescent="0.25">
      <c r="A643" s="2">
        <v>642</v>
      </c>
      <c r="B643" s="2">
        <v>58258876190.476097</v>
      </c>
      <c r="C643" s="3">
        <f ca="1">IFERROR(__xludf.DUMMYFUNCTION("B643*GOOGLEFINANCE(""CURRENCY:CHFINR"")"),4675282970528.37)</f>
        <v>4675282970528.3701</v>
      </c>
    </row>
    <row r="644" spans="1:3" x14ac:dyDescent="0.25">
      <c r="A644" s="2">
        <v>643</v>
      </c>
      <c r="B644" s="2">
        <v>58386061904.761803</v>
      </c>
      <c r="C644" s="3">
        <f ca="1">IFERROR(__xludf.DUMMYFUNCTION("B644*GOOGLEFINANCE(""CURRENCY:CHFINR"")"),4685489641905.8)</f>
        <v>4685489641905.7998</v>
      </c>
    </row>
    <row r="645" spans="1:3" x14ac:dyDescent="0.25">
      <c r="A645" s="2">
        <v>644</v>
      </c>
      <c r="B645" s="2">
        <v>58513247619.047501</v>
      </c>
      <c r="C645" s="3">
        <f ca="1">IFERROR(__xludf.DUMMYFUNCTION("B645*GOOGLEFINANCE(""CURRENCY:CHFINR"")"),4695696313283.22)</f>
        <v>4695696313283.2197</v>
      </c>
    </row>
    <row r="646" spans="1:3" x14ac:dyDescent="0.25">
      <c r="A646" s="2">
        <v>645</v>
      </c>
      <c r="B646" s="2">
        <v>58640433333.333199</v>
      </c>
      <c r="C646" s="3">
        <f ca="1">IFERROR(__xludf.DUMMYFUNCTION("B646*GOOGLEFINANCE(""CURRENCY:CHFINR"")"),4705902984660.65)</f>
        <v>4705902984660.6504</v>
      </c>
    </row>
    <row r="647" spans="1:3" x14ac:dyDescent="0.25">
      <c r="A647" s="2">
        <v>646</v>
      </c>
      <c r="B647" s="2">
        <v>58767619047.618896</v>
      </c>
      <c r="C647" s="3">
        <f ca="1">IFERROR(__xludf.DUMMYFUNCTION("B647*GOOGLEFINANCE(""CURRENCY:CHFINR"")"),4716109656038.08)</f>
        <v>4716109656038.0801</v>
      </c>
    </row>
    <row r="648" spans="1:3" x14ac:dyDescent="0.25">
      <c r="A648" s="2">
        <v>647</v>
      </c>
      <c r="B648" s="2">
        <v>58894804761.904602</v>
      </c>
      <c r="C648" s="3">
        <f ca="1">IFERROR(__xludf.DUMMYFUNCTION("B648*GOOGLEFINANCE(""CURRENCY:CHFINR"")"),4726316327415.51)</f>
        <v>4726316327415.5098</v>
      </c>
    </row>
    <row r="649" spans="1:3" x14ac:dyDescent="0.25">
      <c r="A649" s="2">
        <v>648</v>
      </c>
      <c r="B649" s="2">
        <v>59021990476.190399</v>
      </c>
      <c r="C649" s="3">
        <f ca="1">IFERROR(__xludf.DUMMYFUNCTION("B649*GOOGLEFINANCE(""CURRENCY:CHFINR"")"),4736522998792.94)</f>
        <v>4736522998792.9404</v>
      </c>
    </row>
    <row r="650" spans="1:3" x14ac:dyDescent="0.25">
      <c r="A650" s="2">
        <v>649</v>
      </c>
      <c r="B650" s="2">
        <v>59149176190.476097</v>
      </c>
      <c r="C650" s="3">
        <f ca="1">IFERROR(__xludf.DUMMYFUNCTION("B650*GOOGLEFINANCE(""CURRENCY:CHFINR"")"),4746729670170.37)</f>
        <v>4746729670170.3701</v>
      </c>
    </row>
    <row r="651" spans="1:3" x14ac:dyDescent="0.25">
      <c r="A651" s="2">
        <v>650</v>
      </c>
      <c r="B651" s="2">
        <v>59276361904.761803</v>
      </c>
      <c r="C651" s="3">
        <f ca="1">IFERROR(__xludf.DUMMYFUNCTION("B651*GOOGLEFINANCE(""CURRENCY:CHFINR"")"),4756936341547.8)</f>
        <v>4756936341547.7998</v>
      </c>
    </row>
    <row r="652" spans="1:3" x14ac:dyDescent="0.25">
      <c r="A652" s="2">
        <v>651</v>
      </c>
      <c r="B652" s="2">
        <v>59403547619.047501</v>
      </c>
      <c r="C652" s="3">
        <f ca="1">IFERROR(__xludf.DUMMYFUNCTION("B652*GOOGLEFINANCE(""CURRENCY:CHFINR"")"),4767143012925.22)</f>
        <v>4767143012925.2197</v>
      </c>
    </row>
    <row r="653" spans="1:3" x14ac:dyDescent="0.25">
      <c r="A653" s="2">
        <v>652</v>
      </c>
      <c r="B653" s="2">
        <v>59530733333.333199</v>
      </c>
      <c r="C653" s="3">
        <f ca="1">IFERROR(__xludf.DUMMYFUNCTION("B653*GOOGLEFINANCE(""CURRENCY:CHFINR"")"),4777349684302.65)</f>
        <v>4777349684302.6504</v>
      </c>
    </row>
    <row r="654" spans="1:3" x14ac:dyDescent="0.25">
      <c r="A654" s="2">
        <v>653</v>
      </c>
      <c r="B654" s="2">
        <v>59657919047.618896</v>
      </c>
      <c r="C654" s="3">
        <f ca="1">IFERROR(__xludf.DUMMYFUNCTION("B654*GOOGLEFINANCE(""CURRENCY:CHFINR"")"),4787556355680.08)</f>
        <v>4787556355680.0801</v>
      </c>
    </row>
    <row r="655" spans="1:3" x14ac:dyDescent="0.25">
      <c r="A655" s="2">
        <v>654</v>
      </c>
      <c r="B655" s="2">
        <v>59785104761.904602</v>
      </c>
      <c r="C655" s="3">
        <f ca="1">IFERROR(__xludf.DUMMYFUNCTION("B655*GOOGLEFINANCE(""CURRENCY:CHFINR"")"),4797763027057.51)</f>
        <v>4797763027057.5098</v>
      </c>
    </row>
    <row r="656" spans="1:3" x14ac:dyDescent="0.25">
      <c r="A656" s="2">
        <v>655</v>
      </c>
      <c r="B656" s="2">
        <v>59912290476.190399</v>
      </c>
      <c r="C656" s="3">
        <f ca="1">IFERROR(__xludf.DUMMYFUNCTION("B656*GOOGLEFINANCE(""CURRENCY:CHFINR"")"),4807969698434.94)</f>
        <v>4807969698434.9404</v>
      </c>
    </row>
    <row r="657" spans="1:3" x14ac:dyDescent="0.25">
      <c r="A657" s="2">
        <v>656</v>
      </c>
      <c r="B657" s="2">
        <v>60039476190.476097</v>
      </c>
      <c r="C657" s="3">
        <f ca="1">IFERROR(__xludf.DUMMYFUNCTION("B657*GOOGLEFINANCE(""CURRENCY:CHFINR"")"),4818176369812.37)</f>
        <v>4818176369812.3701</v>
      </c>
    </row>
    <row r="658" spans="1:3" x14ac:dyDescent="0.25">
      <c r="A658" s="2">
        <v>657</v>
      </c>
      <c r="B658" s="2">
        <v>60166661904.761803</v>
      </c>
      <c r="C658" s="3">
        <f ca="1">IFERROR(__xludf.DUMMYFUNCTION("B658*GOOGLEFINANCE(""CURRENCY:CHFINR"")"),4828383041189.8)</f>
        <v>4828383041189.7998</v>
      </c>
    </row>
    <row r="659" spans="1:3" x14ac:dyDescent="0.25">
      <c r="A659" s="2">
        <v>658</v>
      </c>
      <c r="B659" s="2">
        <v>60293847619.047501</v>
      </c>
      <c r="C659" s="3">
        <f ca="1">IFERROR(__xludf.DUMMYFUNCTION("B659*GOOGLEFINANCE(""CURRENCY:CHFINR"")"),4838589712567.22)</f>
        <v>4838589712567.2197</v>
      </c>
    </row>
    <row r="660" spans="1:3" x14ac:dyDescent="0.25">
      <c r="A660" s="2">
        <v>659</v>
      </c>
      <c r="B660" s="2">
        <v>60421033333.333199</v>
      </c>
      <c r="C660" s="3">
        <f ca="1">IFERROR(__xludf.DUMMYFUNCTION("B660*GOOGLEFINANCE(""CURRENCY:CHFINR"")"),4848796383944.65)</f>
        <v>4848796383944.6504</v>
      </c>
    </row>
    <row r="661" spans="1:3" x14ac:dyDescent="0.25">
      <c r="A661" s="2">
        <v>660</v>
      </c>
      <c r="B661" s="2">
        <v>60548219047.618896</v>
      </c>
      <c r="C661" s="3">
        <f ca="1">IFERROR(__xludf.DUMMYFUNCTION("B661*GOOGLEFINANCE(""CURRENCY:CHFINR"")"),4859003055322.08)</f>
        <v>4859003055322.0801</v>
      </c>
    </row>
    <row r="662" spans="1:3" x14ac:dyDescent="0.25">
      <c r="A662" s="2">
        <v>661</v>
      </c>
      <c r="B662" s="2">
        <v>60675404761.904602</v>
      </c>
      <c r="C662" s="3">
        <f ca="1">IFERROR(__xludf.DUMMYFUNCTION("B662*GOOGLEFINANCE(""CURRENCY:CHFINR"")"),4869209726699.51)</f>
        <v>4869209726699.5098</v>
      </c>
    </row>
    <row r="663" spans="1:3" x14ac:dyDescent="0.25">
      <c r="A663" s="2">
        <v>662</v>
      </c>
      <c r="B663" s="2">
        <v>60802590476.190399</v>
      </c>
      <c r="C663" s="3">
        <f ca="1">IFERROR(__xludf.DUMMYFUNCTION("B663*GOOGLEFINANCE(""CURRENCY:CHFINR"")"),4879416398076.94)</f>
        <v>4879416398076.9404</v>
      </c>
    </row>
    <row r="664" spans="1:3" x14ac:dyDescent="0.25">
      <c r="A664" s="2">
        <v>663</v>
      </c>
      <c r="B664" s="2">
        <v>60929776190.476097</v>
      </c>
      <c r="C664" s="3">
        <f ca="1">IFERROR(__xludf.DUMMYFUNCTION("B664*GOOGLEFINANCE(""CURRENCY:CHFINR"")"),4889623069454.37)</f>
        <v>4889623069454.3701</v>
      </c>
    </row>
    <row r="665" spans="1:3" x14ac:dyDescent="0.25">
      <c r="A665" s="2">
        <v>664</v>
      </c>
      <c r="B665" s="2">
        <v>61056961904.761803</v>
      </c>
      <c r="C665" s="3">
        <f ca="1">IFERROR(__xludf.DUMMYFUNCTION("B665*GOOGLEFINANCE(""CURRENCY:CHFINR"")"),4899829740831.8)</f>
        <v>4899829740831.7998</v>
      </c>
    </row>
    <row r="666" spans="1:3" x14ac:dyDescent="0.25">
      <c r="A666" s="2">
        <v>665</v>
      </c>
      <c r="B666" s="2">
        <v>61184147619.047501</v>
      </c>
      <c r="C666" s="3">
        <f ca="1">IFERROR(__xludf.DUMMYFUNCTION("B666*GOOGLEFINANCE(""CURRENCY:CHFINR"")"),4910036412209.22)</f>
        <v>4910036412209.2197</v>
      </c>
    </row>
    <row r="667" spans="1:3" x14ac:dyDescent="0.25">
      <c r="A667" s="2">
        <v>666</v>
      </c>
      <c r="B667" s="2">
        <v>61311333333.333199</v>
      </c>
      <c r="C667" s="3">
        <f ca="1">IFERROR(__xludf.DUMMYFUNCTION("B667*GOOGLEFINANCE(""CURRENCY:CHFINR"")"),4920243083586.65)</f>
        <v>4920243083586.6504</v>
      </c>
    </row>
    <row r="668" spans="1:3" x14ac:dyDescent="0.25">
      <c r="A668" s="2">
        <v>667</v>
      </c>
      <c r="B668" s="2">
        <v>61438519047.618896</v>
      </c>
      <c r="C668" s="3">
        <f ca="1">IFERROR(__xludf.DUMMYFUNCTION("B668*GOOGLEFINANCE(""CURRENCY:CHFINR"")"),4930449754964.08)</f>
        <v>4930449754964.0801</v>
      </c>
    </row>
    <row r="669" spans="1:3" x14ac:dyDescent="0.25">
      <c r="A669" s="2">
        <v>668</v>
      </c>
      <c r="B669" s="2">
        <v>61565704761.904602</v>
      </c>
      <c r="C669" s="3">
        <f ca="1">IFERROR(__xludf.DUMMYFUNCTION("B669*GOOGLEFINANCE(""CURRENCY:CHFINR"")"),4940656426341.51)</f>
        <v>4940656426341.5098</v>
      </c>
    </row>
    <row r="670" spans="1:3" x14ac:dyDescent="0.25">
      <c r="A670" s="2">
        <v>669</v>
      </c>
      <c r="B670" s="2">
        <v>61692890476.1903</v>
      </c>
      <c r="C670" s="3">
        <f ca="1">IFERROR(__xludf.DUMMYFUNCTION("B670*GOOGLEFINANCE(""CURRENCY:CHFINR"")"),4950863097718.93)</f>
        <v>4950863097718.9297</v>
      </c>
    </row>
    <row r="671" spans="1:3" x14ac:dyDescent="0.25">
      <c r="A671" s="2">
        <v>670</v>
      </c>
      <c r="B671" s="2">
        <v>61820076190.476097</v>
      </c>
      <c r="C671" s="3">
        <f ca="1">IFERROR(__xludf.DUMMYFUNCTION("B671*GOOGLEFINANCE(""CURRENCY:CHFINR"")"),4961069769096.37)</f>
        <v>4961069769096.3701</v>
      </c>
    </row>
    <row r="672" spans="1:3" x14ac:dyDescent="0.25">
      <c r="A672" s="2">
        <v>671</v>
      </c>
      <c r="B672" s="2">
        <v>61947261904.761803</v>
      </c>
      <c r="C672" s="3">
        <f ca="1">IFERROR(__xludf.DUMMYFUNCTION("B672*GOOGLEFINANCE(""CURRENCY:CHFINR"")"),4971276440473.8)</f>
        <v>4971276440473.7998</v>
      </c>
    </row>
    <row r="673" spans="1:3" x14ac:dyDescent="0.25">
      <c r="A673" s="2">
        <v>672</v>
      </c>
      <c r="B673" s="2">
        <v>62074447619.047501</v>
      </c>
      <c r="C673" s="3">
        <f ca="1">IFERROR(__xludf.DUMMYFUNCTION("B673*GOOGLEFINANCE(""CURRENCY:CHFINR"")"),4981483111851.22)</f>
        <v>4981483111851.2197</v>
      </c>
    </row>
    <row r="674" spans="1:3" x14ac:dyDescent="0.25">
      <c r="A674" s="2">
        <v>673</v>
      </c>
      <c r="B674" s="2">
        <v>62201633333.333199</v>
      </c>
      <c r="C674" s="3">
        <f ca="1">IFERROR(__xludf.DUMMYFUNCTION("B674*GOOGLEFINANCE(""CURRENCY:CHFINR"")"),4991689783228.65)</f>
        <v>4991689783228.6504</v>
      </c>
    </row>
    <row r="675" spans="1:3" x14ac:dyDescent="0.25">
      <c r="A675" s="2">
        <v>674</v>
      </c>
      <c r="B675" s="2">
        <v>62328819047.618896</v>
      </c>
      <c r="C675" s="3">
        <f ca="1">IFERROR(__xludf.DUMMYFUNCTION("B675*GOOGLEFINANCE(""CURRENCY:CHFINR"")"),5001896454606.08)</f>
        <v>5001896454606.0801</v>
      </c>
    </row>
    <row r="676" spans="1:3" x14ac:dyDescent="0.25">
      <c r="A676" s="2">
        <v>675</v>
      </c>
      <c r="B676" s="2">
        <v>62456004761.904602</v>
      </c>
      <c r="C676" s="3">
        <f ca="1">IFERROR(__xludf.DUMMYFUNCTION("B676*GOOGLEFINANCE(""CURRENCY:CHFINR"")"),5012103125983.51)</f>
        <v>5012103125983.5098</v>
      </c>
    </row>
    <row r="677" spans="1:3" x14ac:dyDescent="0.25">
      <c r="A677" s="2">
        <v>676</v>
      </c>
      <c r="B677" s="2">
        <v>62583190476.1903</v>
      </c>
      <c r="C677" s="3">
        <f ca="1">IFERROR(__xludf.DUMMYFUNCTION("B677*GOOGLEFINANCE(""CURRENCY:CHFINR"")"),5022309797360.93)</f>
        <v>5022309797360.9297</v>
      </c>
    </row>
    <row r="678" spans="1:3" x14ac:dyDescent="0.25">
      <c r="A678" s="2">
        <v>677</v>
      </c>
      <c r="B678" s="2">
        <v>62710376190.476097</v>
      </c>
      <c r="C678" s="3">
        <f ca="1">IFERROR(__xludf.DUMMYFUNCTION("B678*GOOGLEFINANCE(""CURRENCY:CHFINR"")"),5032516468738.37)</f>
        <v>5032516468738.3701</v>
      </c>
    </row>
    <row r="679" spans="1:3" x14ac:dyDescent="0.25">
      <c r="A679" s="2">
        <v>678</v>
      </c>
      <c r="B679" s="2">
        <v>62837561904.761803</v>
      </c>
      <c r="C679" s="3">
        <f ca="1">IFERROR(__xludf.DUMMYFUNCTION("B679*GOOGLEFINANCE(""CURRENCY:CHFINR"")"),5042723140115.8)</f>
        <v>5042723140115.7998</v>
      </c>
    </row>
    <row r="680" spans="1:3" x14ac:dyDescent="0.25">
      <c r="A680" s="2">
        <v>679</v>
      </c>
      <c r="B680" s="2">
        <v>62964747619.047501</v>
      </c>
      <c r="C680" s="3">
        <f ca="1">IFERROR(__xludf.DUMMYFUNCTION("B680*GOOGLEFINANCE(""CURRENCY:CHFINR"")"),5052929811493.22)</f>
        <v>5052929811493.2197</v>
      </c>
    </row>
    <row r="681" spans="1:3" x14ac:dyDescent="0.25">
      <c r="A681" s="2">
        <v>680</v>
      </c>
      <c r="B681" s="2">
        <v>63091933333.333199</v>
      </c>
      <c r="C681" s="3">
        <f ca="1">IFERROR(__xludf.DUMMYFUNCTION("B681*GOOGLEFINANCE(""CURRENCY:CHFINR"")"),5063136482870.65)</f>
        <v>5063136482870.6504</v>
      </c>
    </row>
    <row r="682" spans="1:3" x14ac:dyDescent="0.25">
      <c r="A682" s="2">
        <v>681</v>
      </c>
      <c r="B682" s="2">
        <v>63219119047.618896</v>
      </c>
      <c r="C682" s="3">
        <f ca="1">IFERROR(__xludf.DUMMYFUNCTION("B682*GOOGLEFINANCE(""CURRENCY:CHFINR"")"),5073343154248.08)</f>
        <v>5073343154248.0801</v>
      </c>
    </row>
    <row r="683" spans="1:3" x14ac:dyDescent="0.25">
      <c r="A683" s="2">
        <v>682</v>
      </c>
      <c r="B683" s="2">
        <v>63346304761.904602</v>
      </c>
      <c r="C683" s="3">
        <f ca="1">IFERROR(__xludf.DUMMYFUNCTION("B683*GOOGLEFINANCE(""CURRENCY:CHFINR"")"),5083549825625.51)</f>
        <v>5083549825625.5098</v>
      </c>
    </row>
    <row r="684" spans="1:3" x14ac:dyDescent="0.25">
      <c r="A684" s="2">
        <v>683</v>
      </c>
      <c r="B684" s="2">
        <v>63473490476.1903</v>
      </c>
      <c r="C684" s="3">
        <f ca="1">IFERROR(__xludf.DUMMYFUNCTION("B684*GOOGLEFINANCE(""CURRENCY:CHFINR"")"),5093756497002.93)</f>
        <v>5093756497002.9297</v>
      </c>
    </row>
    <row r="685" spans="1:3" x14ac:dyDescent="0.25">
      <c r="A685" s="2">
        <v>684</v>
      </c>
      <c r="B685" s="2">
        <v>63600676190.476097</v>
      </c>
      <c r="C685" s="3">
        <f ca="1">IFERROR(__xludf.DUMMYFUNCTION("B685*GOOGLEFINANCE(""CURRENCY:CHFINR"")"),5103963168380.37)</f>
        <v>5103963168380.3701</v>
      </c>
    </row>
    <row r="686" spans="1:3" x14ac:dyDescent="0.25">
      <c r="A686" s="2">
        <v>685</v>
      </c>
      <c r="B686" s="2">
        <v>63727861904.761803</v>
      </c>
      <c r="C686" s="3">
        <f ca="1">IFERROR(__xludf.DUMMYFUNCTION("B686*GOOGLEFINANCE(""CURRENCY:CHFINR"")"),5114169839757.8)</f>
        <v>5114169839757.7998</v>
      </c>
    </row>
    <row r="687" spans="1:3" x14ac:dyDescent="0.25">
      <c r="A687" s="2">
        <v>686</v>
      </c>
      <c r="B687" s="2">
        <v>63855047619.047501</v>
      </c>
      <c r="C687" s="3">
        <f ca="1">IFERROR(__xludf.DUMMYFUNCTION("B687*GOOGLEFINANCE(""CURRENCY:CHFINR"")"),5124376511135.22)</f>
        <v>5124376511135.2197</v>
      </c>
    </row>
    <row r="688" spans="1:3" x14ac:dyDescent="0.25">
      <c r="A688" s="2">
        <v>687</v>
      </c>
      <c r="B688" s="2">
        <v>63982233333.333199</v>
      </c>
      <c r="C688" s="3">
        <f ca="1">IFERROR(__xludf.DUMMYFUNCTION("B688*GOOGLEFINANCE(""CURRENCY:CHFINR"")"),5134583182512.65)</f>
        <v>5134583182512.6504</v>
      </c>
    </row>
    <row r="689" spans="1:3" x14ac:dyDescent="0.25">
      <c r="A689" s="2">
        <v>688</v>
      </c>
      <c r="B689" s="2">
        <v>64109419047.618896</v>
      </c>
      <c r="C689" s="3">
        <f ca="1">IFERROR(__xludf.DUMMYFUNCTION("B689*GOOGLEFINANCE(""CURRENCY:CHFINR"")"),5144789853890.08)</f>
        <v>5144789853890.0801</v>
      </c>
    </row>
    <row r="690" spans="1:3" x14ac:dyDescent="0.25">
      <c r="A690" s="2">
        <v>689</v>
      </c>
      <c r="B690" s="2">
        <v>64236604761.904602</v>
      </c>
      <c r="C690" s="3">
        <f ca="1">IFERROR(__xludf.DUMMYFUNCTION("B690*GOOGLEFINANCE(""CURRENCY:CHFINR"")"),5154996525267.51)</f>
        <v>5154996525267.5098</v>
      </c>
    </row>
    <row r="691" spans="1:3" x14ac:dyDescent="0.25">
      <c r="A691" s="2">
        <v>690</v>
      </c>
      <c r="B691" s="2">
        <v>64363790476.1903</v>
      </c>
      <c r="C691" s="3">
        <f ca="1">IFERROR(__xludf.DUMMYFUNCTION("B691*GOOGLEFINANCE(""CURRENCY:CHFINR"")"),5165203196644.93)</f>
        <v>5165203196644.9297</v>
      </c>
    </row>
    <row r="692" spans="1:3" x14ac:dyDescent="0.25">
      <c r="A692" s="2">
        <v>691</v>
      </c>
      <c r="B692" s="2">
        <v>64490976190.476097</v>
      </c>
      <c r="C692" s="3">
        <f ca="1">IFERROR(__xludf.DUMMYFUNCTION("B692*GOOGLEFINANCE(""CURRENCY:CHFINR"")"),5175409868022.37)</f>
        <v>5175409868022.3701</v>
      </c>
    </row>
    <row r="693" spans="1:3" x14ac:dyDescent="0.25">
      <c r="A693" s="2">
        <v>692</v>
      </c>
      <c r="B693" s="2">
        <v>64618161904.761803</v>
      </c>
      <c r="C693" s="3">
        <f ca="1">IFERROR(__xludf.DUMMYFUNCTION("B693*GOOGLEFINANCE(""CURRENCY:CHFINR"")"),5185616539399.8)</f>
        <v>5185616539399.7998</v>
      </c>
    </row>
    <row r="694" spans="1:3" x14ac:dyDescent="0.25">
      <c r="A694" s="2">
        <v>693</v>
      </c>
      <c r="B694" s="2">
        <v>64745347619.047501</v>
      </c>
      <c r="C694" s="3">
        <f ca="1">IFERROR(__xludf.DUMMYFUNCTION("B694*GOOGLEFINANCE(""CURRENCY:CHFINR"")"),5195823210777.22)</f>
        <v>5195823210777.2197</v>
      </c>
    </row>
    <row r="695" spans="1:3" x14ac:dyDescent="0.25">
      <c r="A695" s="2">
        <v>694</v>
      </c>
      <c r="B695" s="2">
        <v>64872533333.333199</v>
      </c>
      <c r="C695" s="3">
        <f ca="1">IFERROR(__xludf.DUMMYFUNCTION("B695*GOOGLEFINANCE(""CURRENCY:CHFINR"")"),5206029882154.65)</f>
        <v>5206029882154.6504</v>
      </c>
    </row>
    <row r="696" spans="1:3" x14ac:dyDescent="0.25">
      <c r="A696" s="2">
        <v>695</v>
      </c>
      <c r="B696" s="2">
        <v>64999719047.618896</v>
      </c>
      <c r="C696" s="3">
        <f ca="1">IFERROR(__xludf.DUMMYFUNCTION("B696*GOOGLEFINANCE(""CURRENCY:CHFINR"")"),5216236553532.08)</f>
        <v>5216236553532.0801</v>
      </c>
    </row>
    <row r="697" spans="1:3" x14ac:dyDescent="0.25">
      <c r="A697" s="2">
        <v>696</v>
      </c>
      <c r="B697" s="2">
        <v>65126904761.904602</v>
      </c>
      <c r="C697" s="3">
        <f ca="1">IFERROR(__xludf.DUMMYFUNCTION("B697*GOOGLEFINANCE(""CURRENCY:CHFINR"")"),5226443224909.51)</f>
        <v>5226443224909.5098</v>
      </c>
    </row>
    <row r="698" spans="1:3" x14ac:dyDescent="0.25">
      <c r="A698" s="2">
        <v>697</v>
      </c>
      <c r="B698" s="2">
        <v>65254090476.1903</v>
      </c>
      <c r="C698" s="3">
        <f ca="1">IFERROR(__xludf.DUMMYFUNCTION("B698*GOOGLEFINANCE(""CURRENCY:CHFINR"")"),5236649896286.93)</f>
        <v>5236649896286.9297</v>
      </c>
    </row>
    <row r="699" spans="1:3" x14ac:dyDescent="0.25">
      <c r="A699" s="2">
        <v>698</v>
      </c>
      <c r="B699" s="2">
        <v>65381276190.475998</v>
      </c>
      <c r="C699" s="3">
        <f ca="1">IFERROR(__xludf.DUMMYFUNCTION("B699*GOOGLEFINANCE(""CURRENCY:CHFINR"")"),5246856567664.36)</f>
        <v>5246856567664.3604</v>
      </c>
    </row>
    <row r="700" spans="1:3" x14ac:dyDescent="0.25">
      <c r="A700" s="2">
        <v>699</v>
      </c>
      <c r="B700" s="2">
        <v>65508461904.761803</v>
      </c>
      <c r="C700" s="3">
        <f ca="1">IFERROR(__xludf.DUMMYFUNCTION("B700*GOOGLEFINANCE(""CURRENCY:CHFINR"")"),5257063239041.8)</f>
        <v>5257063239041.7998</v>
      </c>
    </row>
    <row r="701" spans="1:3" x14ac:dyDescent="0.25">
      <c r="A701" s="2">
        <v>700</v>
      </c>
      <c r="B701" s="2">
        <v>65635647619.047501</v>
      </c>
      <c r="C701" s="3">
        <f ca="1">IFERROR(__xludf.DUMMYFUNCTION("B701*GOOGLEFINANCE(""CURRENCY:CHFINR"")"),5267269910419.22)</f>
        <v>5267269910419.2197</v>
      </c>
    </row>
    <row r="702" spans="1:3" x14ac:dyDescent="0.25">
      <c r="A702" s="2">
        <v>701</v>
      </c>
      <c r="B702" s="2">
        <v>65762833333.333199</v>
      </c>
      <c r="C702" s="3">
        <f ca="1">IFERROR(__xludf.DUMMYFUNCTION("B702*GOOGLEFINANCE(""CURRENCY:CHFINR"")"),5277476581796.65)</f>
        <v>5277476581796.6504</v>
      </c>
    </row>
    <row r="703" spans="1:3" x14ac:dyDescent="0.25">
      <c r="A703" s="2">
        <v>702</v>
      </c>
      <c r="B703" s="2">
        <v>65890019047.618896</v>
      </c>
      <c r="C703" s="3">
        <f ca="1">IFERROR(__xludf.DUMMYFUNCTION("B703*GOOGLEFINANCE(""CURRENCY:CHFINR"")"),5287683253174.08)</f>
        <v>5287683253174.0801</v>
      </c>
    </row>
    <row r="704" spans="1:3" x14ac:dyDescent="0.25">
      <c r="A704" s="2">
        <v>703</v>
      </c>
      <c r="B704" s="2">
        <v>66017204761.904602</v>
      </c>
      <c r="C704" s="3">
        <f ca="1">IFERROR(__xludf.DUMMYFUNCTION("B704*GOOGLEFINANCE(""CURRENCY:CHFINR"")"),5297889924551.51)</f>
        <v>5297889924551.5098</v>
      </c>
    </row>
    <row r="705" spans="1:3" x14ac:dyDescent="0.25">
      <c r="A705" s="2">
        <v>704</v>
      </c>
      <c r="B705" s="2">
        <v>66144390476.1903</v>
      </c>
      <c r="C705" s="3">
        <f ca="1">IFERROR(__xludf.DUMMYFUNCTION("B705*GOOGLEFINANCE(""CURRENCY:CHFINR"")"),5308096595928.93)</f>
        <v>5308096595928.9297</v>
      </c>
    </row>
    <row r="706" spans="1:3" x14ac:dyDescent="0.25">
      <c r="A706" s="2">
        <v>705</v>
      </c>
      <c r="B706" s="2">
        <v>66271576190.475998</v>
      </c>
      <c r="C706" s="3">
        <f ca="1">IFERROR(__xludf.DUMMYFUNCTION("B706*GOOGLEFINANCE(""CURRENCY:CHFINR"")"),5318303267306.36)</f>
        <v>5318303267306.3604</v>
      </c>
    </row>
    <row r="707" spans="1:3" x14ac:dyDescent="0.25">
      <c r="A707" s="2">
        <v>706</v>
      </c>
      <c r="B707" s="2">
        <v>66398761904.761803</v>
      </c>
      <c r="C707" s="3">
        <f ca="1">IFERROR(__xludf.DUMMYFUNCTION("B707*GOOGLEFINANCE(""CURRENCY:CHFINR"")"),5328509938683.8)</f>
        <v>5328509938683.7998</v>
      </c>
    </row>
    <row r="708" spans="1:3" x14ac:dyDescent="0.25">
      <c r="A708" s="2">
        <v>707</v>
      </c>
      <c r="B708" s="2">
        <v>66525947619.047501</v>
      </c>
      <c r="C708" s="3">
        <f ca="1">IFERROR(__xludf.DUMMYFUNCTION("B708*GOOGLEFINANCE(""CURRENCY:CHFINR"")"),5338716610061.22)</f>
        <v>5338716610061.2197</v>
      </c>
    </row>
    <row r="709" spans="1:3" x14ac:dyDescent="0.25">
      <c r="A709" s="2">
        <v>708</v>
      </c>
      <c r="B709" s="2">
        <v>66653133333.333199</v>
      </c>
      <c r="C709" s="3">
        <f ca="1">IFERROR(__xludf.DUMMYFUNCTION("B709*GOOGLEFINANCE(""CURRENCY:CHFINR"")"),5348923281438.65)</f>
        <v>5348923281438.6504</v>
      </c>
    </row>
    <row r="710" spans="1:3" x14ac:dyDescent="0.25">
      <c r="A710" s="2">
        <v>709</v>
      </c>
      <c r="B710" s="2">
        <v>66780319047.618896</v>
      </c>
      <c r="C710" s="3">
        <f ca="1">IFERROR(__xludf.DUMMYFUNCTION("B710*GOOGLEFINANCE(""CURRENCY:CHFINR"")"),5359129952816.08)</f>
        <v>5359129952816.0801</v>
      </c>
    </row>
    <row r="711" spans="1:3" x14ac:dyDescent="0.25">
      <c r="A711" s="2">
        <v>710</v>
      </c>
      <c r="B711" s="2">
        <v>66907504761.904602</v>
      </c>
      <c r="C711" s="3">
        <f ca="1">IFERROR(__xludf.DUMMYFUNCTION("B711*GOOGLEFINANCE(""CURRENCY:CHFINR"")"),5369336624193.51)</f>
        <v>5369336624193.5098</v>
      </c>
    </row>
    <row r="712" spans="1:3" x14ac:dyDescent="0.25">
      <c r="A712" s="2">
        <v>711</v>
      </c>
      <c r="B712" s="2">
        <v>67034690476.1903</v>
      </c>
      <c r="C712" s="3">
        <f ca="1">IFERROR(__xludf.DUMMYFUNCTION("B712*GOOGLEFINANCE(""CURRENCY:CHFINR"")"),5379543295570.93)</f>
        <v>5379543295570.9297</v>
      </c>
    </row>
    <row r="713" spans="1:3" x14ac:dyDescent="0.25">
      <c r="A713" s="2">
        <v>712</v>
      </c>
      <c r="B713" s="2">
        <v>67161876190.475998</v>
      </c>
      <c r="C713" s="3">
        <f ca="1">IFERROR(__xludf.DUMMYFUNCTION("B713*GOOGLEFINANCE(""CURRENCY:CHFINR"")"),5389749966948.36)</f>
        <v>5389749966948.3604</v>
      </c>
    </row>
    <row r="714" spans="1:3" x14ac:dyDescent="0.25">
      <c r="A714" s="2">
        <v>713</v>
      </c>
      <c r="B714" s="2">
        <v>67289061904.761803</v>
      </c>
      <c r="C714" s="3">
        <f ca="1">IFERROR(__xludf.DUMMYFUNCTION("B714*GOOGLEFINANCE(""CURRENCY:CHFINR"")"),5399956638325.8)</f>
        <v>5399956638325.7998</v>
      </c>
    </row>
    <row r="715" spans="1:3" x14ac:dyDescent="0.25">
      <c r="A715" s="2">
        <v>714</v>
      </c>
      <c r="B715" s="2">
        <v>67416247619.047501</v>
      </c>
      <c r="C715" s="3">
        <f ca="1">IFERROR(__xludf.DUMMYFUNCTION("B715*GOOGLEFINANCE(""CURRENCY:CHFINR"")"),5410163309703.22)</f>
        <v>5410163309703.2197</v>
      </c>
    </row>
    <row r="716" spans="1:3" x14ac:dyDescent="0.25">
      <c r="A716" s="2">
        <v>715</v>
      </c>
      <c r="B716" s="2">
        <v>67543433333.333199</v>
      </c>
      <c r="C716" s="3">
        <f ca="1">IFERROR(__xludf.DUMMYFUNCTION("B716*GOOGLEFINANCE(""CURRENCY:CHFINR"")"),5420369981080.65)</f>
        <v>5420369981080.6504</v>
      </c>
    </row>
    <row r="717" spans="1:3" x14ac:dyDescent="0.25">
      <c r="A717" s="2">
        <v>716</v>
      </c>
      <c r="B717" s="2">
        <v>67670619047.618896</v>
      </c>
      <c r="C717" s="3">
        <f ca="1">IFERROR(__xludf.DUMMYFUNCTION("B717*GOOGLEFINANCE(""CURRENCY:CHFINR"")"),5430576652458.08)</f>
        <v>5430576652458.0801</v>
      </c>
    </row>
    <row r="718" spans="1:3" x14ac:dyDescent="0.25">
      <c r="A718" s="2">
        <v>717</v>
      </c>
      <c r="B718" s="2">
        <v>67797804761.904602</v>
      </c>
      <c r="C718" s="3">
        <f ca="1">IFERROR(__xludf.DUMMYFUNCTION("B718*GOOGLEFINANCE(""CURRENCY:CHFINR"")"),5440783323835.51)</f>
        <v>5440783323835.5098</v>
      </c>
    </row>
    <row r="719" spans="1:3" x14ac:dyDescent="0.25">
      <c r="A719" s="2">
        <v>718</v>
      </c>
      <c r="B719" s="2">
        <v>67924990476.1903</v>
      </c>
      <c r="C719" s="3">
        <f ca="1">IFERROR(__xludf.DUMMYFUNCTION("B719*GOOGLEFINANCE(""CURRENCY:CHFINR"")"),5450989995212.93)</f>
        <v>5450989995212.9297</v>
      </c>
    </row>
    <row r="720" spans="1:3" x14ac:dyDescent="0.25">
      <c r="A720" s="2">
        <v>719</v>
      </c>
      <c r="B720" s="2">
        <v>68052176190.475998</v>
      </c>
      <c r="C720" s="3">
        <f ca="1">IFERROR(__xludf.DUMMYFUNCTION("B720*GOOGLEFINANCE(""CURRENCY:CHFINR"")"),5461196666590.36)</f>
        <v>5461196666590.3604</v>
      </c>
    </row>
    <row r="721" spans="1:3" x14ac:dyDescent="0.25">
      <c r="A721" s="2">
        <v>720</v>
      </c>
      <c r="B721" s="2">
        <v>68179361904.761803</v>
      </c>
      <c r="C721" s="3">
        <f ca="1">IFERROR(__xludf.DUMMYFUNCTION("B721*GOOGLEFINANCE(""CURRENCY:CHFINR"")"),5471403337967.8)</f>
        <v>5471403337967.7998</v>
      </c>
    </row>
    <row r="722" spans="1:3" x14ac:dyDescent="0.25">
      <c r="A722" s="2">
        <v>721</v>
      </c>
      <c r="B722" s="2">
        <v>68306547619.047501</v>
      </c>
      <c r="C722" s="3">
        <f ca="1">IFERROR(__xludf.DUMMYFUNCTION("B722*GOOGLEFINANCE(""CURRENCY:CHFINR"")"),5481610009345.22)</f>
        <v>5481610009345.2197</v>
      </c>
    </row>
    <row r="723" spans="1:3" x14ac:dyDescent="0.25">
      <c r="A723" s="2">
        <v>722</v>
      </c>
      <c r="B723" s="2">
        <v>68433733333.333199</v>
      </c>
      <c r="C723" s="3">
        <f ca="1">IFERROR(__xludf.DUMMYFUNCTION("B723*GOOGLEFINANCE(""CURRENCY:CHFINR"")"),5491816680722.65)</f>
        <v>5491816680722.6504</v>
      </c>
    </row>
    <row r="724" spans="1:3" x14ac:dyDescent="0.25">
      <c r="A724" s="2">
        <v>723</v>
      </c>
      <c r="B724" s="2">
        <v>68560919047.618896</v>
      </c>
      <c r="C724" s="3">
        <f ca="1">IFERROR(__xludf.DUMMYFUNCTION("B724*GOOGLEFINANCE(""CURRENCY:CHFINR"")"),5502023352100.08)</f>
        <v>5502023352100.0801</v>
      </c>
    </row>
    <row r="725" spans="1:3" x14ac:dyDescent="0.25">
      <c r="A725" s="2">
        <v>724</v>
      </c>
      <c r="B725" s="2">
        <v>68688104761.904602</v>
      </c>
      <c r="C725" s="3">
        <f ca="1">IFERROR(__xludf.DUMMYFUNCTION("B725*GOOGLEFINANCE(""CURRENCY:CHFINR"")"),5512230023477.51)</f>
        <v>5512230023477.5098</v>
      </c>
    </row>
    <row r="726" spans="1:3" x14ac:dyDescent="0.25">
      <c r="A726" s="2">
        <v>725</v>
      </c>
      <c r="B726" s="2">
        <v>68815290476.190308</v>
      </c>
      <c r="C726" s="3">
        <f ca="1">IFERROR(__xludf.DUMMYFUNCTION("B726*GOOGLEFINANCE(""CURRENCY:CHFINR"")"),5522436694854.93)</f>
        <v>5522436694854.9297</v>
      </c>
    </row>
    <row r="727" spans="1:3" x14ac:dyDescent="0.25">
      <c r="A727" s="2">
        <v>726</v>
      </c>
      <c r="B727" s="2">
        <v>68942476190.475998</v>
      </c>
      <c r="C727" s="3">
        <f ca="1">IFERROR(__xludf.DUMMYFUNCTION("B727*GOOGLEFINANCE(""CURRENCY:CHFINR"")"),5532643366232.36)</f>
        <v>5532643366232.3604</v>
      </c>
    </row>
    <row r="728" spans="1:3" x14ac:dyDescent="0.25">
      <c r="A728" s="2">
        <v>727</v>
      </c>
      <c r="B728" s="2">
        <v>69069661904.761795</v>
      </c>
      <c r="C728" s="3">
        <f ca="1">IFERROR(__xludf.DUMMYFUNCTION("B728*GOOGLEFINANCE(""CURRENCY:CHFINR"")"),5542850037609.8)</f>
        <v>5542850037609.7998</v>
      </c>
    </row>
    <row r="729" spans="1:3" x14ac:dyDescent="0.25">
      <c r="A729" s="2">
        <v>728</v>
      </c>
      <c r="B729" s="2">
        <v>69196847619.047501</v>
      </c>
      <c r="C729" s="3">
        <f ca="1">IFERROR(__xludf.DUMMYFUNCTION("B729*GOOGLEFINANCE(""CURRENCY:CHFINR"")"),5553056708987.22)</f>
        <v>5553056708987.2197</v>
      </c>
    </row>
    <row r="730" spans="1:3" x14ac:dyDescent="0.25">
      <c r="A730" s="2">
        <v>729</v>
      </c>
      <c r="B730" s="2">
        <v>69324033333.333206</v>
      </c>
      <c r="C730" s="3">
        <f ca="1">IFERROR(__xludf.DUMMYFUNCTION("B730*GOOGLEFINANCE(""CURRENCY:CHFINR"")"),5563263380364.65)</f>
        <v>5563263380364.6504</v>
      </c>
    </row>
    <row r="731" spans="1:3" x14ac:dyDescent="0.25">
      <c r="A731" s="2">
        <v>730</v>
      </c>
      <c r="B731" s="2">
        <v>69451219047.618896</v>
      </c>
      <c r="C731" s="3">
        <f ca="1">IFERROR(__xludf.DUMMYFUNCTION("B731*GOOGLEFINANCE(""CURRENCY:CHFINR"")"),5573470051742.08)</f>
        <v>5573470051742.0801</v>
      </c>
    </row>
    <row r="732" spans="1:3" x14ac:dyDescent="0.25">
      <c r="A732" s="2">
        <v>731</v>
      </c>
      <c r="B732" s="2">
        <v>69578404761.904602</v>
      </c>
      <c r="C732" s="3">
        <f ca="1">IFERROR(__xludf.DUMMYFUNCTION("B732*GOOGLEFINANCE(""CURRENCY:CHFINR"")"),5583676723119.51)</f>
        <v>5583676723119.5098</v>
      </c>
    </row>
    <row r="733" spans="1:3" x14ac:dyDescent="0.25">
      <c r="A733" s="2">
        <v>732</v>
      </c>
      <c r="B733" s="2">
        <v>69705590476.190308</v>
      </c>
      <c r="C733" s="3">
        <f ca="1">IFERROR(__xludf.DUMMYFUNCTION("B733*GOOGLEFINANCE(""CURRENCY:CHFINR"")"),5593883394496.93)</f>
        <v>5593883394496.9297</v>
      </c>
    </row>
    <row r="734" spans="1:3" x14ac:dyDescent="0.25">
      <c r="A734" s="2">
        <v>733</v>
      </c>
      <c r="B734" s="2">
        <v>69832776190.475998</v>
      </c>
      <c r="C734" s="3">
        <f ca="1">IFERROR(__xludf.DUMMYFUNCTION("B734*GOOGLEFINANCE(""CURRENCY:CHFINR"")"),5604090065874.36)</f>
        <v>5604090065874.3604</v>
      </c>
    </row>
    <row r="735" spans="1:3" x14ac:dyDescent="0.25">
      <c r="A735" s="2">
        <v>734</v>
      </c>
      <c r="B735" s="2">
        <v>69959961904.761795</v>
      </c>
      <c r="C735" s="3">
        <f ca="1">IFERROR(__xludf.DUMMYFUNCTION("B735*GOOGLEFINANCE(""CURRENCY:CHFINR"")"),5614296737251.8)</f>
        <v>5614296737251.7998</v>
      </c>
    </row>
    <row r="736" spans="1:3" x14ac:dyDescent="0.25">
      <c r="A736" s="2">
        <v>735</v>
      </c>
      <c r="B736" s="2">
        <v>70087147619.047501</v>
      </c>
      <c r="C736" s="3">
        <f ca="1">IFERROR(__xludf.DUMMYFUNCTION("B736*GOOGLEFINANCE(""CURRENCY:CHFINR"")"),5624503408629.22)</f>
        <v>5624503408629.2197</v>
      </c>
    </row>
    <row r="737" spans="1:3" x14ac:dyDescent="0.25">
      <c r="A737" s="2">
        <v>736</v>
      </c>
      <c r="B737" s="2">
        <v>70214333333.333206</v>
      </c>
      <c r="C737" s="3">
        <f ca="1">IFERROR(__xludf.DUMMYFUNCTION("B737*GOOGLEFINANCE(""CURRENCY:CHFINR"")"),5634710080006.65)</f>
        <v>5634710080006.6504</v>
      </c>
    </row>
    <row r="738" spans="1:3" x14ac:dyDescent="0.25">
      <c r="A738" s="2">
        <v>737</v>
      </c>
      <c r="B738" s="2">
        <v>70341519047.618896</v>
      </c>
      <c r="C738" s="3">
        <f ca="1">IFERROR(__xludf.DUMMYFUNCTION("B738*GOOGLEFINANCE(""CURRENCY:CHFINR"")"),5644916751384.08)</f>
        <v>5644916751384.0801</v>
      </c>
    </row>
    <row r="739" spans="1:3" x14ac:dyDescent="0.25">
      <c r="A739" s="2">
        <v>738</v>
      </c>
      <c r="B739" s="2">
        <v>70468704761.904602</v>
      </c>
      <c r="C739" s="3">
        <f ca="1">IFERROR(__xludf.DUMMYFUNCTION("B739*GOOGLEFINANCE(""CURRENCY:CHFINR"")"),5655123422761.51)</f>
        <v>5655123422761.5098</v>
      </c>
    </row>
    <row r="740" spans="1:3" x14ac:dyDescent="0.25">
      <c r="A740" s="2">
        <v>739</v>
      </c>
      <c r="B740" s="2">
        <v>70595890476.190308</v>
      </c>
      <c r="C740" s="3">
        <f ca="1">IFERROR(__xludf.DUMMYFUNCTION("B740*GOOGLEFINANCE(""CURRENCY:CHFINR"")"),5665330094138.93)</f>
        <v>5665330094138.9297</v>
      </c>
    </row>
    <row r="741" spans="1:3" x14ac:dyDescent="0.25">
      <c r="A741" s="2">
        <v>740</v>
      </c>
      <c r="B741" s="2">
        <v>70723076190.475998</v>
      </c>
      <c r="C741" s="3">
        <f ca="1">IFERROR(__xludf.DUMMYFUNCTION("B741*GOOGLEFINANCE(""CURRENCY:CHFINR"")"),5675536765516.36)</f>
        <v>5675536765516.3604</v>
      </c>
    </row>
    <row r="742" spans="1:3" x14ac:dyDescent="0.25">
      <c r="A742" s="2">
        <v>741</v>
      </c>
      <c r="B742" s="2">
        <v>70850261904.761795</v>
      </c>
      <c r="C742" s="3">
        <f ca="1">IFERROR(__xludf.DUMMYFUNCTION("B742*GOOGLEFINANCE(""CURRENCY:CHFINR"")"),5685743436893.8)</f>
        <v>5685743436893.7998</v>
      </c>
    </row>
    <row r="743" spans="1:3" x14ac:dyDescent="0.25">
      <c r="A743" s="2">
        <v>742</v>
      </c>
      <c r="B743" s="2">
        <v>70977447619.047501</v>
      </c>
      <c r="C743" s="3">
        <f ca="1">IFERROR(__xludf.DUMMYFUNCTION("B743*GOOGLEFINANCE(""CURRENCY:CHFINR"")"),5695950108271.22)</f>
        <v>5695950108271.2197</v>
      </c>
    </row>
    <row r="744" spans="1:3" x14ac:dyDescent="0.25">
      <c r="A744" s="2">
        <v>743</v>
      </c>
      <c r="B744" s="2">
        <v>71104633333.333206</v>
      </c>
      <c r="C744" s="3">
        <f ca="1">IFERROR(__xludf.DUMMYFUNCTION("B744*GOOGLEFINANCE(""CURRENCY:CHFINR"")"),5706156779648.65)</f>
        <v>5706156779648.6504</v>
      </c>
    </row>
    <row r="745" spans="1:3" x14ac:dyDescent="0.25">
      <c r="A745" s="2">
        <v>744</v>
      </c>
      <c r="B745" s="2">
        <v>71231819047.618896</v>
      </c>
      <c r="C745" s="3">
        <f ca="1">IFERROR(__xludf.DUMMYFUNCTION("B745*GOOGLEFINANCE(""CURRENCY:CHFINR"")"),5716363451026.08)</f>
        <v>5716363451026.0801</v>
      </c>
    </row>
    <row r="746" spans="1:3" x14ac:dyDescent="0.25">
      <c r="A746" s="2">
        <v>745</v>
      </c>
      <c r="B746" s="2">
        <v>71359004761.904602</v>
      </c>
      <c r="C746" s="3">
        <f ca="1">IFERROR(__xludf.DUMMYFUNCTION("B746*GOOGLEFINANCE(""CURRENCY:CHFINR"")"),5726570122403.51)</f>
        <v>5726570122403.5098</v>
      </c>
    </row>
    <row r="747" spans="1:3" x14ac:dyDescent="0.25">
      <c r="A747" s="2">
        <v>746</v>
      </c>
      <c r="B747" s="2">
        <v>71486190476.190308</v>
      </c>
      <c r="C747" s="3">
        <f ca="1">IFERROR(__xludf.DUMMYFUNCTION("B747*GOOGLEFINANCE(""CURRENCY:CHFINR"")"),5736776793780.93)</f>
        <v>5736776793780.9297</v>
      </c>
    </row>
    <row r="748" spans="1:3" x14ac:dyDescent="0.25">
      <c r="A748" s="2">
        <v>747</v>
      </c>
      <c r="B748" s="2">
        <v>71613376190.475998</v>
      </c>
      <c r="C748" s="3">
        <f ca="1">IFERROR(__xludf.DUMMYFUNCTION("B748*GOOGLEFINANCE(""CURRENCY:CHFINR"")"),5746983465158.36)</f>
        <v>5746983465158.3604</v>
      </c>
    </row>
    <row r="749" spans="1:3" x14ac:dyDescent="0.25">
      <c r="A749" s="2">
        <v>748</v>
      </c>
      <c r="B749" s="2">
        <v>71740561904.761795</v>
      </c>
      <c r="C749" s="3">
        <f ca="1">IFERROR(__xludf.DUMMYFUNCTION("B749*GOOGLEFINANCE(""CURRENCY:CHFINR"")"),5757190136535.8)</f>
        <v>5757190136535.7998</v>
      </c>
    </row>
    <row r="750" spans="1:3" x14ac:dyDescent="0.25">
      <c r="A750" s="2">
        <v>749</v>
      </c>
      <c r="B750" s="2">
        <v>71867747619.047501</v>
      </c>
      <c r="C750" s="3">
        <f ca="1">IFERROR(__xludf.DUMMYFUNCTION("B750*GOOGLEFINANCE(""CURRENCY:CHFINR"")"),5767396807913.22)</f>
        <v>5767396807913.2197</v>
      </c>
    </row>
    <row r="751" spans="1:3" x14ac:dyDescent="0.25">
      <c r="A751" s="2">
        <v>750</v>
      </c>
      <c r="B751" s="2">
        <v>71994933333.333206</v>
      </c>
      <c r="C751" s="3">
        <f ca="1">IFERROR(__xludf.DUMMYFUNCTION("B751*GOOGLEFINANCE(""CURRENCY:CHFINR"")"),5777603479290.65)</f>
        <v>5777603479290.6504</v>
      </c>
    </row>
    <row r="752" spans="1:3" x14ac:dyDescent="0.25">
      <c r="A752" s="2">
        <v>751</v>
      </c>
      <c r="B752" s="2">
        <v>72122119047.618896</v>
      </c>
      <c r="C752" s="3">
        <f ca="1">IFERROR(__xludf.DUMMYFUNCTION("B752*GOOGLEFINANCE(""CURRENCY:CHFINR"")"),5787810150668.08)</f>
        <v>5787810150668.0801</v>
      </c>
    </row>
    <row r="753" spans="1:3" x14ac:dyDescent="0.25">
      <c r="A753" s="2">
        <v>752</v>
      </c>
      <c r="B753" s="2">
        <v>72249304761.904602</v>
      </c>
      <c r="C753" s="3">
        <f ca="1">IFERROR(__xludf.DUMMYFUNCTION("B753*GOOGLEFINANCE(""CURRENCY:CHFINR"")"),5798016822045.51)</f>
        <v>5798016822045.5098</v>
      </c>
    </row>
    <row r="754" spans="1:3" x14ac:dyDescent="0.25">
      <c r="A754" s="2">
        <v>753</v>
      </c>
      <c r="B754" s="2">
        <v>72376490476.190308</v>
      </c>
      <c r="C754" s="3">
        <f ca="1">IFERROR(__xludf.DUMMYFUNCTION("B754*GOOGLEFINANCE(""CURRENCY:CHFINR"")"),5808223493422.93)</f>
        <v>5808223493422.9297</v>
      </c>
    </row>
    <row r="755" spans="1:3" x14ac:dyDescent="0.25">
      <c r="A755" s="2">
        <v>754</v>
      </c>
      <c r="B755" s="2">
        <v>72503676190.475998</v>
      </c>
      <c r="C755" s="3">
        <f ca="1">IFERROR(__xludf.DUMMYFUNCTION("B755*GOOGLEFINANCE(""CURRENCY:CHFINR"")"),5818430164800.36)</f>
        <v>5818430164800.3604</v>
      </c>
    </row>
    <row r="756" spans="1:3" x14ac:dyDescent="0.25">
      <c r="A756" s="2">
        <v>755</v>
      </c>
      <c r="B756" s="2">
        <v>72630861904.761795</v>
      </c>
      <c r="C756" s="3">
        <f ca="1">IFERROR(__xludf.DUMMYFUNCTION("B756*GOOGLEFINANCE(""CURRENCY:CHFINR"")"),5828636836177.8)</f>
        <v>5828636836177.7998</v>
      </c>
    </row>
    <row r="757" spans="1:3" x14ac:dyDescent="0.25">
      <c r="A757" s="2">
        <v>756</v>
      </c>
      <c r="B757" s="2">
        <v>72758047619.047501</v>
      </c>
      <c r="C757" s="3">
        <f ca="1">IFERROR(__xludf.DUMMYFUNCTION("B757*GOOGLEFINANCE(""CURRENCY:CHFINR"")"),5838843507555.22)</f>
        <v>5838843507555.2197</v>
      </c>
    </row>
    <row r="758" spans="1:3" x14ac:dyDescent="0.25">
      <c r="A758" s="2">
        <v>757</v>
      </c>
      <c r="B758" s="2">
        <v>72885233333.333206</v>
      </c>
      <c r="C758" s="3">
        <f ca="1">IFERROR(__xludf.DUMMYFUNCTION("B758*GOOGLEFINANCE(""CURRENCY:CHFINR"")"),5849050178932.65)</f>
        <v>5849050178932.6504</v>
      </c>
    </row>
    <row r="759" spans="1:3" x14ac:dyDescent="0.25">
      <c r="A759" s="2">
        <v>758</v>
      </c>
      <c r="B759" s="2">
        <v>73012419047.618896</v>
      </c>
      <c r="C759" s="3">
        <f ca="1">IFERROR(__xludf.DUMMYFUNCTION("B759*GOOGLEFINANCE(""CURRENCY:CHFINR"")"),5859256850310.08)</f>
        <v>5859256850310.0801</v>
      </c>
    </row>
    <row r="760" spans="1:3" x14ac:dyDescent="0.25">
      <c r="A760" s="2">
        <v>759</v>
      </c>
      <c r="B760" s="2">
        <v>73139604761.904602</v>
      </c>
      <c r="C760" s="3">
        <f ca="1">IFERROR(__xludf.DUMMYFUNCTION("B760*GOOGLEFINANCE(""CURRENCY:CHFINR"")"),5869463521687.51)</f>
        <v>5869463521687.5098</v>
      </c>
    </row>
    <row r="761" spans="1:3" x14ac:dyDescent="0.25">
      <c r="A761" s="2">
        <v>760</v>
      </c>
      <c r="B761" s="2">
        <v>73266790476.190308</v>
      </c>
      <c r="C761" s="3">
        <f ca="1">IFERROR(__xludf.DUMMYFUNCTION("B761*GOOGLEFINANCE(""CURRENCY:CHFINR"")"),5879670193064.93)</f>
        <v>5879670193064.9297</v>
      </c>
    </row>
    <row r="762" spans="1:3" x14ac:dyDescent="0.25">
      <c r="A762" s="2">
        <v>761</v>
      </c>
      <c r="B762" s="2">
        <v>73393976190.475998</v>
      </c>
      <c r="C762" s="3">
        <f ca="1">IFERROR(__xludf.DUMMYFUNCTION("B762*GOOGLEFINANCE(""CURRENCY:CHFINR"")"),5889876864442.36)</f>
        <v>5889876864442.3604</v>
      </c>
    </row>
    <row r="763" spans="1:3" x14ac:dyDescent="0.25">
      <c r="A763" s="2">
        <v>762</v>
      </c>
      <c r="B763" s="2">
        <v>73521161904.761795</v>
      </c>
      <c r="C763" s="3">
        <f ca="1">IFERROR(__xludf.DUMMYFUNCTION("B763*GOOGLEFINANCE(""CURRENCY:CHFINR"")"),5900083535819.8)</f>
        <v>5900083535819.7998</v>
      </c>
    </row>
    <row r="764" spans="1:3" x14ac:dyDescent="0.25">
      <c r="A764" s="2">
        <v>763</v>
      </c>
      <c r="B764" s="2">
        <v>73648347619.047501</v>
      </c>
      <c r="C764" s="3">
        <f ca="1">IFERROR(__xludf.DUMMYFUNCTION("B764*GOOGLEFINANCE(""CURRENCY:CHFINR"")"),5910290207197.22)</f>
        <v>5910290207197.2197</v>
      </c>
    </row>
    <row r="765" spans="1:3" x14ac:dyDescent="0.25">
      <c r="A765" s="2">
        <v>764</v>
      </c>
      <c r="B765" s="2">
        <v>73775533333.333206</v>
      </c>
      <c r="C765" s="3">
        <f ca="1">IFERROR(__xludf.DUMMYFUNCTION("B765*GOOGLEFINANCE(""CURRENCY:CHFINR"")"),5920496878574.65)</f>
        <v>5920496878574.6504</v>
      </c>
    </row>
    <row r="766" spans="1:3" x14ac:dyDescent="0.25">
      <c r="A766" s="2">
        <v>765</v>
      </c>
      <c r="B766" s="2">
        <v>73902719047.618896</v>
      </c>
      <c r="C766" s="3">
        <f ca="1">IFERROR(__xludf.DUMMYFUNCTION("B766*GOOGLEFINANCE(""CURRENCY:CHFINR"")"),5930703549952.08)</f>
        <v>5930703549952.0801</v>
      </c>
    </row>
    <row r="767" spans="1:3" x14ac:dyDescent="0.25">
      <c r="A767" s="2">
        <v>766</v>
      </c>
      <c r="B767" s="2">
        <v>74029904761.904602</v>
      </c>
      <c r="C767" s="3">
        <f ca="1">IFERROR(__xludf.DUMMYFUNCTION("B767*GOOGLEFINANCE(""CURRENCY:CHFINR"")"),5940910221329.51)</f>
        <v>5940910221329.5098</v>
      </c>
    </row>
    <row r="768" spans="1:3" x14ac:dyDescent="0.25">
      <c r="A768" s="2">
        <v>767</v>
      </c>
      <c r="B768" s="2">
        <v>74157090476.190308</v>
      </c>
      <c r="C768" s="3">
        <f ca="1">IFERROR(__xludf.DUMMYFUNCTION("B768*GOOGLEFINANCE(""CURRENCY:CHFINR"")"),5951116892706.93)</f>
        <v>5951116892706.9297</v>
      </c>
    </row>
    <row r="769" spans="1:3" x14ac:dyDescent="0.25">
      <c r="A769" s="2">
        <v>768</v>
      </c>
      <c r="B769" s="2">
        <v>74284276190.475998</v>
      </c>
      <c r="C769" s="3">
        <f ca="1">IFERROR(__xludf.DUMMYFUNCTION("B769*GOOGLEFINANCE(""CURRENCY:CHFINR"")"),5961323564084.36)</f>
        <v>5961323564084.3604</v>
      </c>
    </row>
    <row r="770" spans="1:3" x14ac:dyDescent="0.25">
      <c r="A770" s="2">
        <v>769</v>
      </c>
      <c r="B770" s="2">
        <v>74411461904.761795</v>
      </c>
      <c r="C770" s="3">
        <f ca="1">IFERROR(__xludf.DUMMYFUNCTION("B770*GOOGLEFINANCE(""CURRENCY:CHFINR"")"),5971530235461.8)</f>
        <v>5971530235461.7998</v>
      </c>
    </row>
    <row r="771" spans="1:3" x14ac:dyDescent="0.25">
      <c r="A771" s="2">
        <v>770</v>
      </c>
      <c r="B771" s="2">
        <v>74538647619.047501</v>
      </c>
      <c r="C771" s="3">
        <f ca="1">IFERROR(__xludf.DUMMYFUNCTION("B771*GOOGLEFINANCE(""CURRENCY:CHFINR"")"),5981736906839.22)</f>
        <v>5981736906839.2197</v>
      </c>
    </row>
    <row r="772" spans="1:3" x14ac:dyDescent="0.25">
      <c r="A772" s="2">
        <v>771</v>
      </c>
      <c r="B772" s="2">
        <v>74665833333.333206</v>
      </c>
      <c r="C772" s="3">
        <f ca="1">IFERROR(__xludf.DUMMYFUNCTION("B772*GOOGLEFINANCE(""CURRENCY:CHFINR"")"),5991943578216.65)</f>
        <v>5991943578216.6504</v>
      </c>
    </row>
    <row r="773" spans="1:3" x14ac:dyDescent="0.25">
      <c r="A773" s="2">
        <v>772</v>
      </c>
      <c r="B773" s="2">
        <v>74793019047.618896</v>
      </c>
      <c r="C773" s="3">
        <f ca="1">IFERROR(__xludf.DUMMYFUNCTION("B773*GOOGLEFINANCE(""CURRENCY:CHFINR"")"),6002150249594.08)</f>
        <v>6002150249594.0801</v>
      </c>
    </row>
    <row r="774" spans="1:3" x14ac:dyDescent="0.25">
      <c r="A774" s="2">
        <v>773</v>
      </c>
      <c r="B774" s="2">
        <v>74920204761.904602</v>
      </c>
      <c r="C774" s="3">
        <f ca="1">IFERROR(__xludf.DUMMYFUNCTION("B774*GOOGLEFINANCE(""CURRENCY:CHFINR"")"),6012356920971.51)</f>
        <v>6012356920971.5098</v>
      </c>
    </row>
    <row r="775" spans="1:3" x14ac:dyDescent="0.25">
      <c r="A775" s="2">
        <v>774</v>
      </c>
      <c r="B775" s="2">
        <v>75047390476.190308</v>
      </c>
      <c r="C775" s="3">
        <f ca="1">IFERROR(__xludf.DUMMYFUNCTION("B775*GOOGLEFINANCE(""CURRENCY:CHFINR"")"),6022563592348.93)</f>
        <v>6022563592348.9297</v>
      </c>
    </row>
    <row r="776" spans="1:3" x14ac:dyDescent="0.25">
      <c r="A776" s="2">
        <v>775</v>
      </c>
      <c r="B776" s="2">
        <v>75174576190.475998</v>
      </c>
      <c r="C776" s="3">
        <f ca="1">IFERROR(__xludf.DUMMYFUNCTION("B776*GOOGLEFINANCE(""CURRENCY:CHFINR"")"),6032770263726.36)</f>
        <v>6032770263726.3604</v>
      </c>
    </row>
    <row r="777" spans="1:3" x14ac:dyDescent="0.25">
      <c r="A777" s="2">
        <v>776</v>
      </c>
      <c r="B777" s="2">
        <v>75301761904.761795</v>
      </c>
      <c r="C777" s="3">
        <f ca="1">IFERROR(__xludf.DUMMYFUNCTION("B777*GOOGLEFINANCE(""CURRENCY:CHFINR"")"),6042976935103.8)</f>
        <v>6042976935103.7998</v>
      </c>
    </row>
    <row r="778" spans="1:3" x14ac:dyDescent="0.25">
      <c r="A778" s="2">
        <v>777</v>
      </c>
      <c r="B778" s="2">
        <v>75428947619.047501</v>
      </c>
      <c r="C778" s="3">
        <f ca="1">IFERROR(__xludf.DUMMYFUNCTION("B778*GOOGLEFINANCE(""CURRENCY:CHFINR"")"),6053183606481.22)</f>
        <v>6053183606481.2197</v>
      </c>
    </row>
    <row r="779" spans="1:3" x14ac:dyDescent="0.25">
      <c r="A779" s="2">
        <v>778</v>
      </c>
      <c r="B779" s="2">
        <v>75556133333.333206</v>
      </c>
      <c r="C779" s="3">
        <f ca="1">IFERROR(__xludf.DUMMYFUNCTION("B779*GOOGLEFINANCE(""CURRENCY:CHFINR"")"),6063390277858.65)</f>
        <v>6063390277858.6504</v>
      </c>
    </row>
    <row r="780" spans="1:3" x14ac:dyDescent="0.25">
      <c r="A780" s="2">
        <v>779</v>
      </c>
      <c r="B780" s="2">
        <v>75683319047.618896</v>
      </c>
      <c r="C780" s="3">
        <f ca="1">IFERROR(__xludf.DUMMYFUNCTION("B780*GOOGLEFINANCE(""CURRENCY:CHFINR"")"),6073596949236.08)</f>
        <v>6073596949236.0801</v>
      </c>
    </row>
    <row r="781" spans="1:3" x14ac:dyDescent="0.25">
      <c r="A781" s="2">
        <v>780</v>
      </c>
      <c r="B781" s="2">
        <v>75810504761.904602</v>
      </c>
      <c r="C781" s="3">
        <f ca="1">IFERROR(__xludf.DUMMYFUNCTION("B781*GOOGLEFINANCE(""CURRENCY:CHFINR"")"),6083803620613.51)</f>
        <v>6083803620613.5098</v>
      </c>
    </row>
    <row r="782" spans="1:3" x14ac:dyDescent="0.25">
      <c r="A782" s="2">
        <v>781</v>
      </c>
      <c r="B782" s="2">
        <v>75937690476.190308</v>
      </c>
      <c r="C782" s="3">
        <f ca="1">IFERROR(__xludf.DUMMYFUNCTION("B782*GOOGLEFINANCE(""CURRENCY:CHFINR"")"),6094010291990.93)</f>
        <v>6094010291990.9297</v>
      </c>
    </row>
    <row r="783" spans="1:3" x14ac:dyDescent="0.25">
      <c r="A783" s="2">
        <v>782</v>
      </c>
      <c r="B783" s="2">
        <v>76064876190.475998</v>
      </c>
      <c r="C783" s="3">
        <f ca="1">IFERROR(__xludf.DUMMYFUNCTION("B783*GOOGLEFINANCE(""CURRENCY:CHFINR"")"),6104216963368.36)</f>
        <v>6104216963368.3604</v>
      </c>
    </row>
    <row r="784" spans="1:3" x14ac:dyDescent="0.25">
      <c r="A784" s="2">
        <v>783</v>
      </c>
      <c r="B784" s="2">
        <v>76192061904.761795</v>
      </c>
      <c r="C784" s="3">
        <f ca="1">IFERROR(__xludf.DUMMYFUNCTION("B784*GOOGLEFINANCE(""CURRENCY:CHFINR"")"),6114423634745.8)</f>
        <v>6114423634745.7998</v>
      </c>
    </row>
    <row r="785" spans="1:3" x14ac:dyDescent="0.25">
      <c r="A785" s="2">
        <v>784</v>
      </c>
      <c r="B785" s="2">
        <v>76319247619.047501</v>
      </c>
      <c r="C785" s="3">
        <f ca="1">IFERROR(__xludf.DUMMYFUNCTION("B785*GOOGLEFINANCE(""CURRENCY:CHFINR"")"),6124630306123.22)</f>
        <v>6124630306123.2197</v>
      </c>
    </row>
    <row r="786" spans="1:3" x14ac:dyDescent="0.25">
      <c r="A786" s="2">
        <v>785</v>
      </c>
      <c r="B786" s="2">
        <v>76446433333.333206</v>
      </c>
      <c r="C786" s="3">
        <f ca="1">IFERROR(__xludf.DUMMYFUNCTION("B786*GOOGLEFINANCE(""CURRENCY:CHFINR"")"),6134836977500.65)</f>
        <v>6134836977500.6504</v>
      </c>
    </row>
    <row r="787" spans="1:3" x14ac:dyDescent="0.25">
      <c r="A787" s="2">
        <v>786</v>
      </c>
      <c r="B787" s="2">
        <v>76573619047.618896</v>
      </c>
      <c r="C787" s="3">
        <f ca="1">IFERROR(__xludf.DUMMYFUNCTION("B787*GOOGLEFINANCE(""CURRENCY:CHFINR"")"),6145043648878.08)</f>
        <v>6145043648878.0801</v>
      </c>
    </row>
    <row r="788" spans="1:3" x14ac:dyDescent="0.25">
      <c r="A788" s="2">
        <v>787</v>
      </c>
      <c r="B788" s="2">
        <v>76700804761.904602</v>
      </c>
      <c r="C788" s="3">
        <f ca="1">IFERROR(__xludf.DUMMYFUNCTION("B788*GOOGLEFINANCE(""CURRENCY:CHFINR"")"),6155250320255.51)</f>
        <v>6155250320255.5098</v>
      </c>
    </row>
    <row r="789" spans="1:3" x14ac:dyDescent="0.25">
      <c r="A789" s="2">
        <v>788</v>
      </c>
      <c r="B789" s="2">
        <v>76827990476.190308</v>
      </c>
      <c r="C789" s="3">
        <f ca="1">IFERROR(__xludf.DUMMYFUNCTION("B789*GOOGLEFINANCE(""CURRENCY:CHFINR"")"),6165456991632.93)</f>
        <v>6165456991632.9297</v>
      </c>
    </row>
    <row r="790" spans="1:3" x14ac:dyDescent="0.25">
      <c r="A790" s="2">
        <v>789</v>
      </c>
      <c r="B790" s="2">
        <v>76955176190.475998</v>
      </c>
      <c r="C790" s="3">
        <f ca="1">IFERROR(__xludf.DUMMYFUNCTION("B790*GOOGLEFINANCE(""CURRENCY:CHFINR"")"),6175663663010.36)</f>
        <v>6175663663010.3604</v>
      </c>
    </row>
    <row r="791" spans="1:3" x14ac:dyDescent="0.25">
      <c r="A791" s="2">
        <v>790</v>
      </c>
      <c r="B791" s="2">
        <v>77082361904.761795</v>
      </c>
      <c r="C791" s="3">
        <f ca="1">IFERROR(__xludf.DUMMYFUNCTION("B791*GOOGLEFINANCE(""CURRENCY:CHFINR"")"),6185870334387.8)</f>
        <v>6185870334387.7998</v>
      </c>
    </row>
    <row r="792" spans="1:3" x14ac:dyDescent="0.25">
      <c r="A792" s="2">
        <v>791</v>
      </c>
      <c r="B792" s="2">
        <v>77209547619.047501</v>
      </c>
      <c r="C792" s="3">
        <f ca="1">IFERROR(__xludf.DUMMYFUNCTION("B792*GOOGLEFINANCE(""CURRENCY:CHFINR"")"),6196077005765.22)</f>
        <v>6196077005765.2197</v>
      </c>
    </row>
    <row r="793" spans="1:3" x14ac:dyDescent="0.25">
      <c r="A793" s="2">
        <v>792</v>
      </c>
      <c r="B793" s="2">
        <v>77336733333.333206</v>
      </c>
      <c r="C793" s="3">
        <f ca="1">IFERROR(__xludf.DUMMYFUNCTION("B793*GOOGLEFINANCE(""CURRENCY:CHFINR"")"),6206283677142.65)</f>
        <v>6206283677142.6504</v>
      </c>
    </row>
    <row r="794" spans="1:3" x14ac:dyDescent="0.25">
      <c r="A794" s="2">
        <v>793</v>
      </c>
      <c r="B794" s="2">
        <v>77463919047.618896</v>
      </c>
      <c r="C794" s="3">
        <f ca="1">IFERROR(__xludf.DUMMYFUNCTION("B794*GOOGLEFINANCE(""CURRENCY:CHFINR"")"),6216490348520.08)</f>
        <v>6216490348520.0801</v>
      </c>
    </row>
    <row r="795" spans="1:3" x14ac:dyDescent="0.25">
      <c r="A795" s="2">
        <v>794</v>
      </c>
      <c r="B795" s="2">
        <v>77591104761.904602</v>
      </c>
      <c r="C795" s="3">
        <f ca="1">IFERROR(__xludf.DUMMYFUNCTION("B795*GOOGLEFINANCE(""CURRENCY:CHFINR"")"),6226697019897.51)</f>
        <v>6226697019897.5098</v>
      </c>
    </row>
    <row r="796" spans="1:3" x14ac:dyDescent="0.25">
      <c r="A796" s="2">
        <v>795</v>
      </c>
      <c r="B796" s="2">
        <v>77718290476.190308</v>
      </c>
      <c r="C796" s="3">
        <f ca="1">IFERROR(__xludf.DUMMYFUNCTION("B796*GOOGLEFINANCE(""CURRENCY:CHFINR"")"),6236903691274.93)</f>
        <v>6236903691274.9297</v>
      </c>
    </row>
    <row r="797" spans="1:3" x14ac:dyDescent="0.25">
      <c r="A797" s="2">
        <v>796</v>
      </c>
      <c r="B797" s="2">
        <v>77845476190.475998</v>
      </c>
      <c r="C797" s="3">
        <f ca="1">IFERROR(__xludf.DUMMYFUNCTION("B797*GOOGLEFINANCE(""CURRENCY:CHFINR"")"),6247110362652.36)</f>
        <v>6247110362652.3604</v>
      </c>
    </row>
    <row r="798" spans="1:3" x14ac:dyDescent="0.25">
      <c r="A798" s="2">
        <v>797</v>
      </c>
      <c r="B798" s="2">
        <v>77972661904.761703</v>
      </c>
      <c r="C798" s="3">
        <f ca="1">IFERROR(__xludf.DUMMYFUNCTION("B798*GOOGLEFINANCE(""CURRENCY:CHFINR"")"),6257317034029.79)</f>
        <v>6257317034029.79</v>
      </c>
    </row>
    <row r="799" spans="1:3" x14ac:dyDescent="0.25">
      <c r="A799" s="2">
        <v>798</v>
      </c>
      <c r="B799" s="2">
        <v>78099847619.047501</v>
      </c>
      <c r="C799" s="3">
        <f ca="1">IFERROR(__xludf.DUMMYFUNCTION("B799*GOOGLEFINANCE(""CURRENCY:CHFINR"")"),6267523705407.22)</f>
        <v>6267523705407.2197</v>
      </c>
    </row>
    <row r="800" spans="1:3" x14ac:dyDescent="0.25">
      <c r="A800" s="2">
        <v>799</v>
      </c>
      <c r="B800" s="2">
        <v>78227033333.333206</v>
      </c>
      <c r="C800" s="3">
        <f ca="1">IFERROR(__xludf.DUMMYFUNCTION("B800*GOOGLEFINANCE(""CURRENCY:CHFINR"")"),6277730376784.65)</f>
        <v>6277730376784.6504</v>
      </c>
    </row>
    <row r="801" spans="1:3" x14ac:dyDescent="0.25">
      <c r="A801" s="2">
        <v>800</v>
      </c>
      <c r="B801" s="2">
        <v>78354219047.618896</v>
      </c>
      <c r="C801" s="3">
        <f ca="1">IFERROR(__xludf.DUMMYFUNCTION("B801*GOOGLEFINANCE(""CURRENCY:CHFINR"")"),6287937048162.08)</f>
        <v>6287937048162.0801</v>
      </c>
    </row>
    <row r="802" spans="1:3" x14ac:dyDescent="0.25">
      <c r="A802" s="2">
        <v>801</v>
      </c>
      <c r="B802" s="2">
        <v>78481404761.904602</v>
      </c>
      <c r="C802" s="3">
        <f ca="1">IFERROR(__xludf.DUMMYFUNCTION("B802*GOOGLEFINANCE(""CURRENCY:CHFINR"")"),6298143719539.51)</f>
        <v>6298143719539.5098</v>
      </c>
    </row>
    <row r="803" spans="1:3" x14ac:dyDescent="0.25">
      <c r="A803" s="2">
        <v>802</v>
      </c>
      <c r="B803" s="2">
        <v>78608590476.190308</v>
      </c>
      <c r="C803" s="3">
        <f ca="1">IFERROR(__xludf.DUMMYFUNCTION("B803*GOOGLEFINANCE(""CURRENCY:CHFINR"")"),6308350390916.93)</f>
        <v>6308350390916.9297</v>
      </c>
    </row>
    <row r="804" spans="1:3" x14ac:dyDescent="0.25">
      <c r="A804" s="2">
        <v>803</v>
      </c>
      <c r="B804" s="2">
        <v>78735776190.475998</v>
      </c>
      <c r="C804" s="3">
        <f ca="1">IFERROR(__xludf.DUMMYFUNCTION("B804*GOOGLEFINANCE(""CURRENCY:CHFINR"")"),6318557062294.36)</f>
        <v>6318557062294.3604</v>
      </c>
    </row>
    <row r="805" spans="1:3" x14ac:dyDescent="0.25">
      <c r="A805" s="2">
        <v>804</v>
      </c>
      <c r="B805" s="2">
        <v>78862961904.761703</v>
      </c>
      <c r="C805" s="3">
        <f ca="1">IFERROR(__xludf.DUMMYFUNCTION("B805*GOOGLEFINANCE(""CURRENCY:CHFINR"")"),6328763733671.79)</f>
        <v>6328763733671.79</v>
      </c>
    </row>
    <row r="806" spans="1:3" x14ac:dyDescent="0.25">
      <c r="A806" s="2">
        <v>805</v>
      </c>
      <c r="B806" s="2">
        <v>78990147619.047501</v>
      </c>
      <c r="C806" s="3">
        <f ca="1">IFERROR(__xludf.DUMMYFUNCTION("B806*GOOGLEFINANCE(""CURRENCY:CHFINR"")"),6338970405049.22)</f>
        <v>6338970405049.2197</v>
      </c>
    </row>
    <row r="807" spans="1:3" x14ac:dyDescent="0.25">
      <c r="A807" s="2">
        <v>806</v>
      </c>
      <c r="B807" s="2">
        <v>79117333333.333206</v>
      </c>
      <c r="C807" s="3">
        <f ca="1">IFERROR(__xludf.DUMMYFUNCTION("B807*GOOGLEFINANCE(""CURRENCY:CHFINR"")"),6349177076426.65)</f>
        <v>6349177076426.6504</v>
      </c>
    </row>
    <row r="808" spans="1:3" x14ac:dyDescent="0.25">
      <c r="A808" s="2">
        <v>807</v>
      </c>
      <c r="B808" s="2">
        <v>79244519047.618896</v>
      </c>
      <c r="C808" s="3">
        <f ca="1">IFERROR(__xludf.DUMMYFUNCTION("B808*GOOGLEFINANCE(""CURRENCY:CHFINR"")"),6359383747804.08)</f>
        <v>6359383747804.0801</v>
      </c>
    </row>
    <row r="809" spans="1:3" x14ac:dyDescent="0.25">
      <c r="A809" s="2">
        <v>808</v>
      </c>
      <c r="B809" s="2">
        <v>79371704761.904602</v>
      </c>
      <c r="C809" s="3">
        <f ca="1">IFERROR(__xludf.DUMMYFUNCTION("B809*GOOGLEFINANCE(""CURRENCY:CHFINR"")"),6369590419181.51)</f>
        <v>6369590419181.5098</v>
      </c>
    </row>
    <row r="810" spans="1:3" x14ac:dyDescent="0.25">
      <c r="A810" s="2">
        <v>809</v>
      </c>
      <c r="B810" s="2">
        <v>79498890476.190308</v>
      </c>
      <c r="C810" s="3">
        <f ca="1">IFERROR(__xludf.DUMMYFUNCTION("B810*GOOGLEFINANCE(""CURRENCY:CHFINR"")"),6379797090558.93)</f>
        <v>6379797090558.9297</v>
      </c>
    </row>
    <row r="811" spans="1:3" x14ac:dyDescent="0.25">
      <c r="A811" s="2">
        <v>810</v>
      </c>
      <c r="B811" s="2">
        <v>79626076190.475998</v>
      </c>
      <c r="C811" s="3">
        <f ca="1">IFERROR(__xludf.DUMMYFUNCTION("B811*GOOGLEFINANCE(""CURRENCY:CHFINR"")"),6390003761936.36)</f>
        <v>6390003761936.3604</v>
      </c>
    </row>
    <row r="812" spans="1:3" x14ac:dyDescent="0.25">
      <c r="A812" s="2">
        <v>811</v>
      </c>
      <c r="B812" s="2">
        <v>79753261904.761703</v>
      </c>
      <c r="C812" s="3">
        <f ca="1">IFERROR(__xludf.DUMMYFUNCTION("B812*GOOGLEFINANCE(""CURRENCY:CHFINR"")"),6400210433313.79)</f>
        <v>6400210433313.79</v>
      </c>
    </row>
    <row r="813" spans="1:3" x14ac:dyDescent="0.25">
      <c r="A813" s="2">
        <v>812</v>
      </c>
      <c r="B813" s="2">
        <v>79880447619.047501</v>
      </c>
      <c r="C813" s="3">
        <f ca="1">IFERROR(__xludf.DUMMYFUNCTION("B813*GOOGLEFINANCE(""CURRENCY:CHFINR"")"),6410417104691.22)</f>
        <v>6410417104691.2197</v>
      </c>
    </row>
    <row r="814" spans="1:3" x14ac:dyDescent="0.25">
      <c r="A814" s="2">
        <v>813</v>
      </c>
      <c r="B814" s="2">
        <v>80007633333.333206</v>
      </c>
      <c r="C814" s="3">
        <f ca="1">IFERROR(__xludf.DUMMYFUNCTION("B814*GOOGLEFINANCE(""CURRENCY:CHFINR"")"),6420623776068.65)</f>
        <v>6420623776068.6504</v>
      </c>
    </row>
    <row r="815" spans="1:3" x14ac:dyDescent="0.25">
      <c r="A815" s="2">
        <v>814</v>
      </c>
      <c r="B815" s="2">
        <v>80134819047.618896</v>
      </c>
      <c r="C815" s="3">
        <f ca="1">IFERROR(__xludf.DUMMYFUNCTION("B815*GOOGLEFINANCE(""CURRENCY:CHFINR"")"),6430830447446.08)</f>
        <v>6430830447446.0801</v>
      </c>
    </row>
    <row r="816" spans="1:3" x14ac:dyDescent="0.25">
      <c r="A816" s="2">
        <v>815</v>
      </c>
      <c r="B816" s="2">
        <v>80262004761.904602</v>
      </c>
      <c r="C816" s="3">
        <f ca="1">IFERROR(__xludf.DUMMYFUNCTION("B816*GOOGLEFINANCE(""CURRENCY:CHFINR"")"),6441037118823.51)</f>
        <v>6441037118823.5098</v>
      </c>
    </row>
    <row r="817" spans="1:3" x14ac:dyDescent="0.25">
      <c r="A817" s="2">
        <v>816</v>
      </c>
      <c r="B817" s="2">
        <v>80389190476.190308</v>
      </c>
      <c r="C817" s="3">
        <f ca="1">IFERROR(__xludf.DUMMYFUNCTION("B817*GOOGLEFINANCE(""CURRENCY:CHFINR"")"),6451243790200.93)</f>
        <v>6451243790200.9297</v>
      </c>
    </row>
    <row r="818" spans="1:3" x14ac:dyDescent="0.25">
      <c r="A818" s="2">
        <v>817</v>
      </c>
      <c r="B818" s="2">
        <v>80516376190.475998</v>
      </c>
      <c r="C818" s="3">
        <f ca="1">IFERROR(__xludf.DUMMYFUNCTION("B818*GOOGLEFINANCE(""CURRENCY:CHFINR"")"),6461450461578.36)</f>
        <v>6461450461578.3604</v>
      </c>
    </row>
    <row r="819" spans="1:3" x14ac:dyDescent="0.25">
      <c r="A819" s="2">
        <v>818</v>
      </c>
      <c r="B819" s="2">
        <v>80643561904.761703</v>
      </c>
      <c r="C819" s="3">
        <f ca="1">IFERROR(__xludf.DUMMYFUNCTION("B819*GOOGLEFINANCE(""CURRENCY:CHFINR"")"),6471657132955.79)</f>
        <v>6471657132955.79</v>
      </c>
    </row>
    <row r="820" spans="1:3" x14ac:dyDescent="0.25">
      <c r="A820" s="2">
        <v>819</v>
      </c>
      <c r="B820" s="2">
        <v>80770747619.047501</v>
      </c>
      <c r="C820" s="3">
        <f ca="1">IFERROR(__xludf.DUMMYFUNCTION("B820*GOOGLEFINANCE(""CURRENCY:CHFINR"")"),6481863804333.22)</f>
        <v>6481863804333.2197</v>
      </c>
    </row>
    <row r="821" spans="1:3" x14ac:dyDescent="0.25">
      <c r="A821" s="2">
        <v>820</v>
      </c>
      <c r="B821" s="2">
        <v>80897933333.333206</v>
      </c>
      <c r="C821" s="3">
        <f ca="1">IFERROR(__xludf.DUMMYFUNCTION("B821*GOOGLEFINANCE(""CURRENCY:CHFINR"")"),6492070475710.65)</f>
        <v>6492070475710.6504</v>
      </c>
    </row>
    <row r="822" spans="1:3" x14ac:dyDescent="0.25">
      <c r="A822" s="2">
        <v>821</v>
      </c>
      <c r="B822" s="2">
        <v>81025119047.618896</v>
      </c>
      <c r="C822" s="3">
        <f ca="1">IFERROR(__xludf.DUMMYFUNCTION("B822*GOOGLEFINANCE(""CURRENCY:CHFINR"")"),6502277147088.08)</f>
        <v>6502277147088.0801</v>
      </c>
    </row>
    <row r="823" spans="1:3" x14ac:dyDescent="0.25">
      <c r="A823" s="2">
        <v>822</v>
      </c>
      <c r="B823" s="2">
        <v>81152304761.904602</v>
      </c>
      <c r="C823" s="3">
        <f ca="1">IFERROR(__xludf.DUMMYFUNCTION("B823*GOOGLEFINANCE(""CURRENCY:CHFINR"")"),6512483818465.51)</f>
        <v>6512483818465.5098</v>
      </c>
    </row>
    <row r="824" spans="1:3" x14ac:dyDescent="0.25">
      <c r="A824" s="2">
        <v>823</v>
      </c>
      <c r="B824" s="2">
        <v>81279490476.190308</v>
      </c>
      <c r="C824" s="3">
        <f ca="1">IFERROR(__xludf.DUMMYFUNCTION("B824*GOOGLEFINANCE(""CURRENCY:CHFINR"")"),6522690489842.93)</f>
        <v>6522690489842.9297</v>
      </c>
    </row>
    <row r="825" spans="1:3" x14ac:dyDescent="0.25">
      <c r="A825" s="2">
        <v>824</v>
      </c>
      <c r="B825" s="2">
        <v>81406676190.475998</v>
      </c>
      <c r="C825" s="3">
        <f ca="1">IFERROR(__xludf.DUMMYFUNCTION("B825*GOOGLEFINANCE(""CURRENCY:CHFINR"")"),6532897161220.36)</f>
        <v>6532897161220.3604</v>
      </c>
    </row>
    <row r="826" spans="1:3" x14ac:dyDescent="0.25">
      <c r="A826" s="2">
        <v>825</v>
      </c>
      <c r="B826" s="2">
        <v>81533861904.761703</v>
      </c>
      <c r="C826" s="3">
        <f ca="1">IFERROR(__xludf.DUMMYFUNCTION("B826*GOOGLEFINANCE(""CURRENCY:CHFINR"")"),6543103832597.79)</f>
        <v>6543103832597.79</v>
      </c>
    </row>
    <row r="827" spans="1:3" x14ac:dyDescent="0.25">
      <c r="A827" s="2">
        <v>826</v>
      </c>
      <c r="B827" s="2">
        <v>81661047619.047501</v>
      </c>
      <c r="C827" s="3">
        <f ca="1">IFERROR(__xludf.DUMMYFUNCTION("B827*GOOGLEFINANCE(""CURRENCY:CHFINR"")"),6553310503975.22)</f>
        <v>6553310503975.2197</v>
      </c>
    </row>
    <row r="828" spans="1:3" x14ac:dyDescent="0.25">
      <c r="A828" s="2">
        <v>827</v>
      </c>
      <c r="B828" s="2">
        <v>81788233333.333206</v>
      </c>
      <c r="C828" s="3">
        <f ca="1">IFERROR(__xludf.DUMMYFUNCTION("B828*GOOGLEFINANCE(""CURRENCY:CHFINR"")"),6563517175352.65)</f>
        <v>6563517175352.6504</v>
      </c>
    </row>
    <row r="829" spans="1:3" x14ac:dyDescent="0.25">
      <c r="A829" s="2">
        <v>828</v>
      </c>
      <c r="B829" s="2">
        <v>81915419047.618896</v>
      </c>
      <c r="C829" s="3">
        <f ca="1">IFERROR(__xludf.DUMMYFUNCTION("B829*GOOGLEFINANCE(""CURRENCY:CHFINR"")"),6573723846730.08)</f>
        <v>6573723846730.0801</v>
      </c>
    </row>
    <row r="830" spans="1:3" x14ac:dyDescent="0.25">
      <c r="A830" s="2">
        <v>829</v>
      </c>
      <c r="B830" s="2">
        <v>82042604761.904602</v>
      </c>
      <c r="C830" s="3">
        <f ca="1">IFERROR(__xludf.DUMMYFUNCTION("B830*GOOGLEFINANCE(""CURRENCY:CHFINR"")"),6583930518107.51)</f>
        <v>6583930518107.5098</v>
      </c>
    </row>
    <row r="831" spans="1:3" x14ac:dyDescent="0.25">
      <c r="A831" s="2">
        <v>830</v>
      </c>
      <c r="B831" s="2">
        <v>82169790476.190308</v>
      </c>
      <c r="C831" s="3">
        <f ca="1">IFERROR(__xludf.DUMMYFUNCTION("B831*GOOGLEFINANCE(""CURRENCY:CHFINR"")"),6594137189484.93)</f>
        <v>6594137189484.9297</v>
      </c>
    </row>
    <row r="832" spans="1:3" x14ac:dyDescent="0.25">
      <c r="A832" s="2">
        <v>831</v>
      </c>
      <c r="B832" s="2">
        <v>82296976190.475998</v>
      </c>
      <c r="C832" s="3">
        <f ca="1">IFERROR(__xludf.DUMMYFUNCTION("B832*GOOGLEFINANCE(""CURRENCY:CHFINR"")"),6604343860862.36)</f>
        <v>6604343860862.3604</v>
      </c>
    </row>
    <row r="833" spans="1:3" x14ac:dyDescent="0.25">
      <c r="A833" s="2">
        <v>832</v>
      </c>
      <c r="B833" s="2">
        <v>82424161904.761703</v>
      </c>
      <c r="C833" s="3">
        <f ca="1">IFERROR(__xludf.DUMMYFUNCTION("B833*GOOGLEFINANCE(""CURRENCY:CHFINR"")"),6614550532239.79)</f>
        <v>6614550532239.79</v>
      </c>
    </row>
    <row r="834" spans="1:3" x14ac:dyDescent="0.25">
      <c r="A834" s="2">
        <v>833</v>
      </c>
      <c r="B834" s="2">
        <v>82551347619.047394</v>
      </c>
      <c r="C834" s="3">
        <f ca="1">IFERROR(__xludf.DUMMYFUNCTION("B834*GOOGLEFINANCE(""CURRENCY:CHFINR"")"),6624757203617.22)</f>
        <v>6624757203617.2197</v>
      </c>
    </row>
    <row r="835" spans="1:3" x14ac:dyDescent="0.25">
      <c r="A835" s="2">
        <v>834</v>
      </c>
      <c r="B835" s="2">
        <v>82678533333.333206</v>
      </c>
      <c r="C835" s="3">
        <f ca="1">IFERROR(__xludf.DUMMYFUNCTION("B835*GOOGLEFINANCE(""CURRENCY:CHFINR"")"),6634963874994.65)</f>
        <v>6634963874994.6504</v>
      </c>
    </row>
    <row r="836" spans="1:3" x14ac:dyDescent="0.25">
      <c r="A836" s="2">
        <v>835</v>
      </c>
      <c r="B836" s="2">
        <v>82805719047.618896</v>
      </c>
      <c r="C836" s="3">
        <f ca="1">IFERROR(__xludf.DUMMYFUNCTION("B836*GOOGLEFINANCE(""CURRENCY:CHFINR"")"),6645170546372.08)</f>
        <v>6645170546372.0801</v>
      </c>
    </row>
    <row r="837" spans="1:3" x14ac:dyDescent="0.25">
      <c r="A837" s="2">
        <v>836</v>
      </c>
      <c r="B837" s="2">
        <v>82932904761.904602</v>
      </c>
      <c r="C837" s="3">
        <f ca="1">IFERROR(__xludf.DUMMYFUNCTION("B837*GOOGLEFINANCE(""CURRENCY:CHFINR"")"),6655377217749.51)</f>
        <v>6655377217749.5098</v>
      </c>
    </row>
    <row r="838" spans="1:3" x14ac:dyDescent="0.25">
      <c r="A838" s="2">
        <v>837</v>
      </c>
      <c r="B838" s="2">
        <v>83060090476.190308</v>
      </c>
      <c r="C838" s="3">
        <f ca="1">IFERROR(__xludf.DUMMYFUNCTION("B838*GOOGLEFINANCE(""CURRENCY:CHFINR"")"),6665583889126.93)</f>
        <v>6665583889126.9297</v>
      </c>
    </row>
    <row r="839" spans="1:3" x14ac:dyDescent="0.25">
      <c r="A839" s="2">
        <v>838</v>
      </c>
      <c r="B839" s="2">
        <v>83187276190.475998</v>
      </c>
      <c r="C839" s="3">
        <f ca="1">IFERROR(__xludf.DUMMYFUNCTION("B839*GOOGLEFINANCE(""CURRENCY:CHFINR"")"),6675790560504.36)</f>
        <v>6675790560504.3604</v>
      </c>
    </row>
    <row r="840" spans="1:3" x14ac:dyDescent="0.25">
      <c r="A840" s="2">
        <v>839</v>
      </c>
      <c r="B840" s="2">
        <v>83314461904.761703</v>
      </c>
      <c r="C840" s="3">
        <f ca="1">IFERROR(__xludf.DUMMYFUNCTION("B840*GOOGLEFINANCE(""CURRENCY:CHFINR"")"),6685997231881.79)</f>
        <v>6685997231881.79</v>
      </c>
    </row>
    <row r="841" spans="1:3" x14ac:dyDescent="0.25">
      <c r="A841" s="2">
        <v>840</v>
      </c>
      <c r="B841" s="2">
        <v>83441647619.047394</v>
      </c>
      <c r="C841" s="3">
        <f ca="1">IFERROR(__xludf.DUMMYFUNCTION("B841*GOOGLEFINANCE(""CURRENCY:CHFINR"")"),6696203903259.22)</f>
        <v>6696203903259.2197</v>
      </c>
    </row>
    <row r="842" spans="1:3" x14ac:dyDescent="0.25">
      <c r="A842" s="2">
        <v>841</v>
      </c>
      <c r="B842" s="2">
        <v>83568833333.333206</v>
      </c>
      <c r="C842" s="3">
        <f ca="1">IFERROR(__xludf.DUMMYFUNCTION("B842*GOOGLEFINANCE(""CURRENCY:CHFINR"")"),6706410574636.65)</f>
        <v>6706410574636.6504</v>
      </c>
    </row>
    <row r="843" spans="1:3" x14ac:dyDescent="0.25">
      <c r="A843" s="2">
        <v>842</v>
      </c>
      <c r="B843" s="2">
        <v>83696019047.618896</v>
      </c>
      <c r="C843" s="3">
        <f ca="1">IFERROR(__xludf.DUMMYFUNCTION("B843*GOOGLEFINANCE(""CURRENCY:CHFINR"")"),6716617246014.08)</f>
        <v>6716617246014.0801</v>
      </c>
    </row>
    <row r="844" spans="1:3" x14ac:dyDescent="0.25">
      <c r="A844" s="2">
        <v>843</v>
      </c>
      <c r="B844" s="2">
        <v>83823204761.904602</v>
      </c>
      <c r="C844" s="3">
        <f ca="1">IFERROR(__xludf.DUMMYFUNCTION("B844*GOOGLEFINANCE(""CURRENCY:CHFINR"")"),6726823917391.51)</f>
        <v>6726823917391.5098</v>
      </c>
    </row>
    <row r="845" spans="1:3" x14ac:dyDescent="0.25">
      <c r="A845" s="2">
        <v>844</v>
      </c>
      <c r="B845" s="2">
        <v>83950390476.190308</v>
      </c>
      <c r="C845" s="3">
        <f ca="1">IFERROR(__xludf.DUMMYFUNCTION("B845*GOOGLEFINANCE(""CURRENCY:CHFINR"")"),6737030588768.93)</f>
        <v>6737030588768.9297</v>
      </c>
    </row>
    <row r="846" spans="1:3" x14ac:dyDescent="0.25">
      <c r="A846" s="2">
        <v>845</v>
      </c>
      <c r="B846" s="2">
        <v>84077576190.475998</v>
      </c>
      <c r="C846" s="3">
        <f ca="1">IFERROR(__xludf.DUMMYFUNCTION("B846*GOOGLEFINANCE(""CURRENCY:CHFINR"")"),6747237260146.36)</f>
        <v>6747237260146.3604</v>
      </c>
    </row>
    <row r="847" spans="1:3" x14ac:dyDescent="0.25">
      <c r="A847" s="2">
        <v>846</v>
      </c>
      <c r="B847" s="2">
        <v>84204761904.761703</v>
      </c>
      <c r="C847" s="3">
        <f ca="1">IFERROR(__xludf.DUMMYFUNCTION("B847*GOOGLEFINANCE(""CURRENCY:CHFINR"")"),6757443931523.79)</f>
        <v>6757443931523.79</v>
      </c>
    </row>
    <row r="848" spans="1:3" x14ac:dyDescent="0.25">
      <c r="A848" s="2">
        <v>847</v>
      </c>
      <c r="B848" s="2">
        <v>84331947619.047394</v>
      </c>
      <c r="C848" s="3">
        <f ca="1">IFERROR(__xludf.DUMMYFUNCTION("B848*GOOGLEFINANCE(""CURRENCY:CHFINR"")"),6767650602901.22)</f>
        <v>6767650602901.2197</v>
      </c>
    </row>
    <row r="849" spans="1:3" x14ac:dyDescent="0.25">
      <c r="A849" s="2">
        <v>848</v>
      </c>
      <c r="B849" s="2">
        <v>84459133333.333206</v>
      </c>
      <c r="C849" s="3">
        <f ca="1">IFERROR(__xludf.DUMMYFUNCTION("B849*GOOGLEFINANCE(""CURRENCY:CHFINR"")"),6777857274278.65)</f>
        <v>6777857274278.6504</v>
      </c>
    </row>
    <row r="850" spans="1:3" x14ac:dyDescent="0.25">
      <c r="A850" s="2">
        <v>849</v>
      </c>
      <c r="B850" s="2">
        <v>84586319047.618896</v>
      </c>
      <c r="C850" s="3">
        <f ca="1">IFERROR(__xludf.DUMMYFUNCTION("B850*GOOGLEFINANCE(""CURRENCY:CHFINR"")"),6788063945656.08)</f>
        <v>6788063945656.0801</v>
      </c>
    </row>
    <row r="851" spans="1:3" x14ac:dyDescent="0.25">
      <c r="A851" s="2">
        <v>850</v>
      </c>
      <c r="B851" s="2">
        <v>84713504761.904602</v>
      </c>
      <c r="C851" s="3">
        <f ca="1">IFERROR(__xludf.DUMMYFUNCTION("B851*GOOGLEFINANCE(""CURRENCY:CHFINR"")"),6798270617033.51)</f>
        <v>6798270617033.5098</v>
      </c>
    </row>
    <row r="852" spans="1:3" x14ac:dyDescent="0.25">
      <c r="A852" s="2">
        <v>851</v>
      </c>
      <c r="B852" s="2">
        <v>84840690476.190308</v>
      </c>
      <c r="C852" s="3">
        <f ca="1">IFERROR(__xludf.DUMMYFUNCTION("B852*GOOGLEFINANCE(""CURRENCY:CHFINR"")"),6808477288410.93)</f>
        <v>6808477288410.9297</v>
      </c>
    </row>
    <row r="853" spans="1:3" x14ac:dyDescent="0.25">
      <c r="A853" s="2">
        <v>852</v>
      </c>
      <c r="B853" s="2">
        <v>84967876190.475998</v>
      </c>
      <c r="C853" s="3">
        <f ca="1">IFERROR(__xludf.DUMMYFUNCTION("B853*GOOGLEFINANCE(""CURRENCY:CHFINR"")"),6818683959788.36)</f>
        <v>6818683959788.3604</v>
      </c>
    </row>
    <row r="854" spans="1:3" x14ac:dyDescent="0.25">
      <c r="A854" s="2">
        <v>853</v>
      </c>
      <c r="B854" s="2">
        <v>85095061904.761703</v>
      </c>
      <c r="C854" s="3">
        <f ca="1">IFERROR(__xludf.DUMMYFUNCTION("B854*GOOGLEFINANCE(""CURRENCY:CHFINR"")"),6828890631165.79)</f>
        <v>6828890631165.79</v>
      </c>
    </row>
    <row r="855" spans="1:3" x14ac:dyDescent="0.25">
      <c r="A855" s="2">
        <v>854</v>
      </c>
      <c r="B855" s="2">
        <v>85222247619.047394</v>
      </c>
      <c r="C855" s="3">
        <f ca="1">IFERROR(__xludf.DUMMYFUNCTION("B855*GOOGLEFINANCE(""CURRENCY:CHFINR"")"),6839097302543.22)</f>
        <v>6839097302543.2197</v>
      </c>
    </row>
    <row r="856" spans="1:3" x14ac:dyDescent="0.25">
      <c r="A856" s="2">
        <v>855</v>
      </c>
      <c r="B856" s="2">
        <v>85349433333.333206</v>
      </c>
      <c r="C856" s="3">
        <f ca="1">IFERROR(__xludf.DUMMYFUNCTION("B856*GOOGLEFINANCE(""CURRENCY:CHFINR"")"),6849303973920.65)</f>
        <v>6849303973920.6504</v>
      </c>
    </row>
    <row r="857" spans="1:3" x14ac:dyDescent="0.25">
      <c r="A857" s="2">
        <v>856</v>
      </c>
      <c r="B857" s="2">
        <v>85476619047.618896</v>
      </c>
      <c r="C857" s="3">
        <f ca="1">IFERROR(__xludf.DUMMYFUNCTION("B857*GOOGLEFINANCE(""CURRENCY:CHFINR"")"),6859510645298.08)</f>
        <v>6859510645298.0801</v>
      </c>
    </row>
    <row r="858" spans="1:3" x14ac:dyDescent="0.25">
      <c r="A858" s="2">
        <v>857</v>
      </c>
      <c r="B858" s="2">
        <v>85603804761.904602</v>
      </c>
      <c r="C858" s="3">
        <f ca="1">IFERROR(__xludf.DUMMYFUNCTION("B858*GOOGLEFINANCE(""CURRENCY:CHFINR"")"),6869717316675.51)</f>
        <v>6869717316675.5098</v>
      </c>
    </row>
    <row r="859" spans="1:3" x14ac:dyDescent="0.25">
      <c r="A859" s="2">
        <v>858</v>
      </c>
      <c r="B859" s="2">
        <v>85730990476.190308</v>
      </c>
      <c r="C859" s="3">
        <f ca="1">IFERROR(__xludf.DUMMYFUNCTION("B859*GOOGLEFINANCE(""CURRENCY:CHFINR"")"),6879923988052.93)</f>
        <v>6879923988052.9297</v>
      </c>
    </row>
    <row r="860" spans="1:3" x14ac:dyDescent="0.25">
      <c r="A860" s="2">
        <v>859</v>
      </c>
      <c r="B860" s="2">
        <v>85858176190.475998</v>
      </c>
      <c r="C860" s="3">
        <f ca="1">IFERROR(__xludf.DUMMYFUNCTION("B860*GOOGLEFINANCE(""CURRENCY:CHFINR"")"),6890130659430.36)</f>
        <v>6890130659430.3604</v>
      </c>
    </row>
    <row r="861" spans="1:3" x14ac:dyDescent="0.25">
      <c r="A861" s="2">
        <v>860</v>
      </c>
      <c r="B861" s="2">
        <v>85985361904.761703</v>
      </c>
      <c r="C861" s="3">
        <f ca="1">IFERROR(__xludf.DUMMYFUNCTION("B861*GOOGLEFINANCE(""CURRENCY:CHFINR"")"),6900337330807.79)</f>
        <v>6900337330807.79</v>
      </c>
    </row>
    <row r="862" spans="1:3" x14ac:dyDescent="0.25">
      <c r="A862" s="2">
        <v>861</v>
      </c>
      <c r="B862" s="2">
        <v>86112547619.047394</v>
      </c>
      <c r="C862" s="3">
        <f ca="1">IFERROR(__xludf.DUMMYFUNCTION("B862*GOOGLEFINANCE(""CURRENCY:CHFINR"")"),6910544002185.22)</f>
        <v>6910544002185.2197</v>
      </c>
    </row>
    <row r="863" spans="1:3" x14ac:dyDescent="0.25">
      <c r="A863" s="2">
        <v>862</v>
      </c>
      <c r="B863" s="2">
        <v>86239733333.333206</v>
      </c>
      <c r="C863" s="3">
        <f ca="1">IFERROR(__xludf.DUMMYFUNCTION("B863*GOOGLEFINANCE(""CURRENCY:CHFINR"")"),6920750673562.65)</f>
        <v>6920750673562.6504</v>
      </c>
    </row>
    <row r="864" spans="1:3" x14ac:dyDescent="0.25">
      <c r="A864" s="2">
        <v>863</v>
      </c>
      <c r="B864" s="2">
        <v>86366919047.618896</v>
      </c>
      <c r="C864" s="3">
        <f ca="1">IFERROR(__xludf.DUMMYFUNCTION("B864*GOOGLEFINANCE(""CURRENCY:CHFINR"")"),6930957344940.08)</f>
        <v>6930957344940.0801</v>
      </c>
    </row>
    <row r="865" spans="1:3" x14ac:dyDescent="0.25">
      <c r="A865" s="2">
        <v>864</v>
      </c>
      <c r="B865" s="2">
        <v>86494104761.904602</v>
      </c>
      <c r="C865" s="3">
        <f ca="1">IFERROR(__xludf.DUMMYFUNCTION("B865*GOOGLEFINANCE(""CURRENCY:CHFINR"")"),6941164016317.51)</f>
        <v>6941164016317.5098</v>
      </c>
    </row>
    <row r="866" spans="1:3" x14ac:dyDescent="0.25">
      <c r="A866" s="2">
        <v>865</v>
      </c>
      <c r="B866" s="2">
        <v>86621290476.190308</v>
      </c>
      <c r="C866" s="3">
        <f ca="1">IFERROR(__xludf.DUMMYFUNCTION("B866*GOOGLEFINANCE(""CURRENCY:CHFINR"")"),6951370687694.93)</f>
        <v>6951370687694.9297</v>
      </c>
    </row>
    <row r="867" spans="1:3" x14ac:dyDescent="0.25">
      <c r="A867" s="2">
        <v>866</v>
      </c>
      <c r="B867" s="2">
        <v>86748476190.475998</v>
      </c>
      <c r="C867" s="3">
        <f ca="1">IFERROR(__xludf.DUMMYFUNCTION("B867*GOOGLEFINANCE(""CURRENCY:CHFINR"")"),6961577359072.36)</f>
        <v>6961577359072.3604</v>
      </c>
    </row>
    <row r="868" spans="1:3" x14ac:dyDescent="0.25">
      <c r="A868" s="2">
        <v>867</v>
      </c>
      <c r="B868" s="2">
        <v>86875661904.761703</v>
      </c>
      <c r="C868" s="3">
        <f ca="1">IFERROR(__xludf.DUMMYFUNCTION("B868*GOOGLEFINANCE(""CURRENCY:CHFINR"")"),6971784030449.79)</f>
        <v>6971784030449.79</v>
      </c>
    </row>
    <row r="869" spans="1:3" x14ac:dyDescent="0.25">
      <c r="A869" s="2">
        <v>868</v>
      </c>
      <c r="B869" s="2">
        <v>87002847619.047394</v>
      </c>
      <c r="C869" s="3">
        <f ca="1">IFERROR(__xludf.DUMMYFUNCTION("B869*GOOGLEFINANCE(""CURRENCY:CHFINR"")"),6981990701827.22)</f>
        <v>6981990701827.2197</v>
      </c>
    </row>
    <row r="870" spans="1:3" x14ac:dyDescent="0.25">
      <c r="A870" s="2">
        <v>869</v>
      </c>
      <c r="B870" s="2">
        <v>87130033333.333206</v>
      </c>
      <c r="C870" s="3">
        <f ca="1">IFERROR(__xludf.DUMMYFUNCTION("B870*GOOGLEFINANCE(""CURRENCY:CHFINR"")"),6992197373204.65)</f>
        <v>6992197373204.6504</v>
      </c>
    </row>
    <row r="871" spans="1:3" x14ac:dyDescent="0.25">
      <c r="A871" s="2">
        <v>870</v>
      </c>
      <c r="B871" s="2">
        <v>87257219047.618896</v>
      </c>
      <c r="C871" s="3">
        <f ca="1">IFERROR(__xludf.DUMMYFUNCTION("B871*GOOGLEFINANCE(""CURRENCY:CHFINR"")"),7002404044582.08)</f>
        <v>7002404044582.0801</v>
      </c>
    </row>
    <row r="872" spans="1:3" x14ac:dyDescent="0.25">
      <c r="A872" s="2">
        <v>871</v>
      </c>
      <c r="B872" s="2">
        <v>87384404761.904602</v>
      </c>
      <c r="C872" s="3">
        <f ca="1">IFERROR(__xludf.DUMMYFUNCTION("B872*GOOGLEFINANCE(""CURRENCY:CHFINR"")"),7012610715959.51)</f>
        <v>7012610715959.5098</v>
      </c>
    </row>
    <row r="873" spans="1:3" x14ac:dyDescent="0.25">
      <c r="A873" s="2">
        <v>872</v>
      </c>
      <c r="B873" s="2">
        <v>87511590476.190308</v>
      </c>
      <c r="C873" s="3">
        <f ca="1">IFERROR(__xludf.DUMMYFUNCTION("B873*GOOGLEFINANCE(""CURRENCY:CHFINR"")"),7022817387336.93)</f>
        <v>7022817387336.9297</v>
      </c>
    </row>
    <row r="874" spans="1:3" x14ac:dyDescent="0.25">
      <c r="A874" s="2">
        <v>873</v>
      </c>
      <c r="B874" s="2">
        <v>87638776190.475998</v>
      </c>
      <c r="C874" s="3">
        <f ca="1">IFERROR(__xludf.DUMMYFUNCTION("B874*GOOGLEFINANCE(""CURRENCY:CHFINR"")"),7033024058714.36)</f>
        <v>7033024058714.3604</v>
      </c>
    </row>
    <row r="875" spans="1:3" x14ac:dyDescent="0.25">
      <c r="A875" s="2">
        <v>874</v>
      </c>
      <c r="B875" s="2">
        <v>87765961904.761703</v>
      </c>
      <c r="C875" s="3">
        <f ca="1">IFERROR(__xludf.DUMMYFUNCTION("B875*GOOGLEFINANCE(""CURRENCY:CHFINR"")"),7043230730091.79)</f>
        <v>7043230730091.79</v>
      </c>
    </row>
    <row r="876" spans="1:3" x14ac:dyDescent="0.25">
      <c r="A876" s="2">
        <v>875</v>
      </c>
      <c r="B876" s="2">
        <v>87893147619.047394</v>
      </c>
      <c r="C876" s="3">
        <f ca="1">IFERROR(__xludf.DUMMYFUNCTION("B876*GOOGLEFINANCE(""CURRENCY:CHFINR"")"),7053437401469.22)</f>
        <v>7053437401469.2197</v>
      </c>
    </row>
    <row r="877" spans="1:3" x14ac:dyDescent="0.25">
      <c r="A877" s="2">
        <v>876</v>
      </c>
      <c r="B877" s="2">
        <v>88020333333.333206</v>
      </c>
      <c r="C877" s="3">
        <f ca="1">IFERROR(__xludf.DUMMYFUNCTION("B877*GOOGLEFINANCE(""CURRENCY:CHFINR"")"),7063644072846.65)</f>
        <v>7063644072846.6504</v>
      </c>
    </row>
    <row r="878" spans="1:3" x14ac:dyDescent="0.25">
      <c r="A878" s="2">
        <v>877</v>
      </c>
      <c r="B878" s="2">
        <v>88147519047.618896</v>
      </c>
      <c r="C878" s="3">
        <f ca="1">IFERROR(__xludf.DUMMYFUNCTION("B878*GOOGLEFINANCE(""CURRENCY:CHFINR"")"),7073850744224.08)</f>
        <v>7073850744224.0801</v>
      </c>
    </row>
    <row r="879" spans="1:3" x14ac:dyDescent="0.25">
      <c r="A879" s="2">
        <v>878</v>
      </c>
      <c r="B879" s="2">
        <v>88274704761.904602</v>
      </c>
      <c r="C879" s="3">
        <f ca="1">IFERROR(__xludf.DUMMYFUNCTION("B879*GOOGLEFINANCE(""CURRENCY:CHFINR"")"),7084057415601.51)</f>
        <v>7084057415601.5098</v>
      </c>
    </row>
    <row r="880" spans="1:3" x14ac:dyDescent="0.25">
      <c r="A880" s="2">
        <v>879</v>
      </c>
      <c r="B880" s="2">
        <v>88401890476.190308</v>
      </c>
      <c r="C880" s="3">
        <f ca="1">IFERROR(__xludf.DUMMYFUNCTION("B880*GOOGLEFINANCE(""CURRENCY:CHFINR"")"),7094264086978.93)</f>
        <v>7094264086978.9297</v>
      </c>
    </row>
    <row r="881" spans="1:3" x14ac:dyDescent="0.25">
      <c r="A881" s="2">
        <v>880</v>
      </c>
      <c r="B881" s="2">
        <v>88529076190.475998</v>
      </c>
      <c r="C881" s="3">
        <f ca="1">IFERROR(__xludf.DUMMYFUNCTION("B881*GOOGLEFINANCE(""CURRENCY:CHFINR"")"),7104470758356.36)</f>
        <v>7104470758356.3604</v>
      </c>
    </row>
    <row r="882" spans="1:3" x14ac:dyDescent="0.25">
      <c r="A882" s="2">
        <v>881</v>
      </c>
      <c r="B882" s="2">
        <v>88656261904.761703</v>
      </c>
      <c r="C882" s="3">
        <f ca="1">IFERROR(__xludf.DUMMYFUNCTION("B882*GOOGLEFINANCE(""CURRENCY:CHFINR"")"),7114677429733.79)</f>
        <v>7114677429733.79</v>
      </c>
    </row>
    <row r="883" spans="1:3" x14ac:dyDescent="0.25">
      <c r="A883" s="2">
        <v>882</v>
      </c>
      <c r="B883" s="2">
        <v>88783447619.047394</v>
      </c>
      <c r="C883" s="3">
        <f ca="1">IFERROR(__xludf.DUMMYFUNCTION("B883*GOOGLEFINANCE(""CURRENCY:CHFINR"")"),7124884101111.22)</f>
        <v>7124884101111.2197</v>
      </c>
    </row>
    <row r="884" spans="1:3" x14ac:dyDescent="0.25">
      <c r="A884" s="2">
        <v>883</v>
      </c>
      <c r="B884" s="2">
        <v>88910633333.333206</v>
      </c>
      <c r="C884" s="3">
        <f ca="1">IFERROR(__xludf.DUMMYFUNCTION("B884*GOOGLEFINANCE(""CURRENCY:CHFINR"")"),7135090772488.65)</f>
        <v>7135090772488.6504</v>
      </c>
    </row>
    <row r="885" spans="1:3" x14ac:dyDescent="0.25">
      <c r="A885" s="2">
        <v>884</v>
      </c>
      <c r="B885" s="2">
        <v>89037819047.618896</v>
      </c>
      <c r="C885" s="3">
        <f ca="1">IFERROR(__xludf.DUMMYFUNCTION("B885*GOOGLEFINANCE(""CURRENCY:CHFINR"")"),7145297443866.08)</f>
        <v>7145297443866.0801</v>
      </c>
    </row>
    <row r="886" spans="1:3" x14ac:dyDescent="0.25">
      <c r="A886" s="2">
        <v>885</v>
      </c>
      <c r="B886" s="2">
        <v>89165004761.904602</v>
      </c>
      <c r="C886" s="3">
        <f ca="1">IFERROR(__xludf.DUMMYFUNCTION("B886*GOOGLEFINANCE(""CURRENCY:CHFINR"")"),7155504115243.51)</f>
        <v>7155504115243.5098</v>
      </c>
    </row>
    <row r="887" spans="1:3" x14ac:dyDescent="0.25">
      <c r="A887" s="2">
        <v>886</v>
      </c>
      <c r="B887" s="2">
        <v>89292190476.190308</v>
      </c>
      <c r="C887" s="3">
        <f ca="1">IFERROR(__xludf.DUMMYFUNCTION("B887*GOOGLEFINANCE(""CURRENCY:CHFINR"")"),7165710786620.93)</f>
        <v>7165710786620.9297</v>
      </c>
    </row>
    <row r="888" spans="1:3" x14ac:dyDescent="0.25">
      <c r="A888" s="2">
        <v>887</v>
      </c>
      <c r="B888" s="2">
        <v>89419376190.475998</v>
      </c>
      <c r="C888" s="3">
        <f ca="1">IFERROR(__xludf.DUMMYFUNCTION("B888*GOOGLEFINANCE(""CURRENCY:CHFINR"")"),7175917457998.36)</f>
        <v>7175917457998.3604</v>
      </c>
    </row>
    <row r="889" spans="1:3" x14ac:dyDescent="0.25">
      <c r="A889" s="2">
        <v>888</v>
      </c>
      <c r="B889" s="2">
        <v>89546561904.761703</v>
      </c>
      <c r="C889" s="3">
        <f ca="1">IFERROR(__xludf.DUMMYFUNCTION("B889*GOOGLEFINANCE(""CURRENCY:CHFINR"")"),7186124129375.79)</f>
        <v>7186124129375.79</v>
      </c>
    </row>
    <row r="890" spans="1:3" x14ac:dyDescent="0.25">
      <c r="A890" s="2">
        <v>889</v>
      </c>
      <c r="B890" s="2">
        <v>89673747619.047394</v>
      </c>
      <c r="C890" s="3">
        <f ca="1">IFERROR(__xludf.DUMMYFUNCTION("B890*GOOGLEFINANCE(""CURRENCY:CHFINR"")"),7196330800753.22)</f>
        <v>7196330800753.2197</v>
      </c>
    </row>
    <row r="891" spans="1:3" x14ac:dyDescent="0.25">
      <c r="A891" s="2">
        <v>890</v>
      </c>
      <c r="B891" s="2">
        <v>89800933333.333206</v>
      </c>
      <c r="C891" s="3">
        <f ca="1">IFERROR(__xludf.DUMMYFUNCTION("B891*GOOGLEFINANCE(""CURRENCY:CHFINR"")"),7206537472130.65)</f>
        <v>7206537472130.6504</v>
      </c>
    </row>
    <row r="892" spans="1:3" x14ac:dyDescent="0.25">
      <c r="A892" s="2">
        <v>891</v>
      </c>
      <c r="B892" s="2">
        <v>89928119047.618896</v>
      </c>
      <c r="C892" s="3">
        <f ca="1">IFERROR(__xludf.DUMMYFUNCTION("B892*GOOGLEFINANCE(""CURRENCY:CHFINR"")"),7216744143508.08)</f>
        <v>7216744143508.0801</v>
      </c>
    </row>
    <row r="893" spans="1:3" x14ac:dyDescent="0.25">
      <c r="A893" s="2">
        <v>892</v>
      </c>
      <c r="B893" s="2">
        <v>90055304761.904602</v>
      </c>
      <c r="C893" s="3">
        <f ca="1">IFERROR(__xludf.DUMMYFUNCTION("B893*GOOGLEFINANCE(""CURRENCY:CHFINR"")"),7226950814885.51)</f>
        <v>7226950814885.5098</v>
      </c>
    </row>
    <row r="894" spans="1:3" x14ac:dyDescent="0.25">
      <c r="A894" s="2">
        <v>893</v>
      </c>
      <c r="B894" s="2">
        <v>90182490476.190308</v>
      </c>
      <c r="C894" s="3">
        <f ca="1">IFERROR(__xludf.DUMMYFUNCTION("B894*GOOGLEFINANCE(""CURRENCY:CHFINR"")"),7237157486262.93)</f>
        <v>7237157486262.9297</v>
      </c>
    </row>
    <row r="895" spans="1:3" x14ac:dyDescent="0.25">
      <c r="A895" s="2">
        <v>894</v>
      </c>
      <c r="B895" s="2">
        <v>90309676190.475998</v>
      </c>
      <c r="C895" s="3">
        <f ca="1">IFERROR(__xludf.DUMMYFUNCTION("B895*GOOGLEFINANCE(""CURRENCY:CHFINR"")"),7247364157640.36)</f>
        <v>7247364157640.3604</v>
      </c>
    </row>
    <row r="896" spans="1:3" x14ac:dyDescent="0.25">
      <c r="A896" s="2">
        <v>895</v>
      </c>
      <c r="B896" s="2">
        <v>90436861904.761703</v>
      </c>
      <c r="C896" s="3">
        <f ca="1">IFERROR(__xludf.DUMMYFUNCTION("B896*GOOGLEFINANCE(""CURRENCY:CHFINR"")"),7257570829017.79)</f>
        <v>7257570829017.79</v>
      </c>
    </row>
    <row r="897" spans="1:3" x14ac:dyDescent="0.25">
      <c r="A897" s="2">
        <v>896</v>
      </c>
      <c r="B897" s="2">
        <v>90564047619.047394</v>
      </c>
      <c r="C897" s="3">
        <f ca="1">IFERROR(__xludf.DUMMYFUNCTION("B897*GOOGLEFINANCE(""CURRENCY:CHFINR"")"),7267777500395.22)</f>
        <v>7267777500395.2197</v>
      </c>
    </row>
    <row r="898" spans="1:3" x14ac:dyDescent="0.25">
      <c r="A898" s="2">
        <v>897</v>
      </c>
      <c r="B898" s="2">
        <v>90691233333.333206</v>
      </c>
      <c r="C898" s="3">
        <f ca="1">IFERROR(__xludf.DUMMYFUNCTION("B898*GOOGLEFINANCE(""CURRENCY:CHFINR"")"),7277984171772.65)</f>
        <v>7277984171772.6504</v>
      </c>
    </row>
    <row r="899" spans="1:3" x14ac:dyDescent="0.25">
      <c r="A899" s="2">
        <v>898</v>
      </c>
      <c r="B899" s="2">
        <v>90818419047.618896</v>
      </c>
      <c r="C899" s="3">
        <f ca="1">IFERROR(__xludf.DUMMYFUNCTION("B899*GOOGLEFINANCE(""CURRENCY:CHFINR"")"),7288190843150.08)</f>
        <v>7288190843150.0801</v>
      </c>
    </row>
    <row r="900" spans="1:3" x14ac:dyDescent="0.25">
      <c r="A900" s="2">
        <v>899</v>
      </c>
      <c r="B900" s="2">
        <v>90945604761.904602</v>
      </c>
      <c r="C900" s="3">
        <f ca="1">IFERROR(__xludf.DUMMYFUNCTION("B900*GOOGLEFINANCE(""CURRENCY:CHFINR"")"),7298397514527.51)</f>
        <v>7298397514527.5098</v>
      </c>
    </row>
    <row r="901" spans="1:3" x14ac:dyDescent="0.25">
      <c r="A901" s="2">
        <v>900</v>
      </c>
      <c r="B901" s="2">
        <v>91072790476.190308</v>
      </c>
      <c r="C901" s="3">
        <f ca="1">IFERROR(__xludf.DUMMYFUNCTION("B901*GOOGLEFINANCE(""CURRENCY:CHFINR"")"),7308604185904.93)</f>
        <v>7308604185904.9297</v>
      </c>
    </row>
    <row r="902" spans="1:3" x14ac:dyDescent="0.25">
      <c r="A902" s="2">
        <v>901</v>
      </c>
      <c r="B902" s="2">
        <v>91199976190.475998</v>
      </c>
      <c r="C902" s="3">
        <f ca="1">IFERROR(__xludf.DUMMYFUNCTION("B902*GOOGLEFINANCE(""CURRENCY:CHFINR"")"),7318810857282.36)</f>
        <v>7318810857282.3604</v>
      </c>
    </row>
    <row r="903" spans="1:3" x14ac:dyDescent="0.25">
      <c r="A903" s="2">
        <v>902</v>
      </c>
      <c r="B903" s="2">
        <v>91327161904.761703</v>
      </c>
      <c r="C903" s="3">
        <f ca="1">IFERROR(__xludf.DUMMYFUNCTION("B903*GOOGLEFINANCE(""CURRENCY:CHFINR"")"),7329017528659.79)</f>
        <v>7329017528659.79</v>
      </c>
    </row>
    <row r="904" spans="1:3" x14ac:dyDescent="0.25">
      <c r="A904" s="2">
        <v>903</v>
      </c>
      <c r="B904" s="2">
        <v>91454347619.047394</v>
      </c>
      <c r="C904" s="3">
        <f ca="1">IFERROR(__xludf.DUMMYFUNCTION("B904*GOOGLEFINANCE(""CURRENCY:CHFINR"")"),7339224200037.22)</f>
        <v>7339224200037.2197</v>
      </c>
    </row>
    <row r="905" spans="1:3" x14ac:dyDescent="0.25">
      <c r="A905" s="2">
        <v>904</v>
      </c>
      <c r="B905" s="2">
        <v>91581533333.333099</v>
      </c>
      <c r="C905" s="3">
        <f ca="1">IFERROR(__xludf.DUMMYFUNCTION("B905*GOOGLEFINANCE(""CURRENCY:CHFINR"")"),7349430871414.64)</f>
        <v>7349430871414.6396</v>
      </c>
    </row>
    <row r="906" spans="1:3" x14ac:dyDescent="0.25">
      <c r="A906" s="2">
        <v>905</v>
      </c>
      <c r="B906" s="2">
        <v>91708719047.618896</v>
      </c>
      <c r="C906" s="3">
        <f ca="1">IFERROR(__xludf.DUMMYFUNCTION("B906*GOOGLEFINANCE(""CURRENCY:CHFINR"")"),7359637542792.08)</f>
        <v>7359637542792.0801</v>
      </c>
    </row>
    <row r="907" spans="1:3" x14ac:dyDescent="0.25">
      <c r="A907" s="2">
        <v>906</v>
      </c>
      <c r="B907" s="2">
        <v>91835904761.904602</v>
      </c>
      <c r="C907" s="3">
        <f ca="1">IFERROR(__xludf.DUMMYFUNCTION("B907*GOOGLEFINANCE(""CURRENCY:CHFINR"")"),7369844214169.51)</f>
        <v>7369844214169.5098</v>
      </c>
    </row>
    <row r="908" spans="1:3" x14ac:dyDescent="0.25">
      <c r="A908" s="2">
        <v>907</v>
      </c>
      <c r="B908" s="2">
        <v>91963090476.190308</v>
      </c>
      <c r="C908" s="3">
        <f ca="1">IFERROR(__xludf.DUMMYFUNCTION("B908*GOOGLEFINANCE(""CURRENCY:CHFINR"")"),7380050885546.93)</f>
        <v>7380050885546.9297</v>
      </c>
    </row>
    <row r="909" spans="1:3" x14ac:dyDescent="0.25">
      <c r="A909" s="2">
        <v>908</v>
      </c>
      <c r="B909" s="2">
        <v>92090276190.475998</v>
      </c>
      <c r="C909" s="3">
        <f ca="1">IFERROR(__xludf.DUMMYFUNCTION("B909*GOOGLEFINANCE(""CURRENCY:CHFINR"")"),7390257556924.36)</f>
        <v>7390257556924.3604</v>
      </c>
    </row>
    <row r="910" spans="1:3" x14ac:dyDescent="0.25">
      <c r="A910" s="2">
        <v>909</v>
      </c>
      <c r="B910" s="2">
        <v>92217461904.761703</v>
      </c>
      <c r="C910" s="3">
        <f ca="1">IFERROR(__xludf.DUMMYFUNCTION("B910*GOOGLEFINANCE(""CURRENCY:CHFINR"")"),7400464228301.79)</f>
        <v>7400464228301.79</v>
      </c>
    </row>
    <row r="911" spans="1:3" x14ac:dyDescent="0.25">
      <c r="A911" s="2">
        <v>910</v>
      </c>
      <c r="B911" s="2">
        <v>92344647619.047394</v>
      </c>
      <c r="C911" s="3">
        <f ca="1">IFERROR(__xludf.DUMMYFUNCTION("B911*GOOGLEFINANCE(""CURRENCY:CHFINR"")"),7410670899679.22)</f>
        <v>7410670899679.2197</v>
      </c>
    </row>
    <row r="912" spans="1:3" x14ac:dyDescent="0.25">
      <c r="A912" s="2">
        <v>911</v>
      </c>
      <c r="B912" s="2">
        <v>92471833333.333099</v>
      </c>
      <c r="C912" s="3">
        <f ca="1">IFERROR(__xludf.DUMMYFUNCTION("B912*GOOGLEFINANCE(""CURRENCY:CHFINR"")"),7420877571056.64)</f>
        <v>7420877571056.6396</v>
      </c>
    </row>
    <row r="913" spans="1:3" x14ac:dyDescent="0.25">
      <c r="A913" s="2">
        <v>912</v>
      </c>
      <c r="B913" s="2">
        <v>92599019047.618896</v>
      </c>
      <c r="C913" s="3">
        <f ca="1">IFERROR(__xludf.DUMMYFUNCTION("B913*GOOGLEFINANCE(""CURRENCY:CHFINR"")"),7431084242434.08)</f>
        <v>7431084242434.0801</v>
      </c>
    </row>
    <row r="914" spans="1:3" x14ac:dyDescent="0.25">
      <c r="A914" s="2">
        <v>913</v>
      </c>
      <c r="B914" s="2">
        <v>92726204761.904602</v>
      </c>
      <c r="C914" s="3">
        <f ca="1">IFERROR(__xludf.DUMMYFUNCTION("B914*GOOGLEFINANCE(""CURRENCY:CHFINR"")"),7441290913811.51)</f>
        <v>7441290913811.5098</v>
      </c>
    </row>
    <row r="915" spans="1:3" x14ac:dyDescent="0.25">
      <c r="A915" s="2">
        <v>914</v>
      </c>
      <c r="B915" s="2">
        <v>92853390476.190308</v>
      </c>
      <c r="C915" s="3">
        <f ca="1">IFERROR(__xludf.DUMMYFUNCTION("B915*GOOGLEFINANCE(""CURRENCY:CHFINR"")"),7451497585188.93)</f>
        <v>7451497585188.9297</v>
      </c>
    </row>
    <row r="916" spans="1:3" x14ac:dyDescent="0.25">
      <c r="A916" s="2">
        <v>915</v>
      </c>
      <c r="B916" s="2">
        <v>92980576190.475998</v>
      </c>
      <c r="C916" s="3">
        <f ca="1">IFERROR(__xludf.DUMMYFUNCTION("B916*GOOGLEFINANCE(""CURRENCY:CHFINR"")"),7461704256566.36)</f>
        <v>7461704256566.3604</v>
      </c>
    </row>
    <row r="917" spans="1:3" x14ac:dyDescent="0.25">
      <c r="A917" s="2">
        <v>916</v>
      </c>
      <c r="B917" s="2">
        <v>93107761904.761703</v>
      </c>
      <c r="C917" s="3">
        <f ca="1">IFERROR(__xludf.DUMMYFUNCTION("B917*GOOGLEFINANCE(""CURRENCY:CHFINR"")"),7471910927943.79)</f>
        <v>7471910927943.79</v>
      </c>
    </row>
    <row r="918" spans="1:3" x14ac:dyDescent="0.25">
      <c r="A918" s="2">
        <v>917</v>
      </c>
      <c r="B918" s="2">
        <v>93234947619.047394</v>
      </c>
      <c r="C918" s="3">
        <f ca="1">IFERROR(__xludf.DUMMYFUNCTION("B918*GOOGLEFINANCE(""CURRENCY:CHFINR"")"),7482117599321.22)</f>
        <v>7482117599321.2197</v>
      </c>
    </row>
    <row r="919" spans="1:3" x14ac:dyDescent="0.25">
      <c r="A919" s="2">
        <v>918</v>
      </c>
      <c r="B919" s="2">
        <v>93362133333.333099</v>
      </c>
      <c r="C919" s="3">
        <f ca="1">IFERROR(__xludf.DUMMYFUNCTION("B919*GOOGLEFINANCE(""CURRENCY:CHFINR"")"),7492324270698.64)</f>
        <v>7492324270698.6396</v>
      </c>
    </row>
    <row r="920" spans="1:3" x14ac:dyDescent="0.25">
      <c r="A920" s="2">
        <v>919</v>
      </c>
      <c r="B920" s="2">
        <v>93489319047.618896</v>
      </c>
      <c r="C920" s="3">
        <f ca="1">IFERROR(__xludf.DUMMYFUNCTION("B920*GOOGLEFINANCE(""CURRENCY:CHFINR"")"),7502530942076.08)</f>
        <v>7502530942076.0801</v>
      </c>
    </row>
    <row r="921" spans="1:3" x14ac:dyDescent="0.25">
      <c r="A921" s="2">
        <v>920</v>
      </c>
      <c r="B921" s="2">
        <v>93616504761.904602</v>
      </c>
      <c r="C921" s="3">
        <f ca="1">IFERROR(__xludf.DUMMYFUNCTION("B921*GOOGLEFINANCE(""CURRENCY:CHFINR"")"),7512737613453.51)</f>
        <v>7512737613453.5098</v>
      </c>
    </row>
    <row r="922" spans="1:3" x14ac:dyDescent="0.25">
      <c r="A922" s="2">
        <v>921</v>
      </c>
      <c r="B922" s="2">
        <v>93743690476.190308</v>
      </c>
      <c r="C922" s="3">
        <f ca="1">IFERROR(__xludf.DUMMYFUNCTION("B922*GOOGLEFINANCE(""CURRENCY:CHFINR"")"),7522944284830.93)</f>
        <v>7522944284830.9297</v>
      </c>
    </row>
    <row r="923" spans="1:3" x14ac:dyDescent="0.25">
      <c r="A923" s="2">
        <v>922</v>
      </c>
      <c r="B923" s="2">
        <v>93870876190.475998</v>
      </c>
      <c r="C923" s="3">
        <f ca="1">IFERROR(__xludf.DUMMYFUNCTION("B923*GOOGLEFINANCE(""CURRENCY:CHFINR"")"),7533150956208.36)</f>
        <v>7533150956208.3604</v>
      </c>
    </row>
    <row r="924" spans="1:3" x14ac:dyDescent="0.25">
      <c r="A924" s="2">
        <v>923</v>
      </c>
      <c r="B924" s="2">
        <v>93998061904.761703</v>
      </c>
      <c r="C924" s="3">
        <f ca="1">IFERROR(__xludf.DUMMYFUNCTION("B924*GOOGLEFINANCE(""CURRENCY:CHFINR"")"),7543357627585.79)</f>
        <v>7543357627585.79</v>
      </c>
    </row>
    <row r="925" spans="1:3" x14ac:dyDescent="0.25">
      <c r="A925" s="2">
        <v>924</v>
      </c>
      <c r="B925" s="2">
        <v>94125247619.047394</v>
      </c>
      <c r="C925" s="3">
        <f ca="1">IFERROR(__xludf.DUMMYFUNCTION("B925*GOOGLEFINANCE(""CURRENCY:CHFINR"")"),7553564298963.22)</f>
        <v>7553564298963.2197</v>
      </c>
    </row>
    <row r="926" spans="1:3" x14ac:dyDescent="0.25">
      <c r="A926" s="2">
        <v>925</v>
      </c>
      <c r="B926" s="2">
        <v>94252433333.333099</v>
      </c>
      <c r="C926" s="3">
        <f ca="1">IFERROR(__xludf.DUMMYFUNCTION("B926*GOOGLEFINANCE(""CURRENCY:CHFINR"")"),7563770970340.64)</f>
        <v>7563770970340.6396</v>
      </c>
    </row>
    <row r="927" spans="1:3" x14ac:dyDescent="0.25">
      <c r="A927" s="2">
        <v>926</v>
      </c>
      <c r="B927" s="2">
        <v>94379619047.618896</v>
      </c>
      <c r="C927" s="3">
        <f ca="1">IFERROR(__xludf.DUMMYFUNCTION("B927*GOOGLEFINANCE(""CURRENCY:CHFINR"")"),7573977641718.08)</f>
        <v>7573977641718.0801</v>
      </c>
    </row>
    <row r="928" spans="1:3" x14ac:dyDescent="0.25">
      <c r="A928" s="2">
        <v>927</v>
      </c>
      <c r="B928" s="2">
        <v>94506804761.904602</v>
      </c>
      <c r="C928" s="3">
        <f ca="1">IFERROR(__xludf.DUMMYFUNCTION("B928*GOOGLEFINANCE(""CURRENCY:CHFINR"")"),7584184313095.51)</f>
        <v>7584184313095.5098</v>
      </c>
    </row>
    <row r="929" spans="1:3" x14ac:dyDescent="0.25">
      <c r="A929" s="2">
        <v>928</v>
      </c>
      <c r="B929" s="2">
        <v>94633990476.190308</v>
      </c>
      <c r="C929" s="3">
        <f ca="1">IFERROR(__xludf.DUMMYFUNCTION("B929*GOOGLEFINANCE(""CURRENCY:CHFINR"")"),7594390984472.93)</f>
        <v>7594390984472.9297</v>
      </c>
    </row>
    <row r="930" spans="1:3" x14ac:dyDescent="0.25">
      <c r="A930" s="2">
        <v>929</v>
      </c>
      <c r="B930" s="2">
        <v>94761176190.475998</v>
      </c>
      <c r="C930" s="3">
        <f ca="1">IFERROR(__xludf.DUMMYFUNCTION("B930*GOOGLEFINANCE(""CURRENCY:CHFINR"")"),7604597655850.36)</f>
        <v>7604597655850.3604</v>
      </c>
    </row>
    <row r="931" spans="1:3" x14ac:dyDescent="0.25">
      <c r="A931" s="2">
        <v>930</v>
      </c>
      <c r="B931" s="2">
        <v>94888361904.761703</v>
      </c>
      <c r="C931" s="3">
        <f ca="1">IFERROR(__xludf.DUMMYFUNCTION("B931*GOOGLEFINANCE(""CURRENCY:CHFINR"")"),7614804327227.79)</f>
        <v>7614804327227.79</v>
      </c>
    </row>
    <row r="932" spans="1:3" x14ac:dyDescent="0.25">
      <c r="A932" s="2">
        <v>931</v>
      </c>
      <c r="B932" s="2">
        <v>95015547619.047394</v>
      </c>
      <c r="C932" s="3">
        <f ca="1">IFERROR(__xludf.DUMMYFUNCTION("B932*GOOGLEFINANCE(""CURRENCY:CHFINR"")"),7625010998605.22)</f>
        <v>7625010998605.2197</v>
      </c>
    </row>
    <row r="933" spans="1:3" x14ac:dyDescent="0.25">
      <c r="A933" s="2">
        <v>932</v>
      </c>
      <c r="B933" s="2">
        <v>95142733333.333099</v>
      </c>
      <c r="C933" s="3">
        <f ca="1">IFERROR(__xludf.DUMMYFUNCTION("B933*GOOGLEFINANCE(""CURRENCY:CHFINR"")"),7635217669982.64)</f>
        <v>7635217669982.6396</v>
      </c>
    </row>
    <row r="934" spans="1:3" x14ac:dyDescent="0.25">
      <c r="A934" s="2">
        <v>933</v>
      </c>
      <c r="B934" s="2">
        <v>95269919047.618805</v>
      </c>
      <c r="C934" s="3">
        <f ca="1">IFERROR(__xludf.DUMMYFUNCTION("B934*GOOGLEFINANCE(""CURRENCY:CHFINR"")"),7645424341360.07)</f>
        <v>7645424341360.0703</v>
      </c>
    </row>
    <row r="935" spans="1:3" x14ac:dyDescent="0.25">
      <c r="A935" s="2">
        <v>934</v>
      </c>
      <c r="B935" s="2">
        <v>95397104761.904602</v>
      </c>
      <c r="C935" s="3">
        <f ca="1">IFERROR(__xludf.DUMMYFUNCTION("B935*GOOGLEFINANCE(""CURRENCY:CHFINR"")"),7655631012737.51)</f>
        <v>7655631012737.5098</v>
      </c>
    </row>
    <row r="936" spans="1:3" x14ac:dyDescent="0.25">
      <c r="A936" s="2">
        <v>935</v>
      </c>
      <c r="B936" s="2">
        <v>95524290476.190308</v>
      </c>
      <c r="C936" s="3">
        <f ca="1">IFERROR(__xludf.DUMMYFUNCTION("B936*GOOGLEFINANCE(""CURRENCY:CHFINR"")"),7665837684114.93)</f>
        <v>7665837684114.9297</v>
      </c>
    </row>
    <row r="937" spans="1:3" x14ac:dyDescent="0.25">
      <c r="A937" s="2">
        <v>936</v>
      </c>
      <c r="B937" s="2">
        <v>95651476190.475998</v>
      </c>
      <c r="C937" s="3">
        <f ca="1">IFERROR(__xludf.DUMMYFUNCTION("B937*GOOGLEFINANCE(""CURRENCY:CHFINR"")"),7676044355492.36)</f>
        <v>7676044355492.3604</v>
      </c>
    </row>
    <row r="938" spans="1:3" x14ac:dyDescent="0.25">
      <c r="A938" s="2">
        <v>937</v>
      </c>
      <c r="B938" s="2">
        <v>95778661904.761703</v>
      </c>
      <c r="C938" s="3">
        <f ca="1">IFERROR(__xludf.DUMMYFUNCTION("B938*GOOGLEFINANCE(""CURRENCY:CHFINR"")"),7686251026869.79)</f>
        <v>7686251026869.79</v>
      </c>
    </row>
    <row r="939" spans="1:3" x14ac:dyDescent="0.25">
      <c r="A939" s="2">
        <v>938</v>
      </c>
      <c r="B939" s="2">
        <v>95905847619.047394</v>
      </c>
      <c r="C939" s="3">
        <f ca="1">IFERROR(__xludf.DUMMYFUNCTION("B939*GOOGLEFINANCE(""CURRENCY:CHFINR"")"),7696457698247.22)</f>
        <v>7696457698247.2197</v>
      </c>
    </row>
    <row r="940" spans="1:3" x14ac:dyDescent="0.25">
      <c r="A940" s="2">
        <v>939</v>
      </c>
      <c r="B940" s="2">
        <v>96033033333.333099</v>
      </c>
      <c r="C940" s="3">
        <f ca="1">IFERROR(__xludf.DUMMYFUNCTION("B940*GOOGLEFINANCE(""CURRENCY:CHFINR"")"),7706664369624.64)</f>
        <v>7706664369624.6396</v>
      </c>
    </row>
    <row r="941" spans="1:3" x14ac:dyDescent="0.25">
      <c r="A941" s="2">
        <v>940</v>
      </c>
      <c r="B941" s="2">
        <v>96160219047.618805</v>
      </c>
      <c r="C941" s="3">
        <f ca="1">IFERROR(__xludf.DUMMYFUNCTION("B941*GOOGLEFINANCE(""CURRENCY:CHFINR"")"),7716871041002.07)</f>
        <v>7716871041002.0703</v>
      </c>
    </row>
    <row r="942" spans="1:3" x14ac:dyDescent="0.25">
      <c r="A942" s="2">
        <v>941</v>
      </c>
      <c r="B942" s="2">
        <v>96287404761.904602</v>
      </c>
      <c r="C942" s="3">
        <f ca="1">IFERROR(__xludf.DUMMYFUNCTION("B942*GOOGLEFINANCE(""CURRENCY:CHFINR"")"),7727077712379.51)</f>
        <v>7727077712379.5098</v>
      </c>
    </row>
    <row r="943" spans="1:3" x14ac:dyDescent="0.25">
      <c r="A943" s="2">
        <v>942</v>
      </c>
      <c r="B943" s="2">
        <v>96414590476.190308</v>
      </c>
      <c r="C943" s="3">
        <f ca="1">IFERROR(__xludf.DUMMYFUNCTION("B943*GOOGLEFINANCE(""CURRENCY:CHFINR"")"),7737284383756.93)</f>
        <v>7737284383756.9297</v>
      </c>
    </row>
    <row r="944" spans="1:3" x14ac:dyDescent="0.25">
      <c r="A944" s="2">
        <v>943</v>
      </c>
      <c r="B944" s="2">
        <v>96541776190.475998</v>
      </c>
      <c r="C944" s="3">
        <f ca="1">IFERROR(__xludf.DUMMYFUNCTION("B944*GOOGLEFINANCE(""CURRENCY:CHFINR"")"),7747491055134.36)</f>
        <v>7747491055134.3604</v>
      </c>
    </row>
    <row r="945" spans="1:3" x14ac:dyDescent="0.25">
      <c r="A945" s="2">
        <v>944</v>
      </c>
      <c r="B945" s="2">
        <v>96668961904.761703</v>
      </c>
      <c r="C945" s="3">
        <f ca="1">IFERROR(__xludf.DUMMYFUNCTION("B945*GOOGLEFINANCE(""CURRENCY:CHFINR"")"),7757697726511.79)</f>
        <v>7757697726511.79</v>
      </c>
    </row>
    <row r="946" spans="1:3" x14ac:dyDescent="0.25">
      <c r="A946" s="2">
        <v>945</v>
      </c>
      <c r="B946" s="2">
        <v>96796147619.047394</v>
      </c>
      <c r="C946" s="3">
        <f ca="1">IFERROR(__xludf.DUMMYFUNCTION("B946*GOOGLEFINANCE(""CURRENCY:CHFINR"")"),7767904397889.22)</f>
        <v>7767904397889.2197</v>
      </c>
    </row>
    <row r="947" spans="1:3" x14ac:dyDescent="0.25">
      <c r="A947" s="2">
        <v>946</v>
      </c>
      <c r="B947" s="2">
        <v>96923333333.333099</v>
      </c>
      <c r="C947" s="3">
        <f ca="1">IFERROR(__xludf.DUMMYFUNCTION("B947*GOOGLEFINANCE(""CURRENCY:CHFINR"")"),7778111069266.64)</f>
        <v>7778111069266.6396</v>
      </c>
    </row>
    <row r="948" spans="1:3" x14ac:dyDescent="0.25">
      <c r="A948" s="2">
        <v>947</v>
      </c>
      <c r="B948" s="2">
        <v>97050519047.618805</v>
      </c>
      <c r="C948" s="3">
        <f ca="1">IFERROR(__xludf.DUMMYFUNCTION("B948*GOOGLEFINANCE(""CURRENCY:CHFINR"")"),7788317740644.07)</f>
        <v>7788317740644.0703</v>
      </c>
    </row>
    <row r="949" spans="1:3" x14ac:dyDescent="0.25">
      <c r="A949" s="2">
        <v>948</v>
      </c>
      <c r="B949" s="2">
        <v>97177704761.904602</v>
      </c>
      <c r="C949" s="3">
        <f ca="1">IFERROR(__xludf.DUMMYFUNCTION("B949*GOOGLEFINANCE(""CURRENCY:CHFINR"")"),7798524412021.51)</f>
        <v>7798524412021.5098</v>
      </c>
    </row>
    <row r="950" spans="1:3" x14ac:dyDescent="0.25">
      <c r="A950" s="2">
        <v>949</v>
      </c>
      <c r="B950" s="2">
        <v>97304890476.190308</v>
      </c>
      <c r="C950" s="3">
        <f ca="1">IFERROR(__xludf.DUMMYFUNCTION("B950*GOOGLEFINANCE(""CURRENCY:CHFINR"")"),7808731083398.93)</f>
        <v>7808731083398.9297</v>
      </c>
    </row>
    <row r="951" spans="1:3" x14ac:dyDescent="0.25">
      <c r="A951" s="2">
        <v>950</v>
      </c>
      <c r="B951" s="2">
        <v>97432076190.475998</v>
      </c>
      <c r="C951" s="3">
        <f ca="1">IFERROR(__xludf.DUMMYFUNCTION("B951*GOOGLEFINANCE(""CURRENCY:CHFINR"")"),7818937754776.36)</f>
        <v>7818937754776.3604</v>
      </c>
    </row>
    <row r="952" spans="1:3" x14ac:dyDescent="0.25">
      <c r="A952" s="2">
        <v>951</v>
      </c>
      <c r="B952" s="2">
        <v>97559261904.761703</v>
      </c>
      <c r="C952" s="3">
        <f ca="1">IFERROR(__xludf.DUMMYFUNCTION("B952*GOOGLEFINANCE(""CURRENCY:CHFINR"")"),7829144426153.79)</f>
        <v>7829144426153.79</v>
      </c>
    </row>
    <row r="953" spans="1:3" x14ac:dyDescent="0.25">
      <c r="A953" s="2">
        <v>952</v>
      </c>
      <c r="B953" s="2">
        <v>97686447619.047394</v>
      </c>
      <c r="C953" s="3">
        <f ca="1">IFERROR(__xludf.DUMMYFUNCTION("B953*GOOGLEFINANCE(""CURRENCY:CHFINR"")"),7839351097531.22)</f>
        <v>7839351097531.2197</v>
      </c>
    </row>
    <row r="954" spans="1:3" x14ac:dyDescent="0.25">
      <c r="A954" s="2">
        <v>953</v>
      </c>
      <c r="B954" s="2">
        <v>97813633333.333099</v>
      </c>
      <c r="C954" s="3">
        <f ca="1">IFERROR(__xludf.DUMMYFUNCTION("B954*GOOGLEFINANCE(""CURRENCY:CHFINR"")"),7849557768908.64)</f>
        <v>7849557768908.6396</v>
      </c>
    </row>
    <row r="955" spans="1:3" x14ac:dyDescent="0.25">
      <c r="A955" s="2">
        <v>954</v>
      </c>
      <c r="B955" s="2">
        <v>97940819047.618805</v>
      </c>
      <c r="C955" s="3">
        <f ca="1">IFERROR(__xludf.DUMMYFUNCTION("B955*GOOGLEFINANCE(""CURRENCY:CHFINR"")"),7859764440286.07)</f>
        <v>7859764440286.0703</v>
      </c>
    </row>
    <row r="956" spans="1:3" x14ac:dyDescent="0.25">
      <c r="A956" s="2">
        <v>955</v>
      </c>
      <c r="B956" s="2">
        <v>98068004761.904602</v>
      </c>
      <c r="C956" s="3">
        <f ca="1">IFERROR(__xludf.DUMMYFUNCTION("B956*GOOGLEFINANCE(""CURRENCY:CHFINR"")"),7869971111663.51)</f>
        <v>7869971111663.5098</v>
      </c>
    </row>
    <row r="957" spans="1:3" x14ac:dyDescent="0.25">
      <c r="A957" s="2">
        <v>956</v>
      </c>
      <c r="B957" s="2">
        <v>98195190476.190308</v>
      </c>
      <c r="C957" s="3">
        <f ca="1">IFERROR(__xludf.DUMMYFUNCTION("B957*GOOGLEFINANCE(""CURRENCY:CHFINR"")"),7880177783040.93)</f>
        <v>7880177783040.9297</v>
      </c>
    </row>
    <row r="958" spans="1:3" x14ac:dyDescent="0.25">
      <c r="A958" s="2">
        <v>957</v>
      </c>
      <c r="B958" s="2">
        <v>98322376190.475998</v>
      </c>
      <c r="C958" s="3">
        <f ca="1">IFERROR(__xludf.DUMMYFUNCTION("B958*GOOGLEFINANCE(""CURRENCY:CHFINR"")"),7890384454418.36)</f>
        <v>7890384454418.3604</v>
      </c>
    </row>
    <row r="959" spans="1:3" x14ac:dyDescent="0.25">
      <c r="A959" s="2">
        <v>958</v>
      </c>
      <c r="B959" s="2">
        <v>98449561904.761703</v>
      </c>
      <c r="C959" s="3">
        <f ca="1">IFERROR(__xludf.DUMMYFUNCTION("B959*GOOGLEFINANCE(""CURRENCY:CHFINR"")"),7900591125795.79)</f>
        <v>7900591125795.79</v>
      </c>
    </row>
    <row r="960" spans="1:3" x14ac:dyDescent="0.25">
      <c r="A960" s="2">
        <v>959</v>
      </c>
      <c r="B960" s="2">
        <v>98576747619.047394</v>
      </c>
      <c r="C960" s="3">
        <f ca="1">IFERROR(__xludf.DUMMYFUNCTION("B960*GOOGLEFINANCE(""CURRENCY:CHFINR"")"),7910797797173.22)</f>
        <v>7910797797173.2197</v>
      </c>
    </row>
    <row r="961" spans="1:3" x14ac:dyDescent="0.25">
      <c r="A961" s="2">
        <v>960</v>
      </c>
      <c r="B961" s="2">
        <v>98703933333.333099</v>
      </c>
      <c r="C961" s="3">
        <f ca="1">IFERROR(__xludf.DUMMYFUNCTION("B961*GOOGLEFINANCE(""CURRENCY:CHFINR"")"),7921004468550.64)</f>
        <v>7921004468550.6396</v>
      </c>
    </row>
    <row r="962" spans="1:3" x14ac:dyDescent="0.25">
      <c r="A962" s="2">
        <v>961</v>
      </c>
      <c r="B962" s="2">
        <v>98831119047.618805</v>
      </c>
      <c r="C962" s="3">
        <f ca="1">IFERROR(__xludf.DUMMYFUNCTION("B962*GOOGLEFINANCE(""CURRENCY:CHFINR"")"),7931211139928.07)</f>
        <v>7931211139928.0703</v>
      </c>
    </row>
    <row r="963" spans="1:3" x14ac:dyDescent="0.25">
      <c r="A963" s="2">
        <v>962</v>
      </c>
      <c r="B963" s="2">
        <v>98958304761.904602</v>
      </c>
      <c r="C963" s="3">
        <f ca="1">IFERROR(__xludf.DUMMYFUNCTION("B963*GOOGLEFINANCE(""CURRENCY:CHFINR"")"),7941417811305.51)</f>
        <v>7941417811305.5098</v>
      </c>
    </row>
    <row r="964" spans="1:3" x14ac:dyDescent="0.25">
      <c r="A964" s="2">
        <v>963</v>
      </c>
      <c r="B964" s="2">
        <v>99085490476.190308</v>
      </c>
      <c r="C964" s="3">
        <f ca="1">IFERROR(__xludf.DUMMYFUNCTION("B964*GOOGLEFINANCE(""CURRENCY:CHFINR"")"),7951624482682.93)</f>
        <v>7951624482682.9297</v>
      </c>
    </row>
    <row r="965" spans="1:3" x14ac:dyDescent="0.25">
      <c r="A965" s="2">
        <v>964</v>
      </c>
      <c r="B965" s="2">
        <v>99212676190.475998</v>
      </c>
      <c r="C965" s="3">
        <f ca="1">IFERROR(__xludf.DUMMYFUNCTION("B965*GOOGLEFINANCE(""CURRENCY:CHFINR"")"),7961831154060.36)</f>
        <v>7961831154060.3604</v>
      </c>
    </row>
    <row r="966" spans="1:3" x14ac:dyDescent="0.25">
      <c r="A966" s="2">
        <v>965</v>
      </c>
      <c r="B966" s="2">
        <v>99339861904.761703</v>
      </c>
      <c r="C966" s="3">
        <f ca="1">IFERROR(__xludf.DUMMYFUNCTION("B966*GOOGLEFINANCE(""CURRENCY:CHFINR"")"),7972037825437.79)</f>
        <v>7972037825437.79</v>
      </c>
    </row>
    <row r="967" spans="1:3" x14ac:dyDescent="0.25">
      <c r="A967" s="2">
        <v>966</v>
      </c>
      <c r="B967" s="2">
        <v>99467047619.047394</v>
      </c>
      <c r="C967" s="3">
        <f ca="1">IFERROR(__xludf.DUMMYFUNCTION("B967*GOOGLEFINANCE(""CURRENCY:CHFINR"")"),7982244496815.22)</f>
        <v>7982244496815.2197</v>
      </c>
    </row>
    <row r="968" spans="1:3" x14ac:dyDescent="0.25">
      <c r="A968" s="2">
        <v>967</v>
      </c>
      <c r="B968" s="2">
        <v>99594233333.333099</v>
      </c>
      <c r="C968" s="3">
        <f ca="1">IFERROR(__xludf.DUMMYFUNCTION("B968*GOOGLEFINANCE(""CURRENCY:CHFINR"")"),7992451168192.64)</f>
        <v>7992451168192.6396</v>
      </c>
    </row>
    <row r="969" spans="1:3" x14ac:dyDescent="0.25">
      <c r="A969" s="2">
        <v>968</v>
      </c>
      <c r="B969" s="2">
        <v>99721419047.618805</v>
      </c>
      <c r="C969" s="3">
        <f ca="1">IFERROR(__xludf.DUMMYFUNCTION("B969*GOOGLEFINANCE(""CURRENCY:CHFINR"")"),8002657839570.07)</f>
        <v>8002657839570.0703</v>
      </c>
    </row>
    <row r="970" spans="1:3" x14ac:dyDescent="0.25">
      <c r="A970" s="2">
        <v>969</v>
      </c>
      <c r="B970" s="2">
        <v>99848604761.904495</v>
      </c>
      <c r="C970" s="3">
        <f ca="1">IFERROR(__xludf.DUMMYFUNCTION("B970*GOOGLEFINANCE(""CURRENCY:CHFINR"")"),8012864510947.5)</f>
        <v>8012864510947.5</v>
      </c>
    </row>
    <row r="971" spans="1:3" x14ac:dyDescent="0.25">
      <c r="A971" s="2">
        <v>970</v>
      </c>
      <c r="B971" s="2">
        <v>99975790476.190308</v>
      </c>
      <c r="C971" s="3">
        <f ca="1">IFERROR(__xludf.DUMMYFUNCTION("B971*GOOGLEFINANCE(""CURRENCY:CHFINR"")"),8023071182324.93)</f>
        <v>8023071182324.9297</v>
      </c>
    </row>
    <row r="972" spans="1:3" x14ac:dyDescent="0.25">
      <c r="A972" s="2">
        <v>971</v>
      </c>
      <c r="B972" s="2">
        <v>100102976190.476</v>
      </c>
      <c r="C972" s="3">
        <f ca="1">IFERROR(__xludf.DUMMYFUNCTION("B972*GOOGLEFINANCE(""CURRENCY:CHFINR"")"),8033277853702.36)</f>
        <v>8033277853702.3604</v>
      </c>
    </row>
    <row r="973" spans="1:3" x14ac:dyDescent="0.25">
      <c r="A973" s="2">
        <v>972</v>
      </c>
      <c r="B973" s="2">
        <v>100230161904.76199</v>
      </c>
      <c r="C973" s="3">
        <f ca="1">IFERROR(__xludf.DUMMYFUNCTION("B973*GOOGLEFINANCE(""CURRENCY:CHFINR"")"),8043484525079.81)</f>
        <v>8043484525079.8096</v>
      </c>
    </row>
    <row r="974" spans="1:3" x14ac:dyDescent="0.25">
      <c r="A974" s="2">
        <v>973</v>
      </c>
      <c r="B974" s="2">
        <v>100357347619.047</v>
      </c>
      <c r="C974" s="3">
        <f ca="1">IFERROR(__xludf.DUMMYFUNCTION("B974*GOOGLEFINANCE(""CURRENCY:CHFINR"")"),8053691196457.18)</f>
        <v>8053691196457.1797</v>
      </c>
    </row>
    <row r="975" spans="1:3" x14ac:dyDescent="0.25">
      <c r="A975" s="2">
        <v>974</v>
      </c>
      <c r="B975" s="2">
        <v>100484533333.33299</v>
      </c>
      <c r="C975" s="3">
        <f ca="1">IFERROR(__xludf.DUMMYFUNCTION("B975*GOOGLEFINANCE(""CURRENCY:CHFINR"")"),8063897867834.64)</f>
        <v>8063897867834.6396</v>
      </c>
    </row>
    <row r="976" spans="1:3" x14ac:dyDescent="0.25">
      <c r="A976" s="2">
        <v>975</v>
      </c>
      <c r="B976" s="2">
        <v>100611719047.619</v>
      </c>
      <c r="C976" s="3">
        <f ca="1">IFERROR(__xludf.DUMMYFUNCTION("B976*GOOGLEFINANCE(""CURRENCY:CHFINR"")"),8074104539212.09)</f>
        <v>8074104539212.0898</v>
      </c>
    </row>
    <row r="977" spans="1:3" x14ac:dyDescent="0.25">
      <c r="A977" s="2">
        <v>976</v>
      </c>
      <c r="B977" s="2">
        <v>100738904761.905</v>
      </c>
      <c r="C977" s="3">
        <f ca="1">IFERROR(__xludf.DUMMYFUNCTION("B977*GOOGLEFINANCE(""CURRENCY:CHFINR"")"),8084311210589.54)</f>
        <v>8084311210589.54</v>
      </c>
    </row>
    <row r="978" spans="1:3" x14ac:dyDescent="0.25">
      <c r="A978" s="2">
        <v>977</v>
      </c>
      <c r="B978" s="2">
        <v>100866090476.19</v>
      </c>
      <c r="C978" s="3">
        <f ca="1">IFERROR(__xludf.DUMMYFUNCTION("B978*GOOGLEFINANCE(""CURRENCY:CHFINR"")"),8094517881966.91)</f>
        <v>8094517881966.9102</v>
      </c>
    </row>
    <row r="979" spans="1:3" x14ac:dyDescent="0.25">
      <c r="A979" s="2">
        <v>978</v>
      </c>
      <c r="B979" s="2">
        <v>100993276190.476</v>
      </c>
      <c r="C979" s="3">
        <f ca="1">IFERROR(__xludf.DUMMYFUNCTION("B979*GOOGLEFINANCE(""CURRENCY:CHFINR"")"),8104724553344.36)</f>
        <v>8104724553344.3604</v>
      </c>
    </row>
    <row r="980" spans="1:3" x14ac:dyDescent="0.25">
      <c r="A980" s="2">
        <v>979</v>
      </c>
      <c r="B980" s="2">
        <v>101120461904.76199</v>
      </c>
      <c r="C980" s="3">
        <f ca="1">IFERROR(__xludf.DUMMYFUNCTION("B980*GOOGLEFINANCE(""CURRENCY:CHFINR"")"),8114931224721.81)</f>
        <v>8114931224721.8096</v>
      </c>
    </row>
    <row r="981" spans="1:3" x14ac:dyDescent="0.25">
      <c r="A981" s="2">
        <v>980</v>
      </c>
      <c r="B981" s="2">
        <v>101247647619.047</v>
      </c>
      <c r="C981" s="3">
        <f ca="1">IFERROR(__xludf.DUMMYFUNCTION("B981*GOOGLEFINANCE(""CURRENCY:CHFINR"")"),8125137896099.18)</f>
        <v>8125137896099.1797</v>
      </c>
    </row>
    <row r="982" spans="1:3" x14ac:dyDescent="0.25">
      <c r="A982" s="2">
        <v>981</v>
      </c>
      <c r="B982" s="2">
        <v>101374833333.33299</v>
      </c>
      <c r="C982" s="3">
        <f ca="1">IFERROR(__xludf.DUMMYFUNCTION("B982*GOOGLEFINANCE(""CURRENCY:CHFINR"")"),8135344567476.64)</f>
        <v>8135344567476.6396</v>
      </c>
    </row>
    <row r="983" spans="1:3" x14ac:dyDescent="0.25">
      <c r="A983" s="2">
        <v>982</v>
      </c>
      <c r="B983" s="2">
        <v>101502019047.619</v>
      </c>
      <c r="C983" s="3">
        <f ca="1">IFERROR(__xludf.DUMMYFUNCTION("B983*GOOGLEFINANCE(""CURRENCY:CHFINR"")"),8145551238854.09)</f>
        <v>8145551238854.0898</v>
      </c>
    </row>
    <row r="984" spans="1:3" x14ac:dyDescent="0.25">
      <c r="A984" s="2">
        <v>983</v>
      </c>
      <c r="B984" s="2">
        <v>101629204761.905</v>
      </c>
      <c r="C984" s="3">
        <f ca="1">IFERROR(__xludf.DUMMYFUNCTION("B984*GOOGLEFINANCE(""CURRENCY:CHFINR"")"),8155757910231.54)</f>
        <v>8155757910231.54</v>
      </c>
    </row>
    <row r="985" spans="1:3" x14ac:dyDescent="0.25">
      <c r="A985" s="2">
        <v>984</v>
      </c>
      <c r="B985" s="2">
        <v>101756390476.19</v>
      </c>
      <c r="C985" s="3">
        <f ca="1">IFERROR(__xludf.DUMMYFUNCTION("B985*GOOGLEFINANCE(""CURRENCY:CHFINR"")"),8165964581608.91)</f>
        <v>8165964581608.9102</v>
      </c>
    </row>
    <row r="986" spans="1:3" x14ac:dyDescent="0.25">
      <c r="A986" s="2">
        <v>985</v>
      </c>
      <c r="B986" s="2">
        <v>101883576190.476</v>
      </c>
      <c r="C986" s="3">
        <f ca="1">IFERROR(__xludf.DUMMYFUNCTION("B986*GOOGLEFINANCE(""CURRENCY:CHFINR"")"),8176171252986.36)</f>
        <v>8176171252986.3604</v>
      </c>
    </row>
    <row r="987" spans="1:3" x14ac:dyDescent="0.25">
      <c r="A987" s="2">
        <v>986</v>
      </c>
      <c r="B987" s="2">
        <v>102010761904.76199</v>
      </c>
      <c r="C987" s="3">
        <f ca="1">IFERROR(__xludf.DUMMYFUNCTION("B987*GOOGLEFINANCE(""CURRENCY:CHFINR"")"),8186377924363.81)</f>
        <v>8186377924363.8096</v>
      </c>
    </row>
    <row r="988" spans="1:3" x14ac:dyDescent="0.25">
      <c r="A988" s="2">
        <v>987</v>
      </c>
      <c r="B988" s="2">
        <v>102137947619.047</v>
      </c>
      <c r="C988" s="3">
        <f ca="1">IFERROR(__xludf.DUMMYFUNCTION("B988*GOOGLEFINANCE(""CURRENCY:CHFINR"")"),8196584595741.18)</f>
        <v>8196584595741.1797</v>
      </c>
    </row>
    <row r="989" spans="1:3" x14ac:dyDescent="0.25">
      <c r="A989" s="2">
        <v>988</v>
      </c>
      <c r="B989" s="2">
        <v>102265133333.33299</v>
      </c>
      <c r="C989" s="3">
        <f ca="1">IFERROR(__xludf.DUMMYFUNCTION("B989*GOOGLEFINANCE(""CURRENCY:CHFINR"")"),8206791267118.64)</f>
        <v>8206791267118.6396</v>
      </c>
    </row>
    <row r="990" spans="1:3" x14ac:dyDescent="0.25">
      <c r="A990" s="2">
        <v>989</v>
      </c>
      <c r="B990" s="2">
        <v>102392319047.619</v>
      </c>
      <c r="C990" s="3">
        <f ca="1">IFERROR(__xludf.DUMMYFUNCTION("B990*GOOGLEFINANCE(""CURRENCY:CHFINR"")"),8216997938496.09)</f>
        <v>8216997938496.0898</v>
      </c>
    </row>
    <row r="991" spans="1:3" x14ac:dyDescent="0.25">
      <c r="A991" s="2">
        <v>990</v>
      </c>
      <c r="B991" s="2">
        <v>102519504761.905</v>
      </c>
      <c r="C991" s="3">
        <f ca="1">IFERROR(__xludf.DUMMYFUNCTION("B991*GOOGLEFINANCE(""CURRENCY:CHFINR"")"),8227204609873.54)</f>
        <v>8227204609873.54</v>
      </c>
    </row>
    <row r="992" spans="1:3" x14ac:dyDescent="0.25">
      <c r="A992" s="2">
        <v>991</v>
      </c>
      <c r="B992" s="2">
        <v>102646690476.19</v>
      </c>
      <c r="C992" s="3">
        <f ca="1">IFERROR(__xludf.DUMMYFUNCTION("B992*GOOGLEFINANCE(""CURRENCY:CHFINR"")"),8237411281250.91)</f>
        <v>8237411281250.9102</v>
      </c>
    </row>
    <row r="993" spans="1:3" x14ac:dyDescent="0.25">
      <c r="A993" s="2">
        <v>992</v>
      </c>
      <c r="B993" s="2">
        <v>102773876190.476</v>
      </c>
      <c r="C993" s="3">
        <f ca="1">IFERROR(__xludf.DUMMYFUNCTION("B993*GOOGLEFINANCE(""CURRENCY:CHFINR"")"),8247617952628.36)</f>
        <v>8247617952628.3604</v>
      </c>
    </row>
    <row r="994" spans="1:3" x14ac:dyDescent="0.25">
      <c r="A994" s="2">
        <v>993</v>
      </c>
      <c r="B994" s="2">
        <v>102901061904.76199</v>
      </c>
      <c r="C994" s="3">
        <f ca="1">IFERROR(__xludf.DUMMYFUNCTION("B994*GOOGLEFINANCE(""CURRENCY:CHFINR"")"),8257824624005.81)</f>
        <v>8257824624005.8096</v>
      </c>
    </row>
    <row r="995" spans="1:3" x14ac:dyDescent="0.25">
      <c r="A995" s="2">
        <v>994</v>
      </c>
      <c r="B995" s="2">
        <v>103028247619.047</v>
      </c>
      <c r="C995" s="3">
        <f ca="1">IFERROR(__xludf.DUMMYFUNCTION("B995*GOOGLEFINANCE(""CURRENCY:CHFINR"")"),8268031295383.18)</f>
        <v>8268031295383.1797</v>
      </c>
    </row>
    <row r="996" spans="1:3" x14ac:dyDescent="0.25">
      <c r="A996" s="2">
        <v>995</v>
      </c>
      <c r="B996" s="2">
        <v>103155433333.33299</v>
      </c>
      <c r="C996" s="3">
        <f ca="1">IFERROR(__xludf.DUMMYFUNCTION("B996*GOOGLEFINANCE(""CURRENCY:CHFINR"")"),8278237966760.64)</f>
        <v>8278237966760.6396</v>
      </c>
    </row>
    <row r="997" spans="1:3" x14ac:dyDescent="0.25">
      <c r="A997" s="2">
        <v>996</v>
      </c>
      <c r="B997" s="2">
        <v>103282619047.619</v>
      </c>
      <c r="C997" s="3">
        <f ca="1">IFERROR(__xludf.DUMMYFUNCTION("B997*GOOGLEFINANCE(""CURRENCY:CHFINR"")"),8288444638138.09)</f>
        <v>8288444638138.0898</v>
      </c>
    </row>
    <row r="998" spans="1:3" x14ac:dyDescent="0.25">
      <c r="A998" s="2">
        <v>997</v>
      </c>
      <c r="B998" s="2">
        <v>103409804761.905</v>
      </c>
      <c r="C998" s="3">
        <f ca="1">IFERROR(__xludf.DUMMYFUNCTION("B998*GOOGLEFINANCE(""CURRENCY:CHFINR"")"),8298651309515.54)</f>
        <v>8298651309515.54</v>
      </c>
    </row>
    <row r="999" spans="1:3" x14ac:dyDescent="0.25">
      <c r="A999" s="2">
        <v>998</v>
      </c>
      <c r="B999" s="2">
        <v>103536990476.19</v>
      </c>
      <c r="C999" s="3">
        <f ca="1">IFERROR(__xludf.DUMMYFUNCTION("B999*GOOGLEFINANCE(""CURRENCY:CHFINR"")"),8308857980892.91)</f>
        <v>8308857980892.9102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INR TO USD</vt:lpstr>
      <vt:lpstr>INR TO AUD</vt:lpstr>
      <vt:lpstr>INR TO CHF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thirthesh</cp:lastModifiedBy>
  <dcterms:modified xsi:type="dcterms:W3CDTF">2020-06-10T21:16:21Z</dcterms:modified>
</cp:coreProperties>
</file>