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P_participation" sheetId="1" r:id="rId1"/>
    <sheet name="Orgs_summary" sheetId="2" r:id="rId2"/>
    <sheet name="FP_projects" sheetId="3" r:id="rId3"/>
    <sheet name="Countries_summary" sheetId="4" r:id="rId4"/>
  </sheets>
  <definedNames>
    <definedName name="_xlnm._FilterDatabase" localSheetId="3" hidden="1">'Countries_summary'!$A$1:$O$2</definedName>
    <definedName name="_xlnm._FilterDatabase" localSheetId="0" hidden="1">'FP_participation'!$A$1:$U$143</definedName>
    <definedName name="_xlnm._FilterDatabase" localSheetId="2" hidden="1">'FP_projects'!$A$1:$M$127</definedName>
    <definedName name="_xlnm._FilterDatabase" localSheetId="1" hidden="1">'Orgs_summary'!$A$1:$S$32</definedName>
  </definedNames>
  <calcPr calcId="124519" fullCalcOnLoad="1"/>
</workbook>
</file>

<file path=xl/sharedStrings.xml><?xml version="1.0" encoding="utf-8"?>
<sst xmlns="http://schemas.openxmlformats.org/spreadsheetml/2006/main" count="3443" uniqueCount="846">
  <si>
    <t>frameworkProgramme</t>
  </si>
  <si>
    <t>projectID</t>
  </si>
  <si>
    <t>projectAcronym</t>
  </si>
  <si>
    <t>title</t>
  </si>
  <si>
    <t>ecSignatureDate</t>
  </si>
  <si>
    <t>startDate</t>
  </si>
  <si>
    <t>endDate</t>
  </si>
  <si>
    <t>country</t>
  </si>
  <si>
    <t>countryName</t>
  </si>
  <si>
    <t>PIC</t>
  </si>
  <si>
    <t>Organisation</t>
  </si>
  <si>
    <t>shortName</t>
  </si>
  <si>
    <t>activityType</t>
  </si>
  <si>
    <t>SME</t>
  </si>
  <si>
    <t>Type of action</t>
  </si>
  <si>
    <t>subCall</t>
  </si>
  <si>
    <t>order</t>
  </si>
  <si>
    <t>role</t>
  </si>
  <si>
    <t>ecContribution</t>
  </si>
  <si>
    <t>netEcContribution</t>
  </si>
  <si>
    <t>totalCost</t>
  </si>
  <si>
    <t>FP7</t>
  </si>
  <si>
    <t>H2020</t>
  </si>
  <si>
    <t>HORIZON</t>
  </si>
  <si>
    <t>MSV</t>
  </si>
  <si>
    <t>FRENZ</t>
  </si>
  <si>
    <t>SWARP</t>
  </si>
  <si>
    <t>DIRECT</t>
  </si>
  <si>
    <t>PLASMON</t>
  </si>
  <si>
    <t>MOBI-KIDS</t>
  </si>
  <si>
    <t>NTM-IMPACT</t>
  </si>
  <si>
    <t>4D4Life</t>
  </si>
  <si>
    <t>MICREAGENTS</t>
  </si>
  <si>
    <t>SIFEM</t>
  </si>
  <si>
    <t>VPH-Share</t>
  </si>
  <si>
    <t>STAR-IDAZ</t>
  </si>
  <si>
    <t>ERACAPS</t>
  </si>
  <si>
    <t>EURASIAPAC</t>
  </si>
  <si>
    <t>LOWINPUTBREEDS</t>
  </si>
  <si>
    <t>CAUSCOG</t>
  </si>
  <si>
    <t>TANDEM</t>
  </si>
  <si>
    <t>DROPSA</t>
  </si>
  <si>
    <t>PRATIQUE</t>
  </si>
  <si>
    <t>PREVIEW</t>
  </si>
  <si>
    <t>QBOL</t>
  </si>
  <si>
    <t>RICORDO</t>
  </si>
  <si>
    <t>ITFoM</t>
  </si>
  <si>
    <t>CENTER-TBI</t>
  </si>
  <si>
    <t>OPCARE9</t>
  </si>
  <si>
    <t>FRIENZ</t>
  </si>
  <si>
    <t>eGovPoliNet</t>
  </si>
  <si>
    <t>NUTRITECH</t>
  </si>
  <si>
    <t>IPODD</t>
  </si>
  <si>
    <t>VPH NoE</t>
  </si>
  <si>
    <t>PHARMASEA</t>
  </si>
  <si>
    <t>SYMBIOSIS-EU</t>
  </si>
  <si>
    <t>EPIC-CVD</t>
  </si>
  <si>
    <t>SYSMEDIBD</t>
  </si>
  <si>
    <t>MYNEWGUT</t>
  </si>
  <si>
    <t>SABER CULTURAL</t>
  </si>
  <si>
    <t>WAMSISE</t>
  </si>
  <si>
    <t>ANSWER</t>
  </si>
  <si>
    <t>ISAC</t>
  </si>
  <si>
    <t>XSPECT</t>
  </si>
  <si>
    <t>EPIC</t>
  </si>
  <si>
    <t>EDJ</t>
  </si>
  <si>
    <t>CALENDARS</t>
  </si>
  <si>
    <t>SMART POP</t>
  </si>
  <si>
    <t>HERCULES</t>
  </si>
  <si>
    <t>DCPM</t>
  </si>
  <si>
    <t>ISLANDPALECO</t>
  </si>
  <si>
    <t>HYSOTIB</t>
  </si>
  <si>
    <t>FISHEARS</t>
  </si>
  <si>
    <t>ISEBI</t>
  </si>
  <si>
    <t>PredProkDef</t>
  </si>
  <si>
    <t>EVOIMMECH</t>
  </si>
  <si>
    <t>DiCoMI</t>
  </si>
  <si>
    <t>HALT</t>
  </si>
  <si>
    <t>OCTA</t>
  </si>
  <si>
    <t>TRANSFORM</t>
  </si>
  <si>
    <t>Vacc-iNTS</t>
  </si>
  <si>
    <t>CAMERA</t>
  </si>
  <si>
    <t>AsthmaPhenotypes</t>
  </si>
  <si>
    <t>MAIA</t>
  </si>
  <si>
    <t>OPTWET</t>
  </si>
  <si>
    <t>MICACT</t>
  </si>
  <si>
    <t>POLYPLOID</t>
  </si>
  <si>
    <t>CLIMB</t>
  </si>
  <si>
    <t>GENEVABREED</t>
  </si>
  <si>
    <t>EDUHEALTH</t>
  </si>
  <si>
    <t>CHIC</t>
  </si>
  <si>
    <t>DeMANS</t>
  </si>
  <si>
    <t>Spatialec</t>
  </si>
  <si>
    <t>KEEPFISH</t>
  </si>
  <si>
    <t>INTERACT</t>
  </si>
  <si>
    <t>OCSEAN</t>
  </si>
  <si>
    <t>IPaDEGAN</t>
  </si>
  <si>
    <t>ClieNFarms</t>
  </si>
  <si>
    <t>IMPACT</t>
  </si>
  <si>
    <t>HiFreq</t>
  </si>
  <si>
    <t>PlastiSol</t>
  </si>
  <si>
    <t>CID</t>
  </si>
  <si>
    <t>BestPass</t>
  </si>
  <si>
    <t>QUANTUM DYNAMICS</t>
  </si>
  <si>
    <t>PROTINUS</t>
  </si>
  <si>
    <t>ARCSAR</t>
  </si>
  <si>
    <t>RISE</t>
  </si>
  <si>
    <t>GEMCLIME</t>
  </si>
  <si>
    <t>SALEACOM</t>
  </si>
  <si>
    <t>BIG4</t>
  </si>
  <si>
    <t>TUdi</t>
  </si>
  <si>
    <t>iLIVE</t>
  </si>
  <si>
    <t>EurofleetsPlus</t>
  </si>
  <si>
    <t>WEGO</t>
  </si>
  <si>
    <t>QUEST</t>
  </si>
  <si>
    <t>SMART PROTEIN</t>
  </si>
  <si>
    <t>GEOCEP</t>
  </si>
  <si>
    <t>SONAR</t>
  </si>
  <si>
    <t>CHiPS</t>
  </si>
  <si>
    <t>AENEAS</t>
  </si>
  <si>
    <t>MicrobiomeSupport</t>
  </si>
  <si>
    <t>CIRCASA</t>
  </si>
  <si>
    <t>HoloRuminant</t>
  </si>
  <si>
    <t>GenTree</t>
  </si>
  <si>
    <t>SMARTER</t>
  </si>
  <si>
    <t>STOP</t>
  </si>
  <si>
    <t>CSA JPI HDHL 2.0</t>
  </si>
  <si>
    <t>HOMED</t>
  </si>
  <si>
    <t>DUNAMICS</t>
  </si>
  <si>
    <t>PhySeaCS</t>
  </si>
  <si>
    <t>PROTID</t>
  </si>
  <si>
    <t>IsWINE</t>
  </si>
  <si>
    <t>SCALEES</t>
  </si>
  <si>
    <t>IMPARTIAL</t>
  </si>
  <si>
    <t>Minority Report</t>
  </si>
  <si>
    <t>ImageTumor</t>
  </si>
  <si>
    <t>EUPHRESCO III</t>
  </si>
  <si>
    <t>STELLA</t>
  </si>
  <si>
    <t>CaLiForNIA</t>
  </si>
  <si>
    <t>d@rts</t>
  </si>
  <si>
    <t>PLACES</t>
  </si>
  <si>
    <t>MDC</t>
  </si>
  <si>
    <t>WorldFAIR</t>
  </si>
  <si>
    <t>EU-CIEMBLY</t>
  </si>
  <si>
    <t>BioPSy</t>
  </si>
  <si>
    <t>I4WORLD</t>
  </si>
  <si>
    <t>VITAL</t>
  </si>
  <si>
    <t>Q-DYNAMO</t>
  </si>
  <si>
    <t>Legume Generation</t>
  </si>
  <si>
    <t>UNI PROB</t>
  </si>
  <si>
    <t>Multiscale Spatiotemporal Visualisation: development of an open-source software library for the interactive visualisation of multiscale biomedical data</t>
  </si>
  <si>
    <t>Facilitating Research Co-operation between Europe and New Zealand</t>
  </si>
  <si>
    <t>Ships and Waves Reaching Polar Regions</t>
  </si>
  <si>
    <t>Disabling Radiotherapy resistance in Cancer Treatment</t>
  </si>
  <si>
    <t>A new, ground based data-assimilative modeling of the Earth's plasmasphere - a critical contribution to Radiation Belt modeling for Space Weather purposes</t>
  </si>
  <si>
    <t>Risk of brain cancer from exposure to radiofrequency fields in childhood and adolescence</t>
  </si>
  <si>
    <t>Assessment of the impacts of non-tariff measures - NTM on the competitiveness of the EU and selected trade partners</t>
  </si>
  <si>
    <t>Distributed Dynamic Diversity Databases for Life</t>
  </si>
  <si>
    <t>Microscale Chemically Reactive Electronic Agents</t>
  </si>
  <si>
    <t>Semantic Infostructure interlinking an open source Finite Element tool and libraries with a model repository for the multi-scale Modelling and 3d visualization of the inner-ear</t>
  </si>
  <si>
    <t>Virtual Physiological Human: Sharing for Healthcare - A Research Environment</t>
  </si>
  <si>
    <t>Global Strategic Alliances for the Coordination of Research on the Major Infectious Diseases of Animals and Zoonoses</t>
  </si>
  <si>
    <t>ERA-NET for Coordinating Action in Plant Sciences (ERA-CAPS)</t>
  </si>
  <si>
    <t>European Asia-Pacific Cooperation on ICT Research</t>
  </si>
  <si>
    <t>Development of integrated livestock breeding and management strategies to improve animal health, product quality and performance in European organic and ‘low input’ milk, meat and egg production.</t>
  </si>
  <si>
    <t>Tool Use As A Tool For Understanding Causal Cognition In Humans And Corvids</t>
  </si>
  <si>
    <t>Concurrent Tuberculosis and Diabetes Mellitus;unraveling the causal link, and improving care</t>
  </si>
  <si>
    <t>Strategies to develop effective, innovative and practical approaches to protect major European fruit crops from pests and pathogens</t>
  </si>
  <si>
    <t>Enhancements of Pest Risk Analysis Techniques</t>
  </si>
  <si>
    <t>PREVention of diabetes through lifestyle Intervention and population studies in Europe and around the World</t>
  </si>
  <si>
    <t>Development of a new diagnostic tool using DNA barcoding to identify quarantine organisms in support of plant health</t>
  </si>
  <si>
    <t>Researching Interoperability using Core Reference Datasets and Ontologies for the Virtual Physiological Human</t>
  </si>
  <si>
    <t>IT Future of Medicine</t>
  </si>
  <si>
    <t>Collaborative European NeuroTrauma Effectiveness Research in TBI</t>
  </si>
  <si>
    <t>A European Collaboration to optimise research for the care of cancer patients in the last days of life</t>
  </si>
  <si>
    <t>Facilitating Research and Innovation Cooperation between Europe and New Zealand</t>
  </si>
  <si>
    <t>Building a global multidisciplinary digital governance and policy modelling research and practice community</t>
  </si>
  <si>
    <t>Application of new technologies and methods in nutrition research – the example of phenotypic flexibility</t>
  </si>
  <si>
    <t>IBD: proteases offer new targets for drug discovery</t>
  </si>
  <si>
    <t>Virtual Physiological Human Network of Excellence</t>
  </si>
  <si>
    <t>Increasing Value and Flow in the Marine Biodiscovery Pipeline</t>
  </si>
  <si>
    <t>Scientific sYnergisM of nano-Bio-Info-cOgni Science for an Integrated system to monitor meat quality and Safety during production, storage, and distribution in EU</t>
  </si>
  <si>
    <t>EPIC-CVD: Individualised CVD risk assessment: tailoring targeted and cost-effective approaches to Europe's diverse populations</t>
  </si>
  <si>
    <t>Systems medicine of chronic inflammatory bowel disease</t>
  </si>
  <si>
    <t>Microbiome Influence on Energy balance and Brain Development-Function Put into Action to Tackle Diet-related Diseases and Behavior.</t>
  </si>
  <si>
    <t>SAfeguarding Biodiversity and Ecosystem seRvices by integrating CULTURAL values in freshwater management: learning from Māori</t>
  </si>
  <si>
    <t>West Antarctic Margin Signatures of Ice Sheet Evolution</t>
  </si>
  <si>
    <t>Autonomous Soft Robots Without Electronics</t>
  </si>
  <si>
    <t>International Study on Age-related disparity in Cancer patient survival</t>
  </si>
  <si>
    <t>Expecting Ourselves: Embodied Prediction and the Construction of Conscious Experience</t>
  </si>
  <si>
    <t>EU-Pacific Partnerships for ICT RDI</t>
  </si>
  <si>
    <t>An Etymological Dictionary of the Japonic Languages</t>
  </si>
  <si>
    <t>Co-production of seasonal representations for adaptive institutions</t>
  </si>
  <si>
    <t>SMART POwder and Products</t>
  </si>
  <si>
    <t>towards geoHazards rEsilient infRastruCtUre under changing cLimatES</t>
  </si>
  <si>
    <t>Digitalized Clone for Personalized Medicine</t>
  </si>
  <si>
    <t>Tracking past human impact on islands by improving palaeoecological reconstructions with PalEnDNA analysis</t>
  </si>
  <si>
    <t>Global dynamics of hydro-sociality in river heritage landscapes of the Qinghai Tibetan Plateau.</t>
  </si>
  <si>
    <t>Enigmatic fish ears: solving a sensory biology riddle with bioengineering and Artificial Intelligence</t>
  </si>
  <si>
    <t>Individual Specialisation in Established Biological Invasions: importance and Ecological Impact</t>
  </si>
  <si>
    <t>Predicting of Prokaryotic Defence Distributions</t>
  </si>
  <si>
    <t>The evolutionary ecology of bacterial immune mechanisms</t>
  </si>
  <si>
    <t>Directional Composites through Manufacturing Innovation</t>
  </si>
  <si>
    <t>Hydrodynamical approach to light turbulence</t>
  </si>
  <si>
    <t>Organic Charge Transfer Applications</t>
  </si>
  <si>
    <t>Trafficking transformations: objects as agents in transnational criminal networks</t>
  </si>
  <si>
    <t>Advancing a GMMA-based vaccine against invasive non-typhoidal salmonellosis through Phase 1 trial in Europe and sub-Saharan Africa</t>
  </si>
  <si>
    <t>Causes and MEchanisms foR non-atopic Asthma in children</t>
  </si>
  <si>
    <t>Understanding asthma phenotypes: going beyond the atopic/non-atopic paradigm</t>
  </si>
  <si>
    <t>Models and Methods for an active ageing workforce: an international academy</t>
  </si>
  <si>
    <t>Finding optimal size and location for wetland restoration sites for best nutrient removal performance using spatial analysis and modelling</t>
  </si>
  <si>
    <t>MICroACTuators</t>
  </si>
  <si>
    <t>THE POLYPLOIDY PARADIGM AND ITS ROLE IN PLANT BREEDING</t>
  </si>
  <si>
    <t>Calibrating and Improving Mechanistic models of Biodiversity</t>
  </si>
  <si>
    <t>Cloning and functional characterization of a complex resistance locus from ‘Geneva’ to breed apple cultivars with durable scab resistance</t>
  </si>
  <si>
    <t>Educating for Equitable Health Outcomes- the Promise of School Health and Physical Education</t>
  </si>
  <si>
    <t>Chicory as a multipurpose crop for dietary fibre and medicinal terpenes</t>
  </si>
  <si>
    <t>Design and manufacture of sustainable materials for additive manufacturing technologies</t>
  </si>
  <si>
    <t>Developing methods to model local area temporal domestic electricity demand</t>
  </si>
  <si>
    <t>Knowledge Exchange for Efficient Passage of Fishes in the Southern Hemisphere</t>
  </si>
  <si>
    <t>The INTERnAtional network on Crisis Translation</t>
  </si>
  <si>
    <t>OCeanic and South East Asian Navigators.</t>
  </si>
  <si>
    <t>Integrable Partial Differential Equations: Geometry, Asymptotics, and Numerics.</t>
  </si>
  <si>
    <t>Climate Neutral Farms</t>
  </si>
  <si>
    <t>Ion-Molecule Processes for Analytical Chemical Technologies</t>
  </si>
  <si>
    <t>Smart high-frequency environmental sensor networks for quantifying nonlinear hydrological process dynamics across spatial scales</t>
  </si>
  <si>
    <t>Quantification of the participation of soils in the microplastic pollution cycle and evidence based model analysis of atmosphere to ocean soil microplastic interaction</t>
  </si>
  <si>
    <t>Computing with Infinite Data</t>
  </si>
  <si>
    <t>Boosting plant-Endophyte STability, compatibility and Performance Across ScaleS</t>
  </si>
  <si>
    <t>New Geometry of Quantum Dynamics</t>
  </si>
  <si>
    <t>PROviding new insighT into INteractions between soil fUnctions and Structure</t>
  </si>
  <si>
    <t>Arctic and North Atlantic Security and Emergency  Preparedness Network</t>
  </si>
  <si>
    <t>Real-time Earthquake Risk Reduction for a Resilient Europe</t>
  </si>
  <si>
    <t>Global Excellence in Modelling of Climate and Energy</t>
  </si>
  <si>
    <t>Overcoming Inequalities in Schools and Learning Communities: Innovative Education for a New Century</t>
  </si>
  <si>
    <t>BIG4 - Biosystematics, Informatics and Genetics of the big 4 insect groups: training tomorrow's researchers and entrepreneurs</t>
  </si>
  <si>
    <t>Transforming Unsustainable management of soils in key agricultural systems in EU and China. Developing an integrated platform of alternatives to reverse soil degradation.</t>
  </si>
  <si>
    <t>Living well, dying well. A research programme to support living until the end</t>
  </si>
  <si>
    <t>An alliance of European marine research infrastructure to meet the evolving needs of the research and industrial communities.</t>
  </si>
  <si>
    <t>Well-being, Ecology, Gender, and cOmmunity</t>
  </si>
  <si>
    <t>QUantitative paleoEnvironments from SpeleoThems</t>
  </si>
  <si>
    <t>Smart Protein for a Changing World. Future-proof alternative terrestrial protein sources for human nutrition encouraging environment regeneration, processing feasibility and consumer trust and accepta</t>
  </si>
  <si>
    <t>Global Excellence in Modeling Climate and Energy Policies</t>
  </si>
  <si>
    <t>Localized Surface Plasmon Resonance in doped semiconductor nanocrystals</t>
  </si>
  <si>
    <t>CHallenges in Preservation of Structure</t>
  </si>
  <si>
    <t>Advanced European Network of E-infrastructures for Astronomy with the SKA</t>
  </si>
  <si>
    <t>Towards coordinated microbiome R&amp;I activities in the food system to support (EU and) international bioeconomy goals</t>
  </si>
  <si>
    <t>Coordination of International Research Cooperation on soil CArbon Sequestration in Agriculture</t>
  </si>
  <si>
    <t>Understanding microbiomes of the ruminant holobiont</t>
  </si>
  <si>
    <t>Optimising the management and sustainable use of forest genetic resources in Europe</t>
  </si>
  <si>
    <t>SMAll RuminanTs breeding for Efficiency and Resilience</t>
  </si>
  <si>
    <t>Science and Technology in childhood Obesity Policy</t>
  </si>
  <si>
    <t>The second coordination and support action for the JPI Healthy Diet for a Healthy Life</t>
  </si>
  <si>
    <t>HOlistic Management of Emerging forest pests and Diseases</t>
  </si>
  <si>
    <t>Analysis and prediction of submarine dune dynamics</t>
  </si>
  <si>
    <t>Physics of Sea-level rise Contribution to Shoreline Erosion</t>
  </si>
  <si>
    <t>Randomised Controlled Trial of Preventive Treatment of Latent Tuberculosis Infection in Patients with Diabetes Mellitus</t>
  </si>
  <si>
    <t>Isotope geochemistry to Water pool conservatIon in viNEyards</t>
  </si>
  <si>
    <t>Signature of sediment CAscades following Landslides triggered by Extreme Events in the Stratigraphy</t>
  </si>
  <si>
    <t>Making Morality Impartial: An Experimental Investigation of the Veil of Ignorance</t>
  </si>
  <si>
    <t>MITIGATING ENVIRONMENTAL DISRUPTIVE EVENTS USING PEOPLE-CENTRIC PREDICTIVE DIGITAL TECHNOLOGIES TO IMPROVE DISASTER AND CLIMATE RESILIENCE</t>
  </si>
  <si>
    <t>X-Ray Fluorescence Imaging of Metal Complexes in Hypoxic Tumor Spheroids</t>
  </si>
  <si>
    <t>STRENGHTENING PHYTOSANITARY RESEARCH PROGRAMMING AND COLLABORATION: FROM EUROPEAN TO GLOBAL PHYTOSANITARY RESEARCH COORDINATION</t>
  </si>
  <si>
    <t>Digital technologies for plant health, early detection, territory surveillance and phytosanitary measures</t>
  </si>
  <si>
    <t>Cartan and differential geometry, Lie theory, quantum groups and non commutative geometry For novel and Innovative Applications to quantum algorithms and geometric deep learning</t>
  </si>
  <si>
    <t>dialoguing@rts – Advancing Cultural Literacy for Social Inclusion through Dialogical Arts Education</t>
  </si>
  <si>
    <t>PLAsticity of perception in real and virtual spaCES</t>
  </si>
  <si>
    <t>Migration, Diaspora, Citizenship</t>
  </si>
  <si>
    <t>Global cooperation on FAIR data policy and practice</t>
  </si>
  <si>
    <t>EU-CIEMBLY: Creating an Inclusive European Citizens’ Assembly</t>
  </si>
  <si>
    <t>Biologging to inform Prevention of Seabird Bycatch</t>
  </si>
  <si>
    <t>Imaging and Characterization for a Sustainable World</t>
  </si>
  <si>
    <t>VIrtual Twins as tools for personalised clinicAL care</t>
  </si>
  <si>
    <t>Quantum Dynamic Control of Atomic, Molecular and Optical Processes</t>
  </si>
  <si>
    <t>Boosting innovation in breeding for the next generation of legume crops for Europe</t>
  </si>
  <si>
    <t>Testing for the universal mind using probabilistic inference</t>
  </si>
  <si>
    <t>2017-03-03</t>
  </si>
  <si>
    <t>2018-04-20</t>
  </si>
  <si>
    <t>2016-03-22</t>
  </si>
  <si>
    <t>2019-04-26</t>
  </si>
  <si>
    <t>2016-11-29</t>
  </si>
  <si>
    <t>2016-12-19</t>
  </si>
  <si>
    <t>2018-12-13</t>
  </si>
  <si>
    <t>2018-11-09</t>
  </si>
  <si>
    <t>2020-02-26</t>
  </si>
  <si>
    <t>2017-11-24</t>
  </si>
  <si>
    <t>2019-11-27</t>
  </si>
  <si>
    <t>2016-03-14</t>
  </si>
  <si>
    <t>2019-03-18</t>
  </si>
  <si>
    <t>2020-03-16</t>
  </si>
  <si>
    <t>2019-03-20</t>
  </si>
  <si>
    <t>2016-10-28</t>
  </si>
  <si>
    <t>2017-11-21</t>
  </si>
  <si>
    <t>2018-09-28</t>
  </si>
  <si>
    <t>2017-10-17</t>
  </si>
  <si>
    <t>2019-09-06</t>
  </si>
  <si>
    <t>2019-04-30</t>
  </si>
  <si>
    <t>2021-08-21</t>
  </si>
  <si>
    <t>2015-12-08</t>
  </si>
  <si>
    <t>2015-03-13</t>
  </si>
  <si>
    <t>2014-12-05</t>
  </si>
  <si>
    <t>2020-10-02</t>
  </si>
  <si>
    <t>2019-04-11</t>
  </si>
  <si>
    <t>2015-05-04</t>
  </si>
  <si>
    <t>2016-12-02</t>
  </si>
  <si>
    <t>2017-11-07</t>
  </si>
  <si>
    <t>2020-11-17</t>
  </si>
  <si>
    <t>2016-04-28</t>
  </si>
  <si>
    <t>2015-12-14</t>
  </si>
  <si>
    <t>2016-11-30</t>
  </si>
  <si>
    <t>2021-09-23</t>
  </si>
  <si>
    <t>2015-08-10</t>
  </si>
  <si>
    <t>2021-04-29</t>
  </si>
  <si>
    <t>2015-07-28</t>
  </si>
  <si>
    <t>2015-12-07</t>
  </si>
  <si>
    <t>2014-11-18</t>
  </si>
  <si>
    <t>2018-11-07</t>
  </si>
  <si>
    <t>2019-05-03</t>
  </si>
  <si>
    <t>2014-12-02</t>
  </si>
  <si>
    <t>2014-12-01</t>
  </si>
  <si>
    <t>2021-05-05</t>
  </si>
  <si>
    <t>2018-12-10</t>
  </si>
  <si>
    <t>2018-11-20</t>
  </si>
  <si>
    <t>2017-08-17</t>
  </si>
  <si>
    <t>2015-10-26</t>
  </si>
  <si>
    <t>2019-09-17</t>
  </si>
  <si>
    <t>2015-11-30</t>
  </si>
  <si>
    <t>2016-11-17</t>
  </si>
  <si>
    <t>2018-10-05</t>
  </si>
  <si>
    <t>2017-10-04</t>
  </si>
  <si>
    <t>2021-05-06</t>
  </si>
  <si>
    <t>2016-02-04</t>
  </si>
  <si>
    <t>2018-05-04</t>
  </si>
  <si>
    <t>2018-04-27</t>
  </si>
  <si>
    <t>2016-01-26</t>
  </si>
  <si>
    <t>2021-03-22</t>
  </si>
  <si>
    <t>2023-05-12</t>
  </si>
  <si>
    <t>2024-05-18</t>
  </si>
  <si>
    <t>2024-03-06</t>
  </si>
  <si>
    <t>2023-04-28</t>
  </si>
  <si>
    <t>2023-04-25</t>
  </si>
  <si>
    <t>2024-05-17</t>
  </si>
  <si>
    <t>2022-07-28</t>
  </si>
  <si>
    <t>2023-10-13</t>
  </si>
  <si>
    <t>2023-11-17</t>
  </si>
  <si>
    <t>2023-07-05</t>
  </si>
  <si>
    <t>2023-10-26</t>
  </si>
  <si>
    <t>2022-10-06</t>
  </si>
  <si>
    <t>2023-09-22</t>
  </si>
  <si>
    <t>2022-05-10</t>
  </si>
  <si>
    <t>2023-11-06</t>
  </si>
  <si>
    <t>2024-03-25</t>
  </si>
  <si>
    <t>2022-10-10</t>
  </si>
  <si>
    <t>2023-11-10</t>
  </si>
  <si>
    <t>2023-08-23</t>
  </si>
  <si>
    <t>2023-04-21</t>
  </si>
  <si>
    <t>2022-10-17</t>
  </si>
  <si>
    <t>2010-01-01</t>
  </si>
  <si>
    <t>2009-01-01</t>
  </si>
  <si>
    <t>2013-11-29</t>
  </si>
  <si>
    <t>2014-05-01</t>
  </si>
  <si>
    <t>2011-02-01</t>
  </si>
  <si>
    <t>2009-03-01</t>
  </si>
  <si>
    <t>2009-04-01</t>
  </si>
  <si>
    <t>2009-05-01</t>
  </si>
  <si>
    <t>2012-09-01</t>
  </si>
  <si>
    <t>2013-02-01</t>
  </si>
  <si>
    <t>2011-03-01</t>
  </si>
  <si>
    <t>2011-12-01</t>
  </si>
  <si>
    <t>2014-02-01</t>
  </si>
  <si>
    <t>2014-01-01</t>
  </si>
  <si>
    <t>2008-03-01</t>
  </si>
  <si>
    <t>2013-01-01</t>
  </si>
  <si>
    <t>2009-03-21</t>
  </si>
  <si>
    <t>2010-02-01</t>
  </si>
  <si>
    <t>2011-05-01</t>
  </si>
  <si>
    <t>2013-10-01</t>
  </si>
  <si>
    <t>2012-11-01</t>
  </si>
  <si>
    <t>2011-08-15</t>
  </si>
  <si>
    <t>2012-01-01</t>
  </si>
  <si>
    <t>2008-06-01</t>
  </si>
  <si>
    <t>2012-10-01</t>
  </si>
  <si>
    <t>2008-10-01</t>
  </si>
  <si>
    <t>2012-12-01</t>
  </si>
  <si>
    <t>2013-12-01</t>
  </si>
  <si>
    <t>2018-01-01</t>
  </si>
  <si>
    <t>2018-10-31</t>
  </si>
  <si>
    <t>2016-06-01</t>
  </si>
  <si>
    <t>2019-07-22</t>
  </si>
  <si>
    <t>2017-01-01</t>
  </si>
  <si>
    <t>2017-02-01</t>
  </si>
  <si>
    <t>2019-01-01</t>
  </si>
  <si>
    <t>2020-11-11</t>
  </si>
  <si>
    <t>2018-03-01</t>
  </si>
  <si>
    <t>2020-01-01</t>
  </si>
  <si>
    <t>2016-10-01</t>
  </si>
  <si>
    <t>2020-03-01</t>
  </si>
  <si>
    <t>2022-06-01</t>
  </si>
  <si>
    <t>2017-12-01</t>
  </si>
  <si>
    <t>2020-02-01</t>
  </si>
  <si>
    <t>2019-04-01</t>
  </si>
  <si>
    <t>2019-10-01</t>
  </si>
  <si>
    <t>2021-10-01</t>
  </si>
  <si>
    <t>2016-01-01</t>
  </si>
  <si>
    <t>2015-04-01</t>
  </si>
  <si>
    <t>2015-01-01</t>
  </si>
  <si>
    <t>2021-04-01</t>
  </si>
  <si>
    <t>2016-11-01</t>
  </si>
  <si>
    <t>2021-05-01</t>
  </si>
  <si>
    <t>2017-04-01</t>
  </si>
  <si>
    <t>2022-01-01</t>
  </si>
  <si>
    <t>2016-12-01</t>
  </si>
  <si>
    <t>2022-09-01</t>
  </si>
  <si>
    <t>2015-09-01</t>
  </si>
  <si>
    <t>2018-09-01</t>
  </si>
  <si>
    <t>2019-09-01</t>
  </si>
  <si>
    <t>2021-07-01</t>
  </si>
  <si>
    <t>2019-02-01</t>
  </si>
  <si>
    <t>2022-02-01</t>
  </si>
  <si>
    <t>2018-11-01</t>
  </si>
  <si>
    <t>2017-11-01</t>
  </si>
  <si>
    <t>2016-03-01</t>
  </si>
  <si>
    <t>2018-06-01</t>
  </si>
  <si>
    <t>2016-02-01</t>
  </si>
  <si>
    <t>2018-10-01</t>
  </si>
  <si>
    <t>2022-04-01</t>
  </si>
  <si>
    <t>2024-06-01</t>
  </si>
  <si>
    <t>2024-07-01</t>
  </si>
  <si>
    <t>2024-08-15</t>
  </si>
  <si>
    <t>2024-02-01</t>
  </si>
  <si>
    <t>2023-10-05</t>
  </si>
  <si>
    <t>2023-06-01</t>
  </si>
  <si>
    <t>2024-01-01</t>
  </si>
  <si>
    <t>2023-05-01</t>
  </si>
  <si>
    <t>2024-05-01</t>
  </si>
  <si>
    <t>2024-10-01</t>
  </si>
  <si>
    <t>2022-11-01</t>
  </si>
  <si>
    <t>2023-09-01</t>
  </si>
  <si>
    <t>2012-12-31</t>
  </si>
  <si>
    <t>2012-04-30</t>
  </si>
  <si>
    <t>2014-07-31</t>
  </si>
  <si>
    <t>2016-02-29</t>
  </si>
  <si>
    <t>2011-09-30</t>
  </si>
  <si>
    <t>2012-07-31</t>
  </si>
  <si>
    <t>2016-01-31</t>
  </si>
  <si>
    <t>2015-05-31</t>
  </si>
  <si>
    <t>2015-01-31</t>
  </si>
  <si>
    <t>2011-12-31</t>
  </si>
  <si>
    <t>2014-04-30</t>
  </si>
  <si>
    <t>2019-01-31</t>
  </si>
  <si>
    <t>2017-07-31</t>
  </si>
  <si>
    <t>2018-02-28</t>
  </si>
  <si>
    <t>2011-05-31</t>
  </si>
  <si>
    <t>2018-12-31</t>
  </si>
  <si>
    <t>2012-09-20</t>
  </si>
  <si>
    <t>2012-09-30</t>
  </si>
  <si>
    <t>2020-03-31</t>
  </si>
  <si>
    <t>2011-03-31</t>
  </si>
  <si>
    <t>2015-02-15</t>
  </si>
  <si>
    <t>2016-06-30</t>
  </si>
  <si>
    <t>2013-05-31</t>
  </si>
  <si>
    <t>2017-03-31</t>
  </si>
  <si>
    <t>2012-03-31</t>
  </si>
  <si>
    <t>2015-12-31</t>
  </si>
  <si>
    <t>2017-11-30</t>
  </si>
  <si>
    <t>2018-11-30</t>
  </si>
  <si>
    <t>2020-12-31</t>
  </si>
  <si>
    <t>2022-01-29</t>
  </si>
  <si>
    <t>2018-08-31</t>
  </si>
  <si>
    <t>2021-11-10</t>
  </si>
  <si>
    <t>2021-09-30</t>
  </si>
  <si>
    <t>2019-07-31</t>
  </si>
  <si>
    <t>2025-06-30</t>
  </si>
  <si>
    <t>2024-06-30</t>
  </si>
  <si>
    <t>2024-07-12</t>
  </si>
  <si>
    <t>2023-08-31</t>
  </si>
  <si>
    <t>2025-10-31</t>
  </si>
  <si>
    <t>2019-09-30</t>
  </si>
  <si>
    <t>2024-02-11</t>
  </si>
  <si>
    <t>2025-05-31</t>
  </si>
  <si>
    <t>2020-11-30</t>
  </si>
  <si>
    <t>2023-01-31</t>
  </si>
  <si>
    <t>2022-12-31</t>
  </si>
  <si>
    <t>2023-12-31</t>
  </si>
  <si>
    <t>2024-09-30</t>
  </si>
  <si>
    <t>2023-10-31</t>
  </si>
  <si>
    <t>2026-09-30</t>
  </si>
  <si>
    <t>2018-03-31</t>
  </si>
  <si>
    <t>2025-09-30</t>
  </si>
  <si>
    <t>2022-09-30</t>
  </si>
  <si>
    <t>2019-10-31</t>
  </si>
  <si>
    <t>2019-12-31</t>
  </si>
  <si>
    <t>2026-04-30</t>
  </si>
  <si>
    <t>2020-10-31</t>
  </si>
  <si>
    <t>2025-12-31</t>
  </si>
  <si>
    <t>2022-02-28</t>
  </si>
  <si>
    <t>2025-08-31</t>
  </si>
  <si>
    <t>2023-03-31</t>
  </si>
  <si>
    <t>2019-11-30</t>
  </si>
  <si>
    <t>2024-02-29</t>
  </si>
  <si>
    <t>2023-05-31</t>
  </si>
  <si>
    <t>2017-12-31</t>
  </si>
  <si>
    <t>2022-06-30</t>
  </si>
  <si>
    <t>2026-01-31</t>
  </si>
  <si>
    <t>2022-10-31</t>
  </si>
  <si>
    <t>2021-02-28</t>
  </si>
  <si>
    <t>2020-02-29</t>
  </si>
  <si>
    <t>2023-06-30</t>
  </si>
  <si>
    <t>2022-11-30</t>
  </si>
  <si>
    <t>2021-06-30</t>
  </si>
  <si>
    <t>2027-05-31</t>
  </si>
  <si>
    <t>2026-12-31</t>
  </si>
  <si>
    <t>2027-08-14</t>
  </si>
  <si>
    <t>2027-01-31</t>
  </si>
  <si>
    <t>2026-10-04</t>
  </si>
  <si>
    <t>2027-11-30</t>
  </si>
  <si>
    <t>2027-12-31</t>
  </si>
  <si>
    <t>2027-06-30</t>
  </si>
  <si>
    <t>2027-04-30</t>
  </si>
  <si>
    <t>2029-04-30</t>
  </si>
  <si>
    <t>2024-05-31</t>
  </si>
  <si>
    <t>2027-09-30</t>
  </si>
  <si>
    <t>2027-10-31</t>
  </si>
  <si>
    <t>2028-12-31</t>
  </si>
  <si>
    <t>2028-02-29</t>
  </si>
  <si>
    <t>2028-04-30</t>
  </si>
  <si>
    <t>NZ</t>
  </si>
  <si>
    <t>New Zealand</t>
  </si>
  <si>
    <t>THE UNIVERSITY OF AUCKLAND</t>
  </si>
  <si>
    <t>UNIVERSITY OF CANTERBURY</t>
  </si>
  <si>
    <t>Carole Glynn European Consultant</t>
  </si>
  <si>
    <t>UNIVERSITY OF OTAGO</t>
  </si>
  <si>
    <t>MASSEY UNIVERSITY</t>
  </si>
  <si>
    <t>LANDCARE RESEARCH NEW ZEALAND LTD</t>
  </si>
  <si>
    <t>THE RESEARCH TRUST OF VICTORIA UNIVERSITY OF WELLINGTON</t>
  </si>
  <si>
    <t>FOUNDATION FOR RESEARCH SCIENCE AND TECHNOLOGY</t>
  </si>
  <si>
    <t>Ministry of Business, Innovation &amp; Employment</t>
  </si>
  <si>
    <t>LINCOLN UNIVERSITY</t>
  </si>
  <si>
    <t>THE NEW ZEALAND INSTITUTE FOR PLANT AND FOOD RESEARCH LIMITED</t>
  </si>
  <si>
    <t>AUCKLAND UNIVERSITY OF TECHNOLOGY</t>
  </si>
  <si>
    <t>AROHANUI HOSPICE SERVICE TRUST</t>
  </si>
  <si>
    <t>Royal Society of New Zealand</t>
  </si>
  <si>
    <t>Euro Research Support Limited</t>
  </si>
  <si>
    <t>UNIVERSITY OF WAIKATO</t>
  </si>
  <si>
    <t>INSTITUTE OF ENVIRONMENTAL SCIENCE AND RESEARCH LIMITED</t>
  </si>
  <si>
    <t>CALLAGHAN INNOVATION RESEARCH LIMITED</t>
  </si>
  <si>
    <t>NEW ZEALAND FOREST RESEARCH INSTITUTE LIMITED</t>
  </si>
  <si>
    <t>NATIONAL INSTITUTE OF WATER AND ATMOSPHERIC RESEARCH</t>
  </si>
  <si>
    <t>AGRESEARCH LIMITED</t>
  </si>
  <si>
    <t>Syft Ltd.</t>
  </si>
  <si>
    <t>MARITIME NEW ZEALAND</t>
  </si>
  <si>
    <t>INSTITUTE OF GEOLOGICAL AND NUCLEAR SCIENCES LIMITED</t>
  </si>
  <si>
    <t>RADIATA PINE BREEDING COMPANY LIMITED</t>
  </si>
  <si>
    <t>ABACUSBIO LIMITED</t>
  </si>
  <si>
    <t>HEALTH RESEARCH COUNCIL OF NEW ZEALAND</t>
  </si>
  <si>
    <t>URBAN INTELLIGENCE LIMITED</t>
  </si>
  <si>
    <t>WELLINGTON CITY COUNCIL</t>
  </si>
  <si>
    <t>LINCOLN AGRITECH LIMITED</t>
  </si>
  <si>
    <t>TONKIN &amp; TAYLOR INTERNATIONAL LIMITED</t>
  </si>
  <si>
    <t>UOA</t>
  </si>
  <si>
    <t>CGC</t>
  </si>
  <si>
    <t>Massey</t>
  </si>
  <si>
    <t>LANDCARE RESEARCH</t>
  </si>
  <si>
    <t>RTV</t>
  </si>
  <si>
    <t>FRST</t>
  </si>
  <si>
    <t>MBIE</t>
  </si>
  <si>
    <t>AUT</t>
  </si>
  <si>
    <t>AH</t>
  </si>
  <si>
    <t>RSNZ</t>
  </si>
  <si>
    <t>ERSL</t>
  </si>
  <si>
    <t>ESR</t>
  </si>
  <si>
    <t>SCION</t>
  </si>
  <si>
    <t>NIWA</t>
  </si>
  <si>
    <t>GNS SCIENCE</t>
  </si>
  <si>
    <t>RPBC</t>
  </si>
  <si>
    <t>HRC</t>
  </si>
  <si>
    <t>UI</t>
  </si>
  <si>
    <t>Tonkin + Taylor International</t>
  </si>
  <si>
    <t>HES</t>
  </si>
  <si>
    <t>PRC</t>
  </si>
  <si>
    <t>REC</t>
  </si>
  <si>
    <t>PUB</t>
  </si>
  <si>
    <t>OTH</t>
  </si>
  <si>
    <t>CP</t>
  </si>
  <si>
    <t>CSA-SA</t>
  </si>
  <si>
    <t>CP-FP</t>
  </si>
  <si>
    <t>ERC-CG</t>
  </si>
  <si>
    <t>CPCSA</t>
  </si>
  <si>
    <t>CSA-CA</t>
  </si>
  <si>
    <t>CSA</t>
  </si>
  <si>
    <t>CP-IP</t>
  </si>
  <si>
    <t>ERC-AG</t>
  </si>
  <si>
    <t>CP-TP</t>
  </si>
  <si>
    <t>NoE</t>
  </si>
  <si>
    <t>MSCA-IF-GF</t>
  </si>
  <si>
    <t>MSCA-IF</t>
  </si>
  <si>
    <t>ERC-ADG</t>
  </si>
  <si>
    <t>ERC-STG</t>
  </si>
  <si>
    <t>MSCA-RISE</t>
  </si>
  <si>
    <t>RIA</t>
  </si>
  <si>
    <t>MSCA-ITN-ETN</t>
  </si>
  <si>
    <t>IA</t>
  </si>
  <si>
    <t>MSCA-ITN</t>
  </si>
  <si>
    <t>HORIZON-TMA-MSCA-PF-GF</t>
  </si>
  <si>
    <t>HORIZON-JU-RIA</t>
  </si>
  <si>
    <t>HORIZON-IA</t>
  </si>
  <si>
    <t>HORIZON-TMA-MSCA-PF-EF</t>
  </si>
  <si>
    <t>HORIZON-CSA</t>
  </si>
  <si>
    <t>HORIZON-RIA</t>
  </si>
  <si>
    <t>HORIZON-TMA-MSCA-DN</t>
  </si>
  <si>
    <t>HORIZON-TMA-MSCA-SE</t>
  </si>
  <si>
    <t>HORIZON-TMA-MSCA-Cofund-P</t>
  </si>
  <si>
    <t>HORIZON-TMA-MSCA-Cofund-D</t>
  </si>
  <si>
    <t>HORIZON-ERC</t>
  </si>
  <si>
    <t>FP7-ICT-2009-4</t>
  </si>
  <si>
    <t>FP7-INCO-2007-2</t>
  </si>
  <si>
    <t>FP7-SPACE-2013-1</t>
  </si>
  <si>
    <t>ERC-2013-CoG</t>
  </si>
  <si>
    <t>FP7-SPACE-2010-1</t>
  </si>
  <si>
    <t>FP7-ENV-2008-1</t>
  </si>
  <si>
    <t>FP7-KBBE-2008-2B</t>
  </si>
  <si>
    <t>FP7-INFRASTRUCTURES-2008-2</t>
  </si>
  <si>
    <t>FP7-ICT-2011-8</t>
  </si>
  <si>
    <t>FP7-ICT-2011-9</t>
  </si>
  <si>
    <t>FP7-ICT-2009-6</t>
  </si>
  <si>
    <t>FP7-KBBE-2010-4</t>
  </si>
  <si>
    <t>FP7-ERANET-2011-RTD</t>
  </si>
  <si>
    <t>FP7-KBBE-2007-2A</t>
  </si>
  <si>
    <t>ERC-2013-ADG</t>
  </si>
  <si>
    <t>FP7-HEALTH-2012-INNOVATION-1</t>
  </si>
  <si>
    <t>FP7-KBBE-2013-7-single-stage</t>
  </si>
  <si>
    <t>FP7-KBBE-2007-1</t>
  </si>
  <si>
    <t>FP7-KBBE-2012-6-singlestage</t>
  </si>
  <si>
    <t>FP7-ICT-2011-FET-F</t>
  </si>
  <si>
    <t>FP7-HEALTH-2013-INNOVATION-1</t>
  </si>
  <si>
    <t>FP7-HEALTH-2007-A</t>
  </si>
  <si>
    <t>FP7-INCO-2012-2</t>
  </si>
  <si>
    <t>FP7-ICT-2011-7</t>
  </si>
  <si>
    <t>FP7-KBBE-2011-5</t>
  </si>
  <si>
    <t>FP7-ICT-2007-2</t>
  </si>
  <si>
    <t>FP7-HEALTH-2011-two-stage</t>
  </si>
  <si>
    <t>H2020-MSCA-IF-2016</t>
  </si>
  <si>
    <t>H2020-MSCA-IF-2017</t>
  </si>
  <si>
    <t>H2020-MSCA-IF-2015</t>
  </si>
  <si>
    <t>H2020-MSCA-IF-2018</t>
  </si>
  <si>
    <t>ERC-2015-AdG</t>
  </si>
  <si>
    <t>H2020-ICT-2015</t>
  </si>
  <si>
    <t>ERC-2017-ADG</t>
  </si>
  <si>
    <t>ERC-2018-STG</t>
  </si>
  <si>
    <t>H2020-MSCA-IF-2019</t>
  </si>
  <si>
    <t>H2020-MSCA-RISE-2017</t>
  </si>
  <si>
    <t>H2020-MSCA-RISE-2019</t>
  </si>
  <si>
    <t>ERC-2016-STG</t>
  </si>
  <si>
    <t>H2020-MSCA-RISE-2018</t>
  </si>
  <si>
    <t>H2020-SC1-2018-Two-Stage-RTD</t>
  </si>
  <si>
    <t>ERC-2020-ADG</t>
  </si>
  <si>
    <t>ERC-2014-ADG</t>
  </si>
  <si>
    <t>H2020-MSCA-IF-2014</t>
  </si>
  <si>
    <t>H2020-MSCA-ITN-2014</t>
  </si>
  <si>
    <t>H2020-MSCA-RISE-2020</t>
  </si>
  <si>
    <t>H2020-MSCA-RISE-2016</t>
  </si>
  <si>
    <t>H2020-NMBP-BIO-2017</t>
  </si>
  <si>
    <t>H2020-MSCA-RISE-2015</t>
  </si>
  <si>
    <t>H2020-LC-GD-2020-4</t>
  </si>
  <si>
    <t>H2020-MSCA-ITN-2015</t>
  </si>
  <si>
    <t>H2020-MSCA-IF-2020</t>
  </si>
  <si>
    <t>H2020-MSCA-RISE-2014</t>
  </si>
  <si>
    <t>H2020-SEC-2016-2017-2</t>
  </si>
  <si>
    <t>H2020-SC5-2018-2</t>
  </si>
  <si>
    <t>H2020-SFS-2020-2</t>
  </si>
  <si>
    <t>H2020-SC1-2018-Single-Stage-RTD</t>
  </si>
  <si>
    <t>H2020-INFRAIA-2018-1</t>
  </si>
  <si>
    <t>H2020-MSCA-ITN-2017</t>
  </si>
  <si>
    <t>H2020-SFS-2019-1</t>
  </si>
  <si>
    <t>H2020-INFRASUPP-2016-1</t>
  </si>
  <si>
    <t>H2020-SFS-2018-1</t>
  </si>
  <si>
    <t>H2020-SFS-2017-1</t>
  </si>
  <si>
    <t>H2020-SFS-2015-2</t>
  </si>
  <si>
    <t>H2020-SFS-2017-2</t>
  </si>
  <si>
    <t>H2020-ISIB-2015-1</t>
  </si>
  <si>
    <t>HORIZON-MSCA-2022-PF-01</t>
  </si>
  <si>
    <t>HORIZON-JU-GH-EDCTP3-2023-01</t>
  </si>
  <si>
    <t>HORIZON-MSCA-2023-PF-01</t>
  </si>
  <si>
    <t>HORIZON-CL5-2023-D4-02</t>
  </si>
  <si>
    <t>HORIZON-MSCA-2021-PF-01</t>
  </si>
  <si>
    <t>HORIZON-WIDERA-2023-ERA-01</t>
  </si>
  <si>
    <t>HORIZON-CL6-2023-GOVERNANCE-01</t>
  </si>
  <si>
    <t>HORIZON-MSCA-2022-DN-01</t>
  </si>
  <si>
    <t>HORIZON-CL2-2023-HERITAGE-01</t>
  </si>
  <si>
    <t>HORIZON-MSCA-2021-SE-01</t>
  </si>
  <si>
    <t>HORIZON-MSCA-2022-COFUND-01</t>
  </si>
  <si>
    <t>HORIZON-WIDERA-2021-ERA-01</t>
  </si>
  <si>
    <t>HORIZON-CL2-2023-DEMOCRACY-01</t>
  </si>
  <si>
    <t>HORIZON-MSCA-2021-COFUND-01</t>
  </si>
  <si>
    <t>HORIZON-HLTH-2023-TOOL-05</t>
  </si>
  <si>
    <t>HORIZON-MSCA-2022-SE-01</t>
  </si>
  <si>
    <t>HORIZON-CL6-2022-BIODIV-02-two-stage</t>
  </si>
  <si>
    <t>ERC-2021-COG</t>
  </si>
  <si>
    <t>participant</t>
  </si>
  <si>
    <t>coordinator</t>
  </si>
  <si>
    <t>partner</t>
  </si>
  <si>
    <t>internationalPartner</t>
  </si>
  <si>
    <t>thirdParty</t>
  </si>
  <si>
    <t>associatedPartner</t>
  </si>
  <si>
    <t>projectCount</t>
  </si>
  <si>
    <t>Framework programmes</t>
  </si>
  <si>
    <t>Total EU funding (€)</t>
  </si>
  <si>
    <t>FP7 projects</t>
  </si>
  <si>
    <t>FP7 funded projects</t>
  </si>
  <si>
    <t>FP7 total funding (€)</t>
  </si>
  <si>
    <t>H2020 projects</t>
  </si>
  <si>
    <t>H2020 funded projects</t>
  </si>
  <si>
    <t>H2020 total funding (€)</t>
  </si>
  <si>
    <t>HEU projects</t>
  </si>
  <si>
    <t>HEU funded projects</t>
  </si>
  <si>
    <t>HEU total funding (€)</t>
  </si>
  <si>
    <t>HORIZON, H2020, FP7</t>
  </si>
  <si>
    <t>H2020, FP7</t>
  </si>
  <si>
    <t>HORIZON, H2020</t>
  </si>
  <si>
    <t>country_ecContribution</t>
  </si>
  <si>
    <t>total_ecContribution</t>
  </si>
  <si>
    <t>Matched countries</t>
  </si>
  <si>
    <t>All countries</t>
  </si>
  <si>
    <t>['NZ']</t>
  </si>
  <si>
    <t>['ES' 'IT' 'US' 'NZ' 'UK']</t>
  </si>
  <si>
    <t>['RU' 'UK' 'NO' 'NZ' 'FR' 'CA']</t>
  </si>
  <si>
    <t>['AT' 'DE' 'NL' 'NZ' 'UK' 'SE' 'CH' 'FR' 'DK' 'IT' 'ES' 'FI']</t>
  </si>
  <si>
    <t>['FI' 'US' 'ZA' 'IT' 'HU' 'NZ' 'PL' 'UK']</t>
  </si>
  <si>
    <t>['AT' 'DE' 'IL' 'FR' 'ES' 'NZ' 'EL' 'UK' 'IT' 'AU' 'NL' 'CA']</t>
  </si>
  <si>
    <t>['JP' 'UK' 'IN' 'RU' 'SK' 'AR' 'CN' 'DE' 'US' 'AU' 'NZ' 'FR' 'CA' 'BE'
 'NL' 'BR']</t>
  </si>
  <si>
    <t>['NL' 'IE' 'CN' 'UK' 'AT' 'PH' 'DE' 'NZ' 'BE' 'DK' 'IT' 'CZ' 'ES' 'BR'
 'AU' 'US' 'FR' 'PL']</t>
  </si>
  <si>
    <t>['CZ' 'IT' 'DE' 'NZ' 'DK' 'NL' 'IL' 'UK']</t>
  </si>
  <si>
    <t>['SE' 'RS' 'IE' 'EL' 'UK' 'DE' nan 'US' 'LU' 'NZ']</t>
  </si>
  <si>
    <t>['ES' 'FR' 'DE' 'PL' 'UK' 'AT' 'IT' 'NZ' 'NL' nan 'IL']</t>
  </si>
  <si>
    <t>['MX' 'FR' 'IN' 'DE' 'ET' 'ES' 'UK' 'NL' 'NZ' 'AU' 'RU' 'DK' 'BE' 'CN'
 'BR' 'IT' 'AR']</t>
  </si>
  <si>
    <t>['NL' 'DK' 'HU' 'AT' 'EE' 'ES' 'IL' 'IT' 'DE' 'RS' 'LV' 'NZ' 'NO' 'CA'
 'UK' 'FR' 'PL' 'BE' 'PT']</t>
  </si>
  <si>
    <t>['KR' 'DE' 'ES' 'NZ' 'AU' 'FR']</t>
  </si>
  <si>
    <t>['NL' 'NZ' 'EL' 'IT' 'CA' 'CH' 'ES' 'DE' 'TN' 'UK' 'SK' 'DK' 'BE' 'BR'
 'IE' 'FR' 'SI']</t>
  </si>
  <si>
    <t>['UK' 'NZ']</t>
  </si>
  <si>
    <t>['EL' 'NL' 'DE' 'ID' 'UK' 'RO' 'NZ' 'PE' 'ZA' 'EE' 'DK' 'SK' 'CH' 'GH'
 'UY' 'FR' 'IE' 'FI' 'ES' 'BE' 'AT' 'PL' 'IT' 'UA' 'CZ']</t>
  </si>
  <si>
    <t>['IT' 'DE' 'UK' 'ES' 'NZ' 'US' 'FR' 'NL' 'CN' 'JP' 'PL' 'CH' 'CA']</t>
  </si>
  <si>
    <t>['NZ' 'UK' 'BG' 'FR' 'CZ' 'IT' 'DE' 'AU' 'NL' 'CH']</t>
  </si>
  <si>
    <t>['CH' 'BG' 'UK' 'FI' 'DK' 'NL' 'AU' 'ES' 'NZ' 'DE' 'CA' 'HU' 'IT' 'IE']</t>
  </si>
  <si>
    <t>['DK' 'NZ' 'CH' 'NL' 'BE' 'SI' 'PE' 'ES' 'UK' 'CZ' 'CN' 'IT' 'FR' 'BR'
 'ZA']</t>
  </si>
  <si>
    <t>['ES' 'UK' 'US' 'DE' 'NZ' 'DK']</t>
  </si>
  <si>
    <t>['SE' 'UK' 'AT' 'NL' 'CH' 'DE' 'ES' 'FR' 'IT' 'LU' 'NZ' nan 'BE']</t>
  </si>
  <si>
    <t>['UK' 'NL' 'BE' 'DK' 'FI' 'SK' 'IT' 'FR' 'NO' 'AT' 'US' 'DE' 'CN' 'AU'
 'SE' 'NZ' 'HU']</t>
  </si>
  <si>
    <t>['DE' 'NZ' 'SE' 'CH' 'SI' 'UK' 'NL' 'IT' 'AR']</t>
  </si>
  <si>
    <t>['FI' 'NZ' 'DE' 'FR']</t>
  </si>
  <si>
    <t>['SK' 'BR' 'UK' 'DE' 'US' 'IE' 'EL' 'IT' 'BE' 'RU' 'AU' 'UA' 'NZ' 'NL'
 'CA' 'MO']</t>
  </si>
  <si>
    <t>['NL' 'DE' 'ES' 'IE' 'UK' 'BG' 'BE' 'IT' 'CA' 'NZ' 'NO' 'AU' 'HU' 'FR'
 'US' 'AT']</t>
  </si>
  <si>
    <t>['IT' 'UK' 'DE' 'IE' 'NZ' 'NL' 'CZ']</t>
  </si>
  <si>
    <t>['ES' 'FR' 'UK' 'DE' 'IT' 'EL' 'BE' 'NZ' 'SE' nan]</t>
  </si>
  <si>
    <t>['NO' 'UK' 'AT' 'CR' 'IT' 'DE' 'ES' 'CH' 'CN' 'ZA' 'DK' 'BE' 'NZ' 'CL'
 'IE']</t>
  </si>
  <si>
    <t>['EL' 'UK' 'FR' 'IT' 'US' 'DK' 'NL' 'NZ']</t>
  </si>
  <si>
    <t>['EL' 'NO' 'DK' 'ES' 'UK' 'SE' 'IT' 'DE' 'NL' 'NZ' 'FR' 'FI']</t>
  </si>
  <si>
    <t>['DE' 'UK' 'NL' 'NZ' 'FR' 'IL']</t>
  </si>
  <si>
    <t>['DE' 'AU' 'AT' 'FR' 'UK' 'RS' 'NL' 'ES' 'US' 'DK' 'BE' 'IT' 'IE' 'NZ'
 'CA']</t>
  </si>
  <si>
    <t>['NZ' 'ES']</t>
  </si>
  <si>
    <t>['BE' 'DE' 'IT' 'EL' 'UK' 'NZ' 'NL' 'AT' 'IL' 'PT' 'ES' 'SK' 'CY' 'FI'
 'DK']</t>
  </si>
  <si>
    <t>['BE' 'UK' 'ES' 'AT' 'ET' 'NZ']</t>
  </si>
  <si>
    <t>['NL' 'UK' 'BE' 'SE' 'SG' 'AU' 'NZ' 'AT' 'DE' 'FR' 'TR' 'HU' 'IE' 'ES'
 'IR' 'IT' 'US' 'NO' 'CZ' 'DK' 'EL' 'CH' 'IL']</t>
  </si>
  <si>
    <t>['JP' 'NZ' 'FR' 'PL']</t>
  </si>
  <si>
    <t>['UK' 'NZ' 'NO']</t>
  </si>
  <si>
    <t>['FR' 'NZ']</t>
  </si>
  <si>
    <t>['UK' 'ES' 'IE' 'IT' 'DE' 'FR' 'CH' 'HU' 'NO' 'NL' 'BO' 'CN' 'AU' 'NZ'
 'AT' 'KZ' 'FI' 'SE' 'CZ' 'EL' 'DK']</t>
  </si>
  <si>
    <t>['BE' 'DE' 'HU' 'NZ']</t>
  </si>
  <si>
    <t>['IT' 'NZ']</t>
  </si>
  <si>
    <t>['SK' 'RO' 'UA' 'SE' 'TR' 'EG' 'LU' 'ZA' 'UK' 'ES' 'DE' 'NZ']</t>
  </si>
  <si>
    <t>['US' 'JP' 'IL' 'RU' 'CN' 'AU' 'NZ' 'FR' 'UK' 'BR']</t>
  </si>
  <si>
    <t>['DE' 'PL' 'UK' 'JP' 'TW' 'NZ' 'RU' 'DK' 'BR']</t>
  </si>
  <si>
    <t>['IT' 'DK' 'FR' 'AT' 'DE' 'NL' 'UK' 'EL' 'CH' 'IL' 'BE' 'ES' 'US' 'NO'
 'ZA' 'NZ' 'SE' 'CZ' 'PT' 'IE']</t>
  </si>
  <si>
    <t>['IT' 'CH' 'UK' 'MW' 'GH' 'BE' 'NZ' 'BF' 'KE']</t>
  </si>
  <si>
    <t>['CH' 'IT' 'UK' 'BE' 'DE' 'ES' 'BR' 'NZ']</t>
  </si>
  <si>
    <t>['NZ' 'BR' 'UK']</t>
  </si>
  <si>
    <t>['US' 'CN' 'FR' 'DE' 'IT' 'JP' 'CA' 'NZ' 'SI' 'NO' 'BE' 'BG' 'CZ' 'UK'
 'FI' 'ES' 'NL' 'EL' 'RS' 'AT' 'PT' 'IE']</t>
  </si>
  <si>
    <t>['EE' 'NZ']</t>
  </si>
  <si>
    <t>['SE' 'MC' 'EE' 'ES' 'IT' 'CA' 'CH' 'FR' 'UK' 'AU' 'NZ' 'CN' 'DE' 'NL']</t>
  </si>
  <si>
    <t>['AR' 'NZ' 'IE' 'IT' 'NL' 'ES' 'US']</t>
  </si>
  <si>
    <t>['CH' 'DE' 'NZ' 'IE' 'ES']</t>
  </si>
  <si>
    <t>['NZ' 'IT']</t>
  </si>
  <si>
    <t>['SE' 'NO' 'NZ']</t>
  </si>
  <si>
    <t>['DE' 'IT' 'BE' 'UK' 'NO' 'FR' 'NL' 'CH' 'CA' 'EL' 'US' nan 'RS' 'AT' 'NZ'
 'ES' 'FI' 'PL' 'PT']</t>
  </si>
  <si>
    <t>['DE' 'IE' 'FI' 'AU' 'NZ']</t>
  </si>
  <si>
    <t>['NZ' 'UK']</t>
  </si>
  <si>
    <t>['UK' 'BR' 'DK' 'AU' 'DE' 'CL' 'NZ']</t>
  </si>
  <si>
    <t>['UK' 'IT' 'DE' 'PL' 'EL' 'LU' 'NL' 'BE' nan 'ES' 'US' 'IE' 'KE' 'NZ' 'PT'
 'RO' 'NO' 'CA' 'DK' 'SE' 'IS' 'FI' 'AT' 'FO' 'RU' 'CZ' 'GL' 'FR']</t>
  </si>
  <si>
    <t>['TW' 'PG' 'EE' 'NL' 'ID' 'NZ' 'CH' 'SE' 'AT' 'CA' 'AU' 'PH' 'UK' 'DE'
 'US' 'FR']</t>
  </si>
  <si>
    <t>['FR' 'CN' 'IT' 'US' 'NZ' 'CA']</t>
  </si>
  <si>
    <t>['UK' 'PT' 'IT' 'NZ' 'FR' 'BE' 'NL' 'CH' 'ES' 'RO' 'DE' 'IE' 'SE' 'RS'
 'PL' 'UA']</t>
  </si>
  <si>
    <t>['IN' 'PL' 'UK' 'DK' 'IT' 'ES' 'DE' 'NL' 'HU' 'BE' 'FI' 'AT' 'FR' 'CH'
 'SE' 'ZA' nan 'NO' 'KR' 'RU' 'BG' 'SI' 'CZ' 'EL' 'IL' 'TR' 'SK' 'NZ' 'PT'
 'IE' 'CA' 'US']</t>
  </si>
  <si>
    <t>['FR' 'SE' 'DE' 'US' 'UK' 'ES' 'LU' 'CA' 'AU' 'JP' 'NZ']</t>
  </si>
  <si>
    <t>['IE' 'CA' 'FR' 'DE' 'UK' 'JP' 'NL' 'IT' 'KR' 'NZ' 'SG' 'PT' 'RU' 'US'
 'CL' 'ZA' 'SI' 'SE']</t>
  </si>
  <si>
    <t>['DK' 'AT' 'NZ' 'DE' 'ES' 'NL' 'PL']</t>
  </si>
  <si>
    <t>['DE' 'UK' 'PL' 'US' 'BE' 'MX' 'IT' 'DK' 'AU' 'NZ' 'CA']</t>
  </si>
  <si>
    <t>['DK' 'FR' 'NZ' 'IT' 'JP' 'MX']</t>
  </si>
  <si>
    <t>['NO' 'UK' 'FI' 'DE' 'FO' 'IE' 'IT' 'US' 'SE' 'IS' 'CA' 'NZ' 'RU']</t>
  </si>
  <si>
    <t>['EE' 'TW' 'US' 'EL' 'IT' 'IE' 'UK' 'IN' 'CN' 'SE' 'CY' 'DE' 'RO' 'MD'
 'ZA' 'MK' 'AT' 'IS' 'JP' 'NZ' 'FR' 'IL' 'NL' 'CH' 'TR' 'MX']</t>
  </si>
  <si>
    <t>['US' 'UK' 'ZA' 'IT' 'CL' 'NZ' 'SG' 'CZ' 'AU' 'FR' 'CA']</t>
  </si>
  <si>
    <t>['ES' 'AU' 'HU' 'BR' 'NZ' 'US']</t>
  </si>
  <si>
    <t>['CN' 'FI' 'SE' 'AT' 'NZ' 'DK' 'AU' 'CZ' 'BE' 'CH' 'DE' 'JP' 'ES' 'US'
 'BG']</t>
  </si>
  <si>
    <t>['HU' 'NZ' 'CN' 'IT' 'ES' 'CZ' 'UK' 'AT' 'BG']</t>
  </si>
  <si>
    <t>['AT' 'DE' 'SE' 'AU' 'NZ' 'CH' 'NL' 'SI' 'UK' 'ES' 'IS' 'NO' 'AR']</t>
  </si>
  <si>
    <t>['NO' 'ES' 'IE' 'UK' 'US' 'PT' 'FO' 'FI' 'FR' 'EL' 'IS' 'TR' 'IT' 'BE'
 'DE' 'RO' 'PL' 'DK' 'NL' 'GL' 'CA' 'SE' 'EE' 'NZ']</t>
  </si>
  <si>
    <t>['UK' 'US' 'NL' 'IN' 'SE' 'UY' 'NZ' 'IT' 'NO' 'DE' 'ES' 'AU' 'ID']</t>
  </si>
  <si>
    <t>['IL' 'IE' 'CH' 'SE' 'DE' 'FR' 'BE' 'IT' 'DK' 'UK' 'NO' 'EE' 'NZ' 'CY'
 'SI']</t>
  </si>
  <si>
    <t>['NL' 'DE' 'IE' 'BE' 'IL' 'NZ' 'IT' 'DK' 'AT' 'TH' 'ES' 'PT' 'US' 'CH']</t>
  </si>
  <si>
    <t>['US' 'UK' 'ZA' 'CL' 'NZ' 'CH' 'CZ' 'CN' 'IT' 'AU' 'FR' 'CA']</t>
  </si>
  <si>
    <t>['FR' 'DE' 'AU' 'DK' 'CH' 'NL' 'US' 'IT' 'NZ' 'CA']</t>
  </si>
  <si>
    <t>['UK' 'NZ' 'AU' 'NO' 'SE']</t>
  </si>
  <si>
    <t>['UK' 'CH' 'FR' 'IT' 'DE' 'NL' 'PT' 'ZA' 'EL' 'SE' 'ES' 'AU' 'NZ' 'BE'
 'FI' 'RO' 'AT']</t>
  </si>
  <si>
    <t>['CA' 'PL' 'AT' 'BR' 'DE' 'DK' 'AR' 'IT' 'ES' 'IE' 'ZA' 'EL' 'BE' 'US'
 'NL' 'IN' 'AU' 'FR' 'UK' 'NZ' 'EE' 'CN']</t>
  </si>
  <si>
    <t>['DK' 'UK' 'ZA' 'NG' 'MG' 'NZ' 'CO' 'US' 'NL' 'AT' 'FR' 'AU' 'CN' 'BR'
 'DE' 'RU' 'BE']</t>
  </si>
  <si>
    <t>['DK' 'IE' 'NZ' 'BE' 'NL' 'FR' 'IT' 'IL' 'UK' 'ES' 'CA' 'FI' 'NO' 'LT'
 'US' 'AU' 'DE']</t>
  </si>
  <si>
    <t>['DE' 'NO' 'FI' 'EL' 'IT' 'FR' 'SE' 'ES' 'UK' 'CH' 'RU' 'AT' 'LT' 'NZ']</t>
  </si>
  <si>
    <t>['UK' 'SE' 'DE' 'ES' 'DK' 'NL' 'CH' 'HU' 'BG' 'RO' 'GE' 'EL' 'PL' 'CZ'
 'BE' 'TR' 'BA' 'SK' 'IE' 'IT' 'UA' 'FR' 'NZ' 'CN' 'CA' 'NO' 'UY']</t>
  </si>
  <si>
    <t>['FR' 'NL' 'DE' 'UK' 'IT' 'CA' 'ES' nan 'IE' 'BE' 'EE' 'SI' 'RO' 'PT' 'FI'
 'NZ' 'SE' 'HR' 'US' 'CH' 'EL' 'BG']</t>
  </si>
  <si>
    <t>['NZ' 'DE' 'IT' 'ES' 'NL' 'BE' 'FR' 'CZ']</t>
  </si>
  <si>
    <t>['CN' 'UK' 'AU' 'FR' 'PT' 'IT' 'FI' 'SE' 'ZA' 'CH' 'NL' 'BG' 'NZ' 'US'
 'CZ']</t>
  </si>
  <si>
    <t>['DK' 'NZ']</t>
  </si>
  <si>
    <t>['ES' 'NZ']</t>
  </si>
  <si>
    <t>['TZ' 'UG' 'NL' 'NZ' 'UK']</t>
  </si>
  <si>
    <t>['JP' 'UK' 'AT' 'NZ']</t>
  </si>
  <si>
    <t>['IE' 'BE' 'NZ' 'IT' 'NL' 'UK' 'EL']</t>
  </si>
  <si>
    <t>['DE' 'NZ']</t>
  </si>
  <si>
    <t>['EE' 'NO' 'SK' 'UK' 'FR' 'CH' 'DE' 'NZ' 'US' 'BE' 'SE' 'AT' 'ES' 'EL'
 'DK' 'TR' 'LT' 'IT' 'CA' 'AU' 'PT' 'PL']</t>
  </si>
  <si>
    <t>['FI' 'NZ' 'EL' 'IT' 'AT' 'BE' 'FR' 'LT']</t>
  </si>
  <si>
    <t>['US' 'CZ' 'DE' 'ES' 'NZ' 'CH' 'IT' 'NL']</t>
  </si>
  <si>
    <t>['DE' 'BE' 'IT' 'PT' 'NO' 'FI' 'UG' 'RS' 'NZ']</t>
  </si>
  <si>
    <t>['ES' 'AT' 'BE' 'IT' 'HU' 'DK' 'SI' 'US' 'DE' 'CA' 'NZ' 'AU' 'UK']</t>
  </si>
  <si>
    <t>['UK' 'DE' 'IN' 'US' 'AU' 'CO' 'NZ' 'JP' 'IT' 'BI' 'PL' 'BR']</t>
  </si>
  <si>
    <t>['CY' 'US' 'DK' 'AU' 'UK' 'NO' 'KE' 'DE' 'BE' 'IE' 'FR' 'BR' 'NZ']</t>
  </si>
  <si>
    <t>['IT' 'BE' 'FR' 'UK' 'ES' 'ZA' 'PT' 'IE' 'NZ' 'CY']</t>
  </si>
  <si>
    <t>['NZ' 'IE']</t>
  </si>
  <si>
    <t>['FI' 'SE' 'PL' 'CZ' 'DE' 'FR' 'BR' 'DK' 'NO' 'US' 'IE' 'CH' 'CN' 'NZ'
 'UK']</t>
  </si>
  <si>
    <t>['FR' 'IE' 'TR' 'UK' 'IT' 'EL' 'ES' 'DK' 'NO' 'BE' 'NL' 'US' 'HU' 'AT'
 'RS' 'FI' 'DE' 'PT' 'CH' 'NZ' 'PL']</t>
  </si>
  <si>
    <t>['IT' 'US' 'DE' 'JP' 'NZ' 'LV']</t>
  </si>
  <si>
    <t>['FR' 'BG' 'DK' 'IT' 'CH' 'DE' 'NZ' 'NL' 'AT' 'PL' 'EL' 'UK' 'ES' 'BE'
 'CZ' 'US']</t>
  </si>
  <si>
    <t>Project acronyms</t>
  </si>
  <si>
    <t>FP7 funding (€)</t>
  </si>
  <si>
    <t>H2020 funding (€)</t>
  </si>
  <si>
    <t>HEU funding (€)</t>
  </si>
  <si>
    <t>Total projects</t>
  </si>
  <si>
    <t>Total funded projects</t>
  </si>
  <si>
    <t>Total funding (€)</t>
  </si>
  <si>
    <t>['MSV' 'FRENZ' 'SWARP' 'DIRECT' 'PLASMON' 'MOBI-KIDS' 'NTM-IMPACT'
 '4D4Life' 'MICREAGENTS' 'SIFEM' 'VPH-Share' 'STAR-IDAZ' 'ERACAPS'
 'EURASIAPAC' 'LOWINPUTBREEDS' 'CAUSCOG' 'TANDEM' 'DROPSA' 'PRATIQUE'
 'PREVIEW' 'QBOL' 'RICORDO' 'ITFoM' 'CENTER-TBI' 'OPCARE9' 'FRIENZ'
 'eGovPoliNet' 'NUTRITECH' 'IPODD' 'VPH NoE' 'PHARMASEA' 'SYMBIOSIS-EU'
 'EPIC-CVD' 'SYSMEDIBD' 'MYNEWGUT' 'SABER CULTURAL' 'WAMSISE' 'ANSWER'
 'ISAC' 'XSPECT' 'EPIC' 'EDJ' 'CALENDARS' 'SMART POP' 'HERCULES' 'DCPM'
 'ISLANDPALECO' 'HYSOTIB' 'FISHEARS' 'ISEBI' 'PredProkDef' 'EVOIMMECH'
 'DiCoMI' 'HALT' 'OCTA' 'TRANSFORM' 'Vacc-iNTS' 'CAMERA'
 'AsthmaPhenotypes' 'MAIA' 'OPTWET' 'MICACT' 'POLYPLOID' 'CLIMB'
 'GENEVABREED' 'EDUHEALTH' 'CHIC' 'DeMANS' 'Spatialec' 'KEEPFISH'
 'INTERACT' 'OCSEAN' 'IPaDEGAN' 'ClieNFarms' 'IMPACT' 'HiFreq' 'PlastiSol'
 'CID' 'BestPass' 'QUANTUM DYNAMICS' 'PROTINUS' 'ARCSAR' 'RISE' 'GEMCLIME'
 'SALEACOM' 'BIG4' 'TUdi' 'iLIVE' 'EurofleetsPlus' 'WEGO' 'QUEST'
 'SMART PROTEIN' 'GEOCEP' 'SONAR' 'CHiPS' 'AENEAS' 'MicrobiomeSupport'
 'CIRCASA' 'HoloRuminant' 'GenTree' 'SMARTER' 'STOP' 'CSA JPI HDHL 2.0'
 'HOMED' 'DUNAMICS' 'PhySeaCS' 'PROTID' 'IsWINE' 'SCALEES' 'IMPARTIAL'
 'Minority Report' 'ImageTumor' 'EUPHRESCO III' 'STELLA' 'CaLiForNIA'
 'd@rts' 'PLACES' 'MDC' 'WorldFAIR' 'EU-CIEMBLY' 'BioPSy' 'I4WORLD'
 'VITAL' 'Q-DYNAMO' 'Legume Generation' 'UNI PROB']</t>
  </si>
</sst>
</file>

<file path=xl/styles.xml><?xml version="1.0" encoding="utf-8"?>
<styleSheet xmlns="http://schemas.openxmlformats.org/spreadsheetml/2006/main">
  <numFmts count="1">
    <numFmt numFmtId="164" formatCode="#,##0"/>
  </numFmts>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0" fillId="0" borderId="0" xfId="0" applyNumberFormat="1"/>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U143"/>
  <sheetViews>
    <sheetView tabSelected="1" workbookViewId="0"/>
  </sheetViews>
  <sheetFormatPr defaultRowHeight="15"/>
  <cols>
    <col min="2" max="2" width="11.7109375" style="1" customWidth="1"/>
    <col min="3" max="3" width="12.7109375" customWidth="1"/>
    <col min="4" max="4" width="30.7109375" customWidth="1"/>
    <col min="5" max="7" width="10.7109375" customWidth="1"/>
    <col min="10" max="10" width="10.7109375" style="1" customWidth="1"/>
    <col min="11" max="11" width="35.7109375" customWidth="1"/>
    <col min="12" max="12" width="10.7109375" customWidth="1"/>
    <col min="13" max="14" width="6.7109375" customWidth="1"/>
    <col min="15" max="16" width="10.7109375" customWidth="1"/>
    <col min="17" max="17" width="6.7109375" customWidth="1"/>
    <col min="18" max="18" width="10.7109375" customWidth="1"/>
    <col min="19" max="21" width="9.140625" style="2"/>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spans="1:21">
      <c r="A2" t="s">
        <v>21</v>
      </c>
      <c r="B2" s="1">
        <f>HYPERLINK("https://cordis.europa.eu/project/id/248032", "248032")</f>
        <v>0</v>
      </c>
      <c r="C2" t="s">
        <v>24</v>
      </c>
      <c r="D2" t="s">
        <v>150</v>
      </c>
      <c r="F2" t="s">
        <v>357</v>
      </c>
      <c r="G2" t="s">
        <v>438</v>
      </c>
      <c r="H2" t="s">
        <v>526</v>
      </c>
      <c r="I2" t="s">
        <v>527</v>
      </c>
      <c r="J2" s="1">
        <f>HYPERLINK("https://ec.europa.eu/info/funding-tenders/opportunities/portal/screen/how-to-participate/org-details/999613131", "999613131")</f>
        <v>0</v>
      </c>
      <c r="K2" t="s">
        <v>528</v>
      </c>
      <c r="L2" t="s">
        <v>559</v>
      </c>
      <c r="M2" t="s">
        <v>578</v>
      </c>
      <c r="O2" t="s">
        <v>583</v>
      </c>
      <c r="P2" t="s">
        <v>614</v>
      </c>
      <c r="Q2">
        <v>3</v>
      </c>
      <c r="R2" t="s">
        <v>698</v>
      </c>
      <c r="S2" s="2">
        <v>72800</v>
      </c>
    </row>
    <row r="3" spans="1:21">
      <c r="A3" t="s">
        <v>21</v>
      </c>
      <c r="B3" s="1">
        <f>HYPERLINK("https://cordis.europa.eu/project/id/222665", "222665")</f>
        <v>0</v>
      </c>
      <c r="C3" t="s">
        <v>25</v>
      </c>
      <c r="D3" t="s">
        <v>151</v>
      </c>
      <c r="F3" t="s">
        <v>358</v>
      </c>
      <c r="G3" t="s">
        <v>439</v>
      </c>
      <c r="H3" t="s">
        <v>526</v>
      </c>
      <c r="I3" t="s">
        <v>527</v>
      </c>
      <c r="J3" s="1">
        <f>HYPERLINK("https://ec.europa.eu/info/funding-tenders/opportunities/portal/screen/how-to-participate/org-details/999873673", "999873673")</f>
        <v>0</v>
      </c>
      <c r="K3" t="s">
        <v>529</v>
      </c>
      <c r="M3" t="s">
        <v>578</v>
      </c>
      <c r="O3" t="s">
        <v>584</v>
      </c>
      <c r="P3" t="s">
        <v>615</v>
      </c>
      <c r="Q3">
        <v>1</v>
      </c>
      <c r="R3" t="s">
        <v>699</v>
      </c>
      <c r="S3" s="2">
        <v>284611</v>
      </c>
    </row>
    <row r="4" spans="1:21">
      <c r="A4" t="s">
        <v>21</v>
      </c>
      <c r="B4" s="1">
        <f>HYPERLINK("https://cordis.europa.eu/project/id/222665", "222665")</f>
        <v>0</v>
      </c>
      <c r="C4" t="s">
        <v>25</v>
      </c>
      <c r="D4" t="s">
        <v>151</v>
      </c>
      <c r="F4" t="s">
        <v>358</v>
      </c>
      <c r="G4" t="s">
        <v>439</v>
      </c>
      <c r="H4" t="s">
        <v>526</v>
      </c>
      <c r="I4" t="s">
        <v>527</v>
      </c>
      <c r="J4" s="1">
        <f>HYPERLINK("https://ec.europa.eu/info/funding-tenders/opportunities/portal/screen/how-to-participate/org-details/998869335", "998869335")</f>
        <v>0</v>
      </c>
      <c r="K4" t="s">
        <v>530</v>
      </c>
      <c r="L4" t="s">
        <v>560</v>
      </c>
      <c r="M4" t="s">
        <v>579</v>
      </c>
      <c r="O4" t="s">
        <v>584</v>
      </c>
      <c r="P4" t="s">
        <v>615</v>
      </c>
      <c r="Q4">
        <v>2</v>
      </c>
      <c r="R4" t="s">
        <v>698</v>
      </c>
      <c r="S4" s="2">
        <v>187966</v>
      </c>
    </row>
    <row r="5" spans="1:21">
      <c r="A5" t="s">
        <v>21</v>
      </c>
      <c r="B5" s="1">
        <f>HYPERLINK("https://cordis.europa.eu/project/id/607476", "607476")</f>
        <v>0</v>
      </c>
      <c r="C5" t="s">
        <v>26</v>
      </c>
      <c r="D5" t="s">
        <v>152</v>
      </c>
      <c r="F5" t="s">
        <v>359</v>
      </c>
      <c r="G5" t="s">
        <v>390</v>
      </c>
      <c r="H5" t="s">
        <v>526</v>
      </c>
      <c r="I5" t="s">
        <v>527</v>
      </c>
      <c r="J5" s="1">
        <f>HYPERLINK("https://ec.europa.eu/info/funding-tenders/opportunities/portal/screen/how-to-participate/org-details/998331567", "998331567")</f>
        <v>0</v>
      </c>
      <c r="K5" t="s">
        <v>531</v>
      </c>
      <c r="M5" t="s">
        <v>578</v>
      </c>
      <c r="O5" t="s">
        <v>585</v>
      </c>
      <c r="P5" t="s">
        <v>616</v>
      </c>
      <c r="Q5">
        <v>7</v>
      </c>
      <c r="R5" t="s">
        <v>698</v>
      </c>
    </row>
    <row r="6" spans="1:21">
      <c r="A6" t="s">
        <v>21</v>
      </c>
      <c r="B6" s="1">
        <f>HYPERLINK("https://cordis.europa.eu/project/id/617060", "617060")</f>
        <v>0</v>
      </c>
      <c r="C6" t="s">
        <v>27</v>
      </c>
      <c r="D6" t="s">
        <v>153</v>
      </c>
      <c r="F6" t="s">
        <v>360</v>
      </c>
      <c r="G6" t="s">
        <v>296</v>
      </c>
      <c r="H6" t="s">
        <v>526</v>
      </c>
      <c r="I6" t="s">
        <v>527</v>
      </c>
      <c r="J6" s="1">
        <f>HYPERLINK("https://ec.europa.eu/info/funding-tenders/opportunities/portal/screen/how-to-participate/org-details/999613131", "999613131")</f>
        <v>0</v>
      </c>
      <c r="K6" t="s">
        <v>528</v>
      </c>
      <c r="L6" t="s">
        <v>559</v>
      </c>
      <c r="M6" t="s">
        <v>578</v>
      </c>
      <c r="O6" t="s">
        <v>586</v>
      </c>
      <c r="P6" t="s">
        <v>617</v>
      </c>
      <c r="Q6">
        <v>2</v>
      </c>
      <c r="R6" t="s">
        <v>698</v>
      </c>
      <c r="S6" s="2">
        <v>288733.2</v>
      </c>
    </row>
    <row r="7" spans="1:21">
      <c r="A7" t="s">
        <v>21</v>
      </c>
      <c r="B7" s="1">
        <f>HYPERLINK("https://cordis.europa.eu/project/id/263218", "263218")</f>
        <v>0</v>
      </c>
      <c r="C7" t="s">
        <v>28</v>
      </c>
      <c r="D7" t="s">
        <v>154</v>
      </c>
      <c r="F7" t="s">
        <v>361</v>
      </c>
      <c r="G7" t="s">
        <v>440</v>
      </c>
      <c r="H7" t="s">
        <v>526</v>
      </c>
      <c r="I7" t="s">
        <v>527</v>
      </c>
      <c r="J7" s="1">
        <f>HYPERLINK("https://ec.europa.eu/info/funding-tenders/opportunities/portal/screen/how-to-participate/org-details/998331567", "998331567")</f>
        <v>0</v>
      </c>
      <c r="K7" t="s">
        <v>531</v>
      </c>
      <c r="M7" t="s">
        <v>578</v>
      </c>
      <c r="O7" t="s">
        <v>583</v>
      </c>
      <c r="P7" t="s">
        <v>618</v>
      </c>
      <c r="Q7">
        <v>6</v>
      </c>
      <c r="R7" t="s">
        <v>698</v>
      </c>
      <c r="S7" s="2">
        <v>352357</v>
      </c>
    </row>
    <row r="8" spans="1:21">
      <c r="A8" t="s">
        <v>21</v>
      </c>
      <c r="B8" s="1">
        <f>HYPERLINK("https://cordis.europa.eu/project/id/226873", "226873")</f>
        <v>0</v>
      </c>
      <c r="C8" t="s">
        <v>29</v>
      </c>
      <c r="D8" t="s">
        <v>155</v>
      </c>
      <c r="F8" t="s">
        <v>362</v>
      </c>
      <c r="G8" t="s">
        <v>441</v>
      </c>
      <c r="H8" t="s">
        <v>526</v>
      </c>
      <c r="I8" t="s">
        <v>527</v>
      </c>
      <c r="J8" s="1">
        <f>HYPERLINK("https://ec.europa.eu/info/funding-tenders/opportunities/portal/screen/how-to-participate/org-details/992582086", "992582086")</f>
        <v>0</v>
      </c>
      <c r="K8" t="s">
        <v>532</v>
      </c>
      <c r="L8" t="s">
        <v>561</v>
      </c>
      <c r="M8" t="s">
        <v>578</v>
      </c>
      <c r="O8" t="s">
        <v>585</v>
      </c>
      <c r="P8" t="s">
        <v>619</v>
      </c>
      <c r="Q8">
        <v>15</v>
      </c>
      <c r="R8" t="s">
        <v>698</v>
      </c>
    </row>
    <row r="9" spans="1:21">
      <c r="A9" t="s">
        <v>21</v>
      </c>
      <c r="B9" s="1">
        <f>HYPERLINK("https://cordis.europa.eu/project/id/226873", "226873")</f>
        <v>0</v>
      </c>
      <c r="C9" t="s">
        <v>29</v>
      </c>
      <c r="D9" t="s">
        <v>155</v>
      </c>
      <c r="F9" t="s">
        <v>362</v>
      </c>
      <c r="G9" t="s">
        <v>441</v>
      </c>
      <c r="H9" t="s">
        <v>526</v>
      </c>
      <c r="I9" t="s">
        <v>527</v>
      </c>
      <c r="J9" s="1">
        <f>HYPERLINK("https://ec.europa.eu/info/funding-tenders/opportunities/portal/screen/how-to-participate/org-details/999613131", "999613131")</f>
        <v>0</v>
      </c>
      <c r="K9" t="s">
        <v>528</v>
      </c>
      <c r="L9" t="s">
        <v>559</v>
      </c>
      <c r="M9" t="s">
        <v>578</v>
      </c>
      <c r="O9" t="s">
        <v>585</v>
      </c>
      <c r="P9" t="s">
        <v>619</v>
      </c>
      <c r="Q9">
        <v>14</v>
      </c>
      <c r="R9" t="s">
        <v>698</v>
      </c>
    </row>
    <row r="10" spans="1:21">
      <c r="A10" t="s">
        <v>21</v>
      </c>
      <c r="B10" s="1">
        <f>HYPERLINK("https://cordis.europa.eu/project/id/227202", "227202")</f>
        <v>0</v>
      </c>
      <c r="C10" t="s">
        <v>30</v>
      </c>
      <c r="D10" t="s">
        <v>156</v>
      </c>
      <c r="F10" t="s">
        <v>363</v>
      </c>
      <c r="G10" t="s">
        <v>442</v>
      </c>
      <c r="H10" t="s">
        <v>526</v>
      </c>
      <c r="I10" t="s">
        <v>527</v>
      </c>
      <c r="J10" s="1">
        <f>HYPERLINK("https://ec.europa.eu/info/funding-tenders/opportunities/portal/screen/how-to-participate/org-details/998331567", "998331567")</f>
        <v>0</v>
      </c>
      <c r="K10" t="s">
        <v>531</v>
      </c>
      <c r="M10" t="s">
        <v>578</v>
      </c>
      <c r="O10" t="s">
        <v>585</v>
      </c>
      <c r="P10" t="s">
        <v>620</v>
      </c>
      <c r="Q10">
        <v>12</v>
      </c>
      <c r="R10" t="s">
        <v>698</v>
      </c>
      <c r="S10" s="2">
        <v>148740</v>
      </c>
    </row>
    <row r="11" spans="1:21">
      <c r="A11" t="s">
        <v>21</v>
      </c>
      <c r="B11" s="1">
        <f>HYPERLINK("https://cordis.europa.eu/project/id/238988", "238988")</f>
        <v>0</v>
      </c>
      <c r="C11" t="s">
        <v>31</v>
      </c>
      <c r="D11" t="s">
        <v>157</v>
      </c>
      <c r="F11" t="s">
        <v>364</v>
      </c>
      <c r="G11" t="s">
        <v>443</v>
      </c>
      <c r="H11" t="s">
        <v>526</v>
      </c>
      <c r="I11" t="s">
        <v>527</v>
      </c>
      <c r="J11" s="1">
        <f>HYPERLINK("https://ec.europa.eu/info/funding-tenders/opportunities/portal/screen/how-to-participate/org-details/996569368", "996569368")</f>
        <v>0</v>
      </c>
      <c r="K11" t="s">
        <v>533</v>
      </c>
      <c r="L11" t="s">
        <v>562</v>
      </c>
      <c r="M11" t="s">
        <v>580</v>
      </c>
      <c r="O11" t="s">
        <v>587</v>
      </c>
      <c r="P11" t="s">
        <v>621</v>
      </c>
      <c r="Q11">
        <v>27</v>
      </c>
      <c r="R11" t="s">
        <v>698</v>
      </c>
      <c r="S11" s="2">
        <v>0</v>
      </c>
    </row>
    <row r="12" spans="1:21">
      <c r="A12" t="s">
        <v>21</v>
      </c>
      <c r="B12" s="1">
        <f>HYPERLINK("https://cordis.europa.eu/project/id/318671", "318671")</f>
        <v>0</v>
      </c>
      <c r="C12" t="s">
        <v>32</v>
      </c>
      <c r="D12" t="s">
        <v>158</v>
      </c>
      <c r="F12" t="s">
        <v>365</v>
      </c>
      <c r="G12" t="s">
        <v>441</v>
      </c>
      <c r="H12" t="s">
        <v>526</v>
      </c>
      <c r="I12" t="s">
        <v>527</v>
      </c>
      <c r="J12" s="1">
        <f>HYPERLINK("https://ec.europa.eu/info/funding-tenders/opportunities/portal/screen/how-to-participate/org-details/999613131", "999613131")</f>
        <v>0</v>
      </c>
      <c r="K12" t="s">
        <v>528</v>
      </c>
      <c r="L12" t="s">
        <v>559</v>
      </c>
      <c r="M12" t="s">
        <v>578</v>
      </c>
      <c r="O12" t="s">
        <v>583</v>
      </c>
      <c r="P12" t="s">
        <v>622</v>
      </c>
      <c r="Q12">
        <v>7</v>
      </c>
      <c r="R12" t="s">
        <v>698</v>
      </c>
      <c r="S12" s="2">
        <v>0</v>
      </c>
    </row>
    <row r="13" spans="1:21">
      <c r="A13" t="s">
        <v>21</v>
      </c>
      <c r="B13" s="1">
        <f>HYPERLINK("https://cordis.europa.eu/project/id/600933", "600933")</f>
        <v>0</v>
      </c>
      <c r="C13" t="s">
        <v>33</v>
      </c>
      <c r="D13" t="s">
        <v>159</v>
      </c>
      <c r="F13" t="s">
        <v>366</v>
      </c>
      <c r="G13" t="s">
        <v>444</v>
      </c>
      <c r="H13" t="s">
        <v>526</v>
      </c>
      <c r="I13" t="s">
        <v>527</v>
      </c>
      <c r="J13" s="1">
        <f>HYPERLINK("https://ec.europa.eu/info/funding-tenders/opportunities/portal/screen/how-to-participate/org-details/998295580", "998295580")</f>
        <v>0</v>
      </c>
      <c r="K13" t="s">
        <v>534</v>
      </c>
      <c r="L13" t="s">
        <v>563</v>
      </c>
      <c r="M13" t="s">
        <v>580</v>
      </c>
      <c r="O13" t="s">
        <v>583</v>
      </c>
      <c r="P13" t="s">
        <v>623</v>
      </c>
      <c r="Q13">
        <v>6</v>
      </c>
      <c r="R13" t="s">
        <v>698</v>
      </c>
      <c r="S13" s="2">
        <v>120180</v>
      </c>
    </row>
    <row r="14" spans="1:21">
      <c r="A14" t="s">
        <v>21</v>
      </c>
      <c r="B14" s="1">
        <f>HYPERLINK("https://cordis.europa.eu/project/id/269978", "269978")</f>
        <v>0</v>
      </c>
      <c r="C14" t="s">
        <v>34</v>
      </c>
      <c r="D14" t="s">
        <v>160</v>
      </c>
      <c r="F14" t="s">
        <v>367</v>
      </c>
      <c r="G14" t="s">
        <v>445</v>
      </c>
      <c r="H14" t="s">
        <v>526</v>
      </c>
      <c r="I14" t="s">
        <v>527</v>
      </c>
      <c r="J14" s="1">
        <f>HYPERLINK("https://ec.europa.eu/info/funding-tenders/opportunities/portal/screen/how-to-participate/org-details/999613131", "999613131")</f>
        <v>0</v>
      </c>
      <c r="K14" t="s">
        <v>528</v>
      </c>
      <c r="L14" t="s">
        <v>559</v>
      </c>
      <c r="M14" t="s">
        <v>578</v>
      </c>
      <c r="O14" t="s">
        <v>583</v>
      </c>
      <c r="P14" t="s">
        <v>624</v>
      </c>
      <c r="Q14">
        <v>17</v>
      </c>
      <c r="R14" t="s">
        <v>698</v>
      </c>
      <c r="S14" s="2">
        <v>210000</v>
      </c>
    </row>
    <row r="15" spans="1:21">
      <c r="A15" t="s">
        <v>21</v>
      </c>
      <c r="B15" s="1">
        <f>HYPERLINK("https://cordis.europa.eu/project/id/265919", "265919")</f>
        <v>0</v>
      </c>
      <c r="C15" t="s">
        <v>35</v>
      </c>
      <c r="D15" t="s">
        <v>161</v>
      </c>
      <c r="F15" t="s">
        <v>361</v>
      </c>
      <c r="G15" t="s">
        <v>446</v>
      </c>
      <c r="H15" t="s">
        <v>526</v>
      </c>
      <c r="I15" t="s">
        <v>527</v>
      </c>
      <c r="J15" s="1">
        <f>HYPERLINK("https://ec.europa.eu/info/funding-tenders/opportunities/portal/screen/how-to-participate/org-details/986399403", "986399403")</f>
        <v>0</v>
      </c>
      <c r="K15" t="s">
        <v>535</v>
      </c>
      <c r="L15" t="s">
        <v>564</v>
      </c>
      <c r="M15" t="s">
        <v>581</v>
      </c>
      <c r="O15" t="s">
        <v>588</v>
      </c>
      <c r="P15" t="s">
        <v>625</v>
      </c>
      <c r="Q15">
        <v>-5</v>
      </c>
      <c r="R15" t="s">
        <v>698</v>
      </c>
    </row>
    <row r="16" spans="1:21">
      <c r="A16" t="s">
        <v>21</v>
      </c>
      <c r="B16" s="1">
        <f>HYPERLINK("https://cordis.europa.eu/project/id/265919", "265919")</f>
        <v>0</v>
      </c>
      <c r="C16" t="s">
        <v>35</v>
      </c>
      <c r="D16" t="s">
        <v>161</v>
      </c>
      <c r="F16" t="s">
        <v>361</v>
      </c>
      <c r="G16" t="s">
        <v>446</v>
      </c>
      <c r="H16" t="s">
        <v>526</v>
      </c>
      <c r="I16" t="s">
        <v>527</v>
      </c>
      <c r="J16" s="1">
        <f>HYPERLINK("https://ec.europa.eu/info/funding-tenders/opportunities/portal/screen/how-to-participate/org-details/952857385", "952857385")</f>
        <v>0</v>
      </c>
      <c r="K16" t="s">
        <v>536</v>
      </c>
      <c r="L16" t="s">
        <v>565</v>
      </c>
      <c r="M16" t="s">
        <v>581</v>
      </c>
      <c r="O16" t="s">
        <v>588</v>
      </c>
      <c r="P16" t="s">
        <v>625</v>
      </c>
      <c r="Q16">
        <v>5</v>
      </c>
      <c r="R16" t="s">
        <v>698</v>
      </c>
      <c r="S16" s="2">
        <v>11449</v>
      </c>
    </row>
    <row r="17" spans="1:19">
      <c r="A17" t="s">
        <v>21</v>
      </c>
      <c r="B17" s="1">
        <f>HYPERLINK("https://cordis.europa.eu/project/id/291864", "291864")</f>
        <v>0</v>
      </c>
      <c r="C17" t="s">
        <v>36</v>
      </c>
      <c r="D17" t="s">
        <v>162</v>
      </c>
      <c r="F17" t="s">
        <v>368</v>
      </c>
      <c r="G17" t="s">
        <v>445</v>
      </c>
      <c r="H17" t="s">
        <v>526</v>
      </c>
      <c r="I17" t="s">
        <v>527</v>
      </c>
      <c r="J17" s="1">
        <f>HYPERLINK("https://ec.europa.eu/info/funding-tenders/opportunities/portal/screen/how-to-participate/org-details/986399403", "986399403")</f>
        <v>0</v>
      </c>
      <c r="K17" t="s">
        <v>535</v>
      </c>
      <c r="L17" t="s">
        <v>564</v>
      </c>
      <c r="M17" t="s">
        <v>581</v>
      </c>
      <c r="O17" t="s">
        <v>588</v>
      </c>
      <c r="P17" t="s">
        <v>626</v>
      </c>
      <c r="Q17">
        <v>-14</v>
      </c>
      <c r="R17" t="s">
        <v>698</v>
      </c>
    </row>
    <row r="18" spans="1:19">
      <c r="A18" t="s">
        <v>21</v>
      </c>
      <c r="B18" s="1">
        <f>HYPERLINK("https://cordis.europa.eu/project/id/291864", "291864")</f>
        <v>0</v>
      </c>
      <c r="C18" t="s">
        <v>36</v>
      </c>
      <c r="D18" t="s">
        <v>162</v>
      </c>
      <c r="F18" t="s">
        <v>368</v>
      </c>
      <c r="G18" t="s">
        <v>445</v>
      </c>
      <c r="H18" t="s">
        <v>526</v>
      </c>
      <c r="I18" t="s">
        <v>527</v>
      </c>
      <c r="J18" s="1">
        <f>HYPERLINK("https://ec.europa.eu/info/funding-tenders/opportunities/portal/screen/how-to-participate/org-details/952857385", "952857385")</f>
        <v>0</v>
      </c>
      <c r="K18" t="s">
        <v>536</v>
      </c>
      <c r="L18" t="s">
        <v>565</v>
      </c>
      <c r="M18" t="s">
        <v>581</v>
      </c>
      <c r="O18" t="s">
        <v>588</v>
      </c>
      <c r="P18" t="s">
        <v>626</v>
      </c>
      <c r="Q18">
        <v>14</v>
      </c>
      <c r="R18" t="s">
        <v>698</v>
      </c>
      <c r="S18" s="2">
        <v>16050</v>
      </c>
    </row>
    <row r="19" spans="1:19">
      <c r="A19" t="s">
        <v>21</v>
      </c>
      <c r="B19" s="1">
        <f>HYPERLINK("https://cordis.europa.eu/project/id/248505", "248505")</f>
        <v>0</v>
      </c>
      <c r="C19" t="s">
        <v>37</v>
      </c>
      <c r="D19" t="s">
        <v>163</v>
      </c>
      <c r="F19" t="s">
        <v>357</v>
      </c>
      <c r="G19" t="s">
        <v>447</v>
      </c>
      <c r="H19" t="s">
        <v>526</v>
      </c>
      <c r="I19" t="s">
        <v>527</v>
      </c>
      <c r="J19" s="1">
        <f>HYPERLINK("https://ec.europa.eu/info/funding-tenders/opportunities/portal/screen/how-to-participate/org-details/999873673", "999873673")</f>
        <v>0</v>
      </c>
      <c r="K19" t="s">
        <v>529</v>
      </c>
      <c r="M19" t="s">
        <v>578</v>
      </c>
      <c r="O19" t="s">
        <v>589</v>
      </c>
      <c r="P19" t="s">
        <v>614</v>
      </c>
      <c r="Q19">
        <v>6</v>
      </c>
      <c r="R19" t="s">
        <v>698</v>
      </c>
      <c r="S19" s="2">
        <v>61464</v>
      </c>
    </row>
    <row r="20" spans="1:19">
      <c r="A20" t="s">
        <v>21</v>
      </c>
      <c r="B20" s="1">
        <f>HYPERLINK("https://cordis.europa.eu/project/id/222623", "222623")</f>
        <v>0</v>
      </c>
      <c r="C20" t="s">
        <v>38</v>
      </c>
      <c r="D20" t="s">
        <v>164</v>
      </c>
      <c r="F20" t="s">
        <v>364</v>
      </c>
      <c r="G20" t="s">
        <v>448</v>
      </c>
      <c r="H20" t="s">
        <v>526</v>
      </c>
      <c r="I20" t="s">
        <v>527</v>
      </c>
      <c r="J20" s="1">
        <f>HYPERLINK("https://ec.europa.eu/info/funding-tenders/opportunities/portal/screen/how-to-participate/org-details/999851654", "999851654")</f>
        <v>0</v>
      </c>
      <c r="K20" t="s">
        <v>537</v>
      </c>
      <c r="M20" t="s">
        <v>578</v>
      </c>
      <c r="O20" t="s">
        <v>590</v>
      </c>
      <c r="P20" t="s">
        <v>627</v>
      </c>
      <c r="Q20">
        <v>19</v>
      </c>
      <c r="R20" t="s">
        <v>698</v>
      </c>
    </row>
    <row r="21" spans="1:19">
      <c r="A21" t="s">
        <v>21</v>
      </c>
      <c r="B21" s="1">
        <f>HYPERLINK("https://cordis.europa.eu/project/id/339993", "339993")</f>
        <v>0</v>
      </c>
      <c r="C21" t="s">
        <v>39</v>
      </c>
      <c r="D21" t="s">
        <v>165</v>
      </c>
      <c r="F21" t="s">
        <v>369</v>
      </c>
      <c r="G21" t="s">
        <v>449</v>
      </c>
      <c r="H21" t="s">
        <v>526</v>
      </c>
      <c r="I21" t="s">
        <v>527</v>
      </c>
      <c r="J21" s="1">
        <f>HYPERLINK("https://ec.europa.eu/info/funding-tenders/opportunities/portal/screen/how-to-participate/org-details/999613131", "999613131")</f>
        <v>0</v>
      </c>
      <c r="K21" t="s">
        <v>528</v>
      </c>
      <c r="L21" t="s">
        <v>559</v>
      </c>
      <c r="M21" t="s">
        <v>578</v>
      </c>
      <c r="O21" t="s">
        <v>591</v>
      </c>
      <c r="P21" t="s">
        <v>628</v>
      </c>
      <c r="Q21">
        <v>2</v>
      </c>
      <c r="R21" t="s">
        <v>698</v>
      </c>
      <c r="S21" s="2">
        <v>173928</v>
      </c>
    </row>
    <row r="22" spans="1:19">
      <c r="A22" t="s">
        <v>21</v>
      </c>
      <c r="B22" s="1">
        <f>HYPERLINK("https://cordis.europa.eu/project/id/305279", "305279")</f>
        <v>0</v>
      </c>
      <c r="C22" t="s">
        <v>40</v>
      </c>
      <c r="D22" t="s">
        <v>166</v>
      </c>
      <c r="F22" t="s">
        <v>366</v>
      </c>
      <c r="G22" t="s">
        <v>450</v>
      </c>
      <c r="H22" t="s">
        <v>526</v>
      </c>
      <c r="I22" t="s">
        <v>527</v>
      </c>
      <c r="J22" s="1">
        <f>HYPERLINK("https://ec.europa.eu/info/funding-tenders/opportunities/portal/screen/how-to-participate/org-details/998331567", "998331567")</f>
        <v>0</v>
      </c>
      <c r="K22" t="s">
        <v>531</v>
      </c>
      <c r="M22" t="s">
        <v>578</v>
      </c>
      <c r="O22" t="s">
        <v>585</v>
      </c>
      <c r="P22" t="s">
        <v>629</v>
      </c>
      <c r="Q22">
        <v>7</v>
      </c>
      <c r="R22" t="s">
        <v>698</v>
      </c>
      <c r="S22" s="2">
        <v>306828</v>
      </c>
    </row>
    <row r="23" spans="1:19">
      <c r="A23" t="s">
        <v>21</v>
      </c>
      <c r="B23" s="1">
        <f>HYPERLINK("https://cordis.europa.eu/project/id/613678", "613678")</f>
        <v>0</v>
      </c>
      <c r="C23" t="s">
        <v>41</v>
      </c>
      <c r="D23" t="s">
        <v>167</v>
      </c>
      <c r="F23" t="s">
        <v>370</v>
      </c>
      <c r="G23" t="s">
        <v>451</v>
      </c>
      <c r="H23" t="s">
        <v>526</v>
      </c>
      <c r="I23" t="s">
        <v>527</v>
      </c>
      <c r="J23" s="1">
        <f>HYPERLINK("https://ec.europa.eu/info/funding-tenders/opportunities/portal/screen/how-to-participate/org-details/998317211", "998317211")</f>
        <v>0</v>
      </c>
      <c r="K23" t="s">
        <v>538</v>
      </c>
      <c r="M23" t="s">
        <v>580</v>
      </c>
      <c r="O23" t="s">
        <v>592</v>
      </c>
      <c r="P23" t="s">
        <v>630</v>
      </c>
      <c r="Q23">
        <v>18</v>
      </c>
      <c r="R23" t="s">
        <v>698</v>
      </c>
    </row>
    <row r="24" spans="1:19">
      <c r="A24" t="s">
        <v>21</v>
      </c>
      <c r="B24" s="1">
        <f>HYPERLINK("https://cordis.europa.eu/project/id/212459", "212459")</f>
        <v>0</v>
      </c>
      <c r="C24" t="s">
        <v>42</v>
      </c>
      <c r="D24" t="s">
        <v>168</v>
      </c>
      <c r="F24" t="s">
        <v>371</v>
      </c>
      <c r="G24" t="s">
        <v>452</v>
      </c>
      <c r="H24" t="s">
        <v>526</v>
      </c>
      <c r="I24" t="s">
        <v>527</v>
      </c>
      <c r="J24" s="1">
        <f>HYPERLINK("https://ec.europa.eu/info/funding-tenders/opportunities/portal/screen/how-to-participate/org-details/999851654", "999851654")</f>
        <v>0</v>
      </c>
      <c r="K24" t="s">
        <v>537</v>
      </c>
      <c r="M24" t="s">
        <v>578</v>
      </c>
      <c r="O24" t="s">
        <v>585</v>
      </c>
      <c r="P24" t="s">
        <v>631</v>
      </c>
      <c r="Q24">
        <v>15</v>
      </c>
      <c r="R24" t="s">
        <v>698</v>
      </c>
    </row>
    <row r="25" spans="1:19">
      <c r="A25" t="s">
        <v>21</v>
      </c>
      <c r="B25" s="1">
        <f>HYPERLINK("https://cordis.europa.eu/project/id/312057", "312057")</f>
        <v>0</v>
      </c>
      <c r="C25" t="s">
        <v>43</v>
      </c>
      <c r="D25" t="s">
        <v>169</v>
      </c>
      <c r="F25" t="s">
        <v>372</v>
      </c>
      <c r="G25" t="s">
        <v>453</v>
      </c>
      <c r="H25" t="s">
        <v>526</v>
      </c>
      <c r="I25" t="s">
        <v>527</v>
      </c>
      <c r="J25" s="1">
        <f>HYPERLINK("https://ec.europa.eu/info/funding-tenders/opportunities/portal/screen/how-to-participate/org-details/999613131", "999613131")</f>
        <v>0</v>
      </c>
      <c r="K25" t="s">
        <v>528</v>
      </c>
      <c r="L25" t="s">
        <v>559</v>
      </c>
      <c r="M25" t="s">
        <v>578</v>
      </c>
      <c r="O25" t="s">
        <v>590</v>
      </c>
      <c r="P25" t="s">
        <v>632</v>
      </c>
      <c r="Q25">
        <v>14</v>
      </c>
      <c r="R25" t="s">
        <v>698</v>
      </c>
    </row>
    <row r="26" spans="1:19">
      <c r="A26" t="s">
        <v>21</v>
      </c>
      <c r="B26" s="1">
        <f>HYPERLINK("https://cordis.europa.eu/project/id/226482", "226482")</f>
        <v>0</v>
      </c>
      <c r="C26" t="s">
        <v>44</v>
      </c>
      <c r="D26" t="s">
        <v>170</v>
      </c>
      <c r="F26" t="s">
        <v>373</v>
      </c>
      <c r="G26" t="s">
        <v>454</v>
      </c>
      <c r="H26" t="s">
        <v>526</v>
      </c>
      <c r="I26" t="s">
        <v>527</v>
      </c>
      <c r="J26" s="1">
        <f>HYPERLINK("https://ec.europa.eu/info/funding-tenders/opportunities/portal/screen/how-to-participate/org-details/999851654", "999851654")</f>
        <v>0</v>
      </c>
      <c r="K26" t="s">
        <v>537</v>
      </c>
      <c r="M26" t="s">
        <v>578</v>
      </c>
      <c r="O26" t="s">
        <v>585</v>
      </c>
      <c r="P26" t="s">
        <v>620</v>
      </c>
      <c r="Q26">
        <v>16</v>
      </c>
      <c r="R26" t="s">
        <v>698</v>
      </c>
    </row>
    <row r="27" spans="1:19">
      <c r="A27" t="s">
        <v>21</v>
      </c>
      <c r="B27" s="1">
        <f>HYPERLINK("https://cordis.europa.eu/project/id/248502", "248502")</f>
        <v>0</v>
      </c>
      <c r="C27" t="s">
        <v>45</v>
      </c>
      <c r="D27" t="s">
        <v>171</v>
      </c>
      <c r="F27" t="s">
        <v>374</v>
      </c>
      <c r="G27" t="s">
        <v>455</v>
      </c>
      <c r="H27" t="s">
        <v>526</v>
      </c>
      <c r="I27" t="s">
        <v>527</v>
      </c>
      <c r="J27" s="1">
        <f>HYPERLINK("https://ec.europa.eu/info/funding-tenders/opportunities/portal/screen/how-to-participate/org-details/999613131", "999613131")</f>
        <v>0</v>
      </c>
      <c r="K27" t="s">
        <v>528</v>
      </c>
      <c r="L27" t="s">
        <v>559</v>
      </c>
      <c r="M27" t="s">
        <v>578</v>
      </c>
      <c r="O27" t="s">
        <v>583</v>
      </c>
      <c r="P27" t="s">
        <v>614</v>
      </c>
      <c r="Q27">
        <v>4</v>
      </c>
      <c r="R27" t="s">
        <v>698</v>
      </c>
      <c r="S27" s="2">
        <v>145539</v>
      </c>
    </row>
    <row r="28" spans="1:19">
      <c r="A28" t="s">
        <v>21</v>
      </c>
      <c r="B28" s="1">
        <f>HYPERLINK("https://cordis.europa.eu/project/id/285609", "285609")</f>
        <v>0</v>
      </c>
      <c r="C28" t="s">
        <v>46</v>
      </c>
      <c r="D28" t="s">
        <v>172</v>
      </c>
      <c r="F28" t="s">
        <v>375</v>
      </c>
      <c r="G28" t="s">
        <v>439</v>
      </c>
      <c r="H28" t="s">
        <v>526</v>
      </c>
      <c r="I28" t="s">
        <v>527</v>
      </c>
      <c r="J28" s="1">
        <f>HYPERLINK("https://ec.europa.eu/info/funding-tenders/opportunities/portal/screen/how-to-participate/org-details/999613131", "999613131")</f>
        <v>0</v>
      </c>
      <c r="K28" t="s">
        <v>528</v>
      </c>
      <c r="L28" t="s">
        <v>559</v>
      </c>
      <c r="M28" t="s">
        <v>578</v>
      </c>
      <c r="O28" t="s">
        <v>589</v>
      </c>
      <c r="P28" t="s">
        <v>633</v>
      </c>
      <c r="Q28">
        <v>17</v>
      </c>
      <c r="R28" t="s">
        <v>698</v>
      </c>
      <c r="S28" s="2">
        <v>0</v>
      </c>
    </row>
    <row r="29" spans="1:19">
      <c r="A29" t="s">
        <v>21</v>
      </c>
      <c r="B29" s="1">
        <f>HYPERLINK("https://cordis.europa.eu/project/id/602150", "602150")</f>
        <v>0</v>
      </c>
      <c r="C29" t="s">
        <v>47</v>
      </c>
      <c r="D29" t="s">
        <v>173</v>
      </c>
      <c r="F29" t="s">
        <v>376</v>
      </c>
      <c r="G29" t="s">
        <v>456</v>
      </c>
      <c r="H29" t="s">
        <v>526</v>
      </c>
      <c r="I29" t="s">
        <v>527</v>
      </c>
      <c r="J29" s="1">
        <f>HYPERLINK("https://ec.europa.eu/info/funding-tenders/opportunities/portal/screen/how-to-participate/org-details/985512435", "985512435")</f>
        <v>0</v>
      </c>
      <c r="K29" t="s">
        <v>539</v>
      </c>
      <c r="L29" t="s">
        <v>566</v>
      </c>
      <c r="M29" t="s">
        <v>578</v>
      </c>
      <c r="O29" t="s">
        <v>590</v>
      </c>
      <c r="P29" t="s">
        <v>634</v>
      </c>
      <c r="Q29">
        <v>34</v>
      </c>
      <c r="R29" t="s">
        <v>698</v>
      </c>
      <c r="S29" s="2">
        <v>25000</v>
      </c>
    </row>
    <row r="30" spans="1:19">
      <c r="A30" t="s">
        <v>21</v>
      </c>
      <c r="B30" s="1">
        <f>HYPERLINK("https://cordis.europa.eu/project/id/202112", "202112")</f>
        <v>0</v>
      </c>
      <c r="C30" t="s">
        <v>48</v>
      </c>
      <c r="D30" t="s">
        <v>174</v>
      </c>
      <c r="F30" t="s">
        <v>371</v>
      </c>
      <c r="G30" t="s">
        <v>457</v>
      </c>
      <c r="H30" t="s">
        <v>526</v>
      </c>
      <c r="I30" t="s">
        <v>527</v>
      </c>
      <c r="J30" s="1">
        <f>HYPERLINK("https://ec.europa.eu/info/funding-tenders/opportunities/portal/screen/how-to-participate/org-details/998770104", "998770104")</f>
        <v>0</v>
      </c>
      <c r="K30" t="s">
        <v>540</v>
      </c>
      <c r="L30" t="s">
        <v>567</v>
      </c>
      <c r="M30" t="s">
        <v>580</v>
      </c>
      <c r="O30" t="s">
        <v>588</v>
      </c>
      <c r="P30" t="s">
        <v>635</v>
      </c>
      <c r="Q30">
        <v>9</v>
      </c>
      <c r="R30" t="s">
        <v>698</v>
      </c>
      <c r="S30" s="2">
        <v>43000</v>
      </c>
    </row>
    <row r="31" spans="1:19">
      <c r="A31" t="s">
        <v>21</v>
      </c>
      <c r="B31" s="1">
        <f>HYPERLINK("https://cordis.europa.eu/project/id/312168", "312168")</f>
        <v>0</v>
      </c>
      <c r="C31" t="s">
        <v>49</v>
      </c>
      <c r="D31" t="s">
        <v>175</v>
      </c>
      <c r="F31" t="s">
        <v>377</v>
      </c>
      <c r="G31" t="s">
        <v>444</v>
      </c>
      <c r="H31" t="s">
        <v>526</v>
      </c>
      <c r="I31" t="s">
        <v>527</v>
      </c>
      <c r="J31" s="1">
        <f>HYPERLINK("https://ec.europa.eu/info/funding-tenders/opportunities/portal/screen/how-to-participate/org-details/997164075", "997164075")</f>
        <v>0</v>
      </c>
      <c r="K31" t="s">
        <v>541</v>
      </c>
      <c r="L31" t="s">
        <v>568</v>
      </c>
      <c r="M31" t="s">
        <v>582</v>
      </c>
      <c r="O31" t="s">
        <v>584</v>
      </c>
      <c r="P31" t="s">
        <v>636</v>
      </c>
      <c r="Q31">
        <v>1</v>
      </c>
      <c r="R31" t="s">
        <v>699</v>
      </c>
      <c r="S31" s="2">
        <v>686164</v>
      </c>
    </row>
    <row r="32" spans="1:19">
      <c r="A32" t="s">
        <v>21</v>
      </c>
      <c r="B32" s="1">
        <f>HYPERLINK("https://cordis.europa.eu/project/id/312168", "312168")</f>
        <v>0</v>
      </c>
      <c r="C32" t="s">
        <v>49</v>
      </c>
      <c r="D32" t="s">
        <v>175</v>
      </c>
      <c r="F32" t="s">
        <v>377</v>
      </c>
      <c r="G32" t="s">
        <v>444</v>
      </c>
      <c r="H32" t="s">
        <v>526</v>
      </c>
      <c r="I32" t="s">
        <v>527</v>
      </c>
      <c r="J32" s="1">
        <f>HYPERLINK("https://ec.europa.eu/info/funding-tenders/opportunities/portal/screen/how-to-participate/org-details/952857385", "952857385")</f>
        <v>0</v>
      </c>
      <c r="K32" t="s">
        <v>536</v>
      </c>
      <c r="L32" t="s">
        <v>565</v>
      </c>
      <c r="M32" t="s">
        <v>581</v>
      </c>
      <c r="O32" t="s">
        <v>584</v>
      </c>
      <c r="P32" t="s">
        <v>636</v>
      </c>
      <c r="Q32">
        <v>2</v>
      </c>
      <c r="R32" t="s">
        <v>698</v>
      </c>
    </row>
    <row r="33" spans="1:21">
      <c r="A33" t="s">
        <v>21</v>
      </c>
      <c r="B33" s="1">
        <f>HYPERLINK("https://cordis.europa.eu/project/id/312168", "312168")</f>
        <v>0</v>
      </c>
      <c r="C33" t="s">
        <v>49</v>
      </c>
      <c r="D33" t="s">
        <v>175</v>
      </c>
      <c r="F33" t="s">
        <v>377</v>
      </c>
      <c r="G33" t="s">
        <v>444</v>
      </c>
      <c r="H33" t="s">
        <v>526</v>
      </c>
      <c r="I33" t="s">
        <v>527</v>
      </c>
      <c r="J33" s="1">
        <f>HYPERLINK("https://ec.europa.eu/info/funding-tenders/opportunities/portal/screen/how-to-participate/org-details/989758028", "989758028")</f>
        <v>0</v>
      </c>
      <c r="K33" t="s">
        <v>542</v>
      </c>
      <c r="L33" t="s">
        <v>569</v>
      </c>
      <c r="M33" t="s">
        <v>579</v>
      </c>
      <c r="O33" t="s">
        <v>584</v>
      </c>
      <c r="P33" t="s">
        <v>636</v>
      </c>
      <c r="Q33">
        <v>3</v>
      </c>
      <c r="R33" t="s">
        <v>698</v>
      </c>
      <c r="S33" s="2">
        <v>202112</v>
      </c>
    </row>
    <row r="34" spans="1:21">
      <c r="A34" t="s">
        <v>21</v>
      </c>
      <c r="B34" s="1">
        <f>HYPERLINK("https://cordis.europa.eu/project/id/288136", "288136")</f>
        <v>0</v>
      </c>
      <c r="C34" t="s">
        <v>50</v>
      </c>
      <c r="D34" t="s">
        <v>176</v>
      </c>
      <c r="F34" t="s">
        <v>378</v>
      </c>
      <c r="G34" t="s">
        <v>458</v>
      </c>
      <c r="H34" t="s">
        <v>526</v>
      </c>
      <c r="I34" t="s">
        <v>527</v>
      </c>
      <c r="J34" s="1">
        <f>HYPERLINK("https://ec.europa.eu/info/funding-tenders/opportunities/portal/screen/how-to-participate/org-details/999613131", "999613131")</f>
        <v>0</v>
      </c>
      <c r="K34" t="s">
        <v>528</v>
      </c>
      <c r="L34" t="s">
        <v>559</v>
      </c>
      <c r="M34" t="s">
        <v>578</v>
      </c>
      <c r="O34" t="s">
        <v>589</v>
      </c>
      <c r="P34" t="s">
        <v>637</v>
      </c>
      <c r="Q34">
        <v>13</v>
      </c>
      <c r="R34" t="s">
        <v>698</v>
      </c>
      <c r="S34" s="2">
        <v>0</v>
      </c>
    </row>
    <row r="35" spans="1:21">
      <c r="A35" t="s">
        <v>21</v>
      </c>
      <c r="B35" s="1">
        <f>HYPERLINK("https://cordis.europa.eu/project/id/289511", "289511")</f>
        <v>0</v>
      </c>
      <c r="C35" t="s">
        <v>51</v>
      </c>
      <c r="D35" t="s">
        <v>177</v>
      </c>
      <c r="F35" t="s">
        <v>379</v>
      </c>
      <c r="G35" t="s">
        <v>459</v>
      </c>
      <c r="H35" t="s">
        <v>526</v>
      </c>
      <c r="I35" t="s">
        <v>527</v>
      </c>
      <c r="J35" s="1">
        <f>HYPERLINK("https://ec.europa.eu/info/funding-tenders/opportunities/portal/screen/how-to-participate/org-details/999613131", "999613131")</f>
        <v>0</v>
      </c>
      <c r="K35" t="s">
        <v>528</v>
      </c>
      <c r="L35" t="s">
        <v>559</v>
      </c>
      <c r="M35" t="s">
        <v>578</v>
      </c>
      <c r="O35" t="s">
        <v>590</v>
      </c>
      <c r="P35" t="s">
        <v>638</v>
      </c>
      <c r="Q35">
        <v>21</v>
      </c>
      <c r="R35" t="s">
        <v>698</v>
      </c>
    </row>
    <row r="36" spans="1:21">
      <c r="A36" t="s">
        <v>21</v>
      </c>
      <c r="B36" s="1">
        <f>HYPERLINK("https://cordis.europa.eu/project/id/202020", "202020")</f>
        <v>0</v>
      </c>
      <c r="C36" t="s">
        <v>52</v>
      </c>
      <c r="D36" t="s">
        <v>178</v>
      </c>
      <c r="F36" t="s">
        <v>380</v>
      </c>
      <c r="G36" t="s">
        <v>452</v>
      </c>
      <c r="H36" t="s">
        <v>526</v>
      </c>
      <c r="I36" t="s">
        <v>527</v>
      </c>
      <c r="J36" s="1">
        <f>HYPERLINK("https://ec.europa.eu/info/funding-tenders/opportunities/portal/screen/how-to-participate/org-details/999613131", "999613131")</f>
        <v>0</v>
      </c>
      <c r="K36" t="s">
        <v>528</v>
      </c>
      <c r="L36" t="s">
        <v>559</v>
      </c>
      <c r="M36" t="s">
        <v>578</v>
      </c>
      <c r="O36" t="s">
        <v>585</v>
      </c>
      <c r="P36" t="s">
        <v>635</v>
      </c>
      <c r="Q36">
        <v>12</v>
      </c>
      <c r="R36" t="s">
        <v>698</v>
      </c>
      <c r="S36" s="2">
        <v>107463</v>
      </c>
    </row>
    <row r="37" spans="1:21">
      <c r="A37" t="s">
        <v>21</v>
      </c>
      <c r="B37" s="1">
        <f>HYPERLINK("https://cordis.europa.eu/project/id/223920", "223920")</f>
        <v>0</v>
      </c>
      <c r="C37" t="s">
        <v>53</v>
      </c>
      <c r="D37" t="s">
        <v>179</v>
      </c>
      <c r="F37" t="s">
        <v>380</v>
      </c>
      <c r="G37" t="s">
        <v>460</v>
      </c>
      <c r="H37" t="s">
        <v>526</v>
      </c>
      <c r="I37" t="s">
        <v>527</v>
      </c>
      <c r="J37" s="1">
        <f>HYPERLINK("https://ec.europa.eu/info/funding-tenders/opportunities/portal/screen/how-to-participate/org-details/999613131", "999613131")</f>
        <v>0</v>
      </c>
      <c r="K37" t="s">
        <v>528</v>
      </c>
      <c r="L37" t="s">
        <v>559</v>
      </c>
      <c r="M37" t="s">
        <v>578</v>
      </c>
      <c r="O37" t="s">
        <v>593</v>
      </c>
      <c r="P37" t="s">
        <v>639</v>
      </c>
      <c r="Q37">
        <v>11</v>
      </c>
      <c r="R37" t="s">
        <v>698</v>
      </c>
      <c r="S37" s="2">
        <v>398296</v>
      </c>
    </row>
    <row r="38" spans="1:21">
      <c r="A38" t="s">
        <v>21</v>
      </c>
      <c r="B38" s="1">
        <f>HYPERLINK("https://cordis.europa.eu/project/id/312184", "312184")</f>
        <v>0</v>
      </c>
      <c r="C38" t="s">
        <v>54</v>
      </c>
      <c r="D38" t="s">
        <v>180</v>
      </c>
      <c r="F38" t="s">
        <v>381</v>
      </c>
      <c r="G38" t="s">
        <v>461</v>
      </c>
      <c r="H38" t="s">
        <v>526</v>
      </c>
      <c r="I38" t="s">
        <v>527</v>
      </c>
      <c r="J38" s="1">
        <f>HYPERLINK("https://ec.europa.eu/info/funding-tenders/opportunities/portal/screen/how-to-participate/org-details/966956432", "966956432")</f>
        <v>0</v>
      </c>
      <c r="K38" t="s">
        <v>543</v>
      </c>
      <c r="L38" t="s">
        <v>543</v>
      </c>
      <c r="M38" t="s">
        <v>578</v>
      </c>
      <c r="O38" t="s">
        <v>592</v>
      </c>
      <c r="P38" t="s">
        <v>632</v>
      </c>
      <c r="Q38">
        <v>24</v>
      </c>
      <c r="R38" t="s">
        <v>698</v>
      </c>
    </row>
    <row r="39" spans="1:21">
      <c r="A39" t="s">
        <v>21</v>
      </c>
      <c r="B39" s="1">
        <f>HYPERLINK("https://cordis.europa.eu/project/id/211638", "211638")</f>
        <v>0</v>
      </c>
      <c r="C39" t="s">
        <v>55</v>
      </c>
      <c r="D39" t="s">
        <v>181</v>
      </c>
      <c r="F39" t="s">
        <v>382</v>
      </c>
      <c r="G39" t="s">
        <v>462</v>
      </c>
      <c r="H39" t="s">
        <v>526</v>
      </c>
      <c r="I39" t="s">
        <v>527</v>
      </c>
      <c r="J39" s="1">
        <f>HYPERLINK("https://ec.europa.eu/info/funding-tenders/opportunities/portal/screen/how-to-participate/org-details/998811717", "998811717")</f>
        <v>0</v>
      </c>
      <c r="K39" t="s">
        <v>544</v>
      </c>
      <c r="L39" t="s">
        <v>570</v>
      </c>
      <c r="M39" t="s">
        <v>580</v>
      </c>
      <c r="O39" t="s">
        <v>585</v>
      </c>
      <c r="P39" t="s">
        <v>631</v>
      </c>
      <c r="Q39">
        <v>7</v>
      </c>
      <c r="R39" t="s">
        <v>698</v>
      </c>
      <c r="S39" s="2">
        <v>25000</v>
      </c>
    </row>
    <row r="40" spans="1:21">
      <c r="A40" t="s">
        <v>21</v>
      </c>
      <c r="B40" s="1">
        <f>HYPERLINK("https://cordis.europa.eu/project/id/279233", "279233")</f>
        <v>0</v>
      </c>
      <c r="C40" t="s">
        <v>56</v>
      </c>
      <c r="D40" t="s">
        <v>182</v>
      </c>
      <c r="F40" t="s">
        <v>379</v>
      </c>
      <c r="G40" t="s">
        <v>463</v>
      </c>
      <c r="H40" t="s">
        <v>526</v>
      </c>
      <c r="I40" t="s">
        <v>527</v>
      </c>
      <c r="J40" s="1">
        <f>HYPERLINK("https://ec.europa.eu/info/funding-tenders/opportunities/portal/screen/how-to-participate/org-details/999613131", "999613131")</f>
        <v>0</v>
      </c>
      <c r="K40" t="s">
        <v>528</v>
      </c>
      <c r="L40" t="s">
        <v>559</v>
      </c>
      <c r="M40" t="s">
        <v>578</v>
      </c>
      <c r="O40" t="s">
        <v>585</v>
      </c>
      <c r="P40" t="s">
        <v>640</v>
      </c>
      <c r="Q40">
        <v>25</v>
      </c>
      <c r="R40" t="s">
        <v>698</v>
      </c>
    </row>
    <row r="41" spans="1:21">
      <c r="A41" t="s">
        <v>21</v>
      </c>
      <c r="B41" s="1">
        <f>HYPERLINK("https://cordis.europa.eu/project/id/305564", "305564")</f>
        <v>0</v>
      </c>
      <c r="C41" t="s">
        <v>57</v>
      </c>
      <c r="D41" t="s">
        <v>183</v>
      </c>
      <c r="F41" t="s">
        <v>383</v>
      </c>
      <c r="G41" t="s">
        <v>464</v>
      </c>
      <c r="H41" t="s">
        <v>526</v>
      </c>
      <c r="I41" t="s">
        <v>527</v>
      </c>
      <c r="J41" s="1">
        <f>HYPERLINK("https://ec.europa.eu/info/funding-tenders/opportunities/portal/screen/how-to-participate/org-details/999613131", "999613131")</f>
        <v>0</v>
      </c>
      <c r="K41" t="s">
        <v>528</v>
      </c>
      <c r="L41" t="s">
        <v>559</v>
      </c>
      <c r="M41" t="s">
        <v>578</v>
      </c>
      <c r="O41" t="s">
        <v>590</v>
      </c>
      <c r="P41" t="s">
        <v>629</v>
      </c>
      <c r="Q41">
        <v>11</v>
      </c>
      <c r="R41" t="s">
        <v>698</v>
      </c>
      <c r="S41" s="2">
        <v>18000</v>
      </c>
    </row>
    <row r="42" spans="1:21">
      <c r="A42" t="s">
        <v>21</v>
      </c>
      <c r="B42" s="1">
        <f>HYPERLINK("https://cordis.europa.eu/project/id/613979", "613979")</f>
        <v>0</v>
      </c>
      <c r="C42" t="s">
        <v>58</v>
      </c>
      <c r="D42" t="s">
        <v>184</v>
      </c>
      <c r="F42" t="s">
        <v>384</v>
      </c>
      <c r="G42" t="s">
        <v>465</v>
      </c>
      <c r="H42" t="s">
        <v>526</v>
      </c>
      <c r="I42" t="s">
        <v>527</v>
      </c>
      <c r="J42" s="1">
        <f>HYPERLINK("https://ec.europa.eu/info/funding-tenders/opportunities/portal/screen/how-to-participate/org-details/999613131", "999613131")</f>
        <v>0</v>
      </c>
      <c r="K42" t="s">
        <v>528</v>
      </c>
      <c r="L42" t="s">
        <v>559</v>
      </c>
      <c r="M42" t="s">
        <v>578</v>
      </c>
      <c r="O42" t="s">
        <v>590</v>
      </c>
      <c r="P42" t="s">
        <v>630</v>
      </c>
      <c r="Q42">
        <v>29</v>
      </c>
      <c r="R42" t="s">
        <v>698</v>
      </c>
    </row>
    <row r="43" spans="1:21">
      <c r="A43" t="s">
        <v>22</v>
      </c>
      <c r="B43" s="1">
        <f>HYPERLINK("https://cordis.europa.eu/project/id/748625", "748625")</f>
        <v>0</v>
      </c>
      <c r="C43" t="s">
        <v>59</v>
      </c>
      <c r="D43" t="s">
        <v>185</v>
      </c>
      <c r="E43" t="s">
        <v>276</v>
      </c>
      <c r="F43" t="s">
        <v>385</v>
      </c>
      <c r="G43" t="s">
        <v>466</v>
      </c>
      <c r="H43" t="s">
        <v>526</v>
      </c>
      <c r="I43" t="s">
        <v>527</v>
      </c>
      <c r="J43" s="1">
        <f>HYPERLINK("https://ec.europa.eu/info/funding-tenders/opportunities/portal/screen/how-to-participate/org-details/998331567", "998331567")</f>
        <v>0</v>
      </c>
      <c r="K43" t="s">
        <v>531</v>
      </c>
      <c r="M43" t="s">
        <v>578</v>
      </c>
      <c r="N43" t="b">
        <v>0</v>
      </c>
      <c r="O43" t="s">
        <v>594</v>
      </c>
      <c r="P43" t="s">
        <v>641</v>
      </c>
      <c r="Q43">
        <v>2</v>
      </c>
      <c r="R43" t="s">
        <v>700</v>
      </c>
      <c r="T43" s="2">
        <v>0</v>
      </c>
    </row>
    <row r="44" spans="1:21">
      <c r="A44" t="s">
        <v>22</v>
      </c>
      <c r="B44" s="1">
        <f>HYPERLINK("https://cordis.europa.eu/project/id/792773", "792773")</f>
        <v>0</v>
      </c>
      <c r="C44" t="s">
        <v>60</v>
      </c>
      <c r="D44" t="s">
        <v>186</v>
      </c>
      <c r="E44" t="s">
        <v>277</v>
      </c>
      <c r="F44" t="s">
        <v>386</v>
      </c>
      <c r="G44" t="s">
        <v>467</v>
      </c>
      <c r="H44" t="s">
        <v>526</v>
      </c>
      <c r="I44" t="s">
        <v>527</v>
      </c>
      <c r="J44" s="1">
        <f>HYPERLINK("https://ec.europa.eu/info/funding-tenders/opportunities/portal/screen/how-to-participate/org-details/998295580", "998295580")</f>
        <v>0</v>
      </c>
      <c r="K44" t="s">
        <v>534</v>
      </c>
      <c r="L44" t="s">
        <v>563</v>
      </c>
      <c r="M44" t="s">
        <v>580</v>
      </c>
      <c r="N44" t="b">
        <v>0</v>
      </c>
      <c r="O44" t="s">
        <v>595</v>
      </c>
      <c r="P44" t="s">
        <v>642</v>
      </c>
      <c r="Q44">
        <v>2</v>
      </c>
      <c r="R44" t="s">
        <v>700</v>
      </c>
      <c r="T44" s="2">
        <v>0</v>
      </c>
    </row>
    <row r="45" spans="1:21">
      <c r="A45" t="s">
        <v>22</v>
      </c>
      <c r="B45" s="1">
        <f>HYPERLINK("https://cordis.europa.eu/project/id/706754", "706754")</f>
        <v>0</v>
      </c>
      <c r="C45" t="s">
        <v>61</v>
      </c>
      <c r="D45" t="s">
        <v>187</v>
      </c>
      <c r="E45" t="s">
        <v>278</v>
      </c>
      <c r="F45" t="s">
        <v>387</v>
      </c>
      <c r="G45" t="s">
        <v>468</v>
      </c>
      <c r="H45" t="s">
        <v>526</v>
      </c>
      <c r="I45" t="s">
        <v>527</v>
      </c>
      <c r="J45" s="1">
        <f>HYPERLINK("https://ec.europa.eu/info/funding-tenders/opportunities/portal/screen/how-to-participate/org-details/999613131", "999613131")</f>
        <v>0</v>
      </c>
      <c r="K45" t="s">
        <v>528</v>
      </c>
      <c r="L45" t="s">
        <v>559</v>
      </c>
      <c r="M45" t="s">
        <v>578</v>
      </c>
      <c r="N45" t="b">
        <v>0</v>
      </c>
      <c r="O45" t="s">
        <v>594</v>
      </c>
      <c r="P45" t="s">
        <v>643</v>
      </c>
      <c r="Q45">
        <v>2</v>
      </c>
      <c r="R45" t="s">
        <v>700</v>
      </c>
      <c r="T45" s="2">
        <v>0</v>
      </c>
    </row>
    <row r="46" spans="1:21">
      <c r="A46" t="s">
        <v>22</v>
      </c>
      <c r="B46" s="1">
        <f>HYPERLINK("https://cordis.europa.eu/project/id/842817", "842817")</f>
        <v>0</v>
      </c>
      <c r="C46" t="s">
        <v>62</v>
      </c>
      <c r="D46" t="s">
        <v>188</v>
      </c>
      <c r="E46" t="s">
        <v>279</v>
      </c>
      <c r="F46" t="s">
        <v>388</v>
      </c>
      <c r="G46" t="s">
        <v>469</v>
      </c>
      <c r="H46" t="s">
        <v>526</v>
      </c>
      <c r="I46" t="s">
        <v>527</v>
      </c>
      <c r="J46" s="1">
        <f>HYPERLINK("https://ec.europa.eu/info/funding-tenders/opportunities/portal/screen/how-to-participate/org-details/998331567", "998331567")</f>
        <v>0</v>
      </c>
      <c r="K46" t="s">
        <v>531</v>
      </c>
      <c r="M46" t="s">
        <v>578</v>
      </c>
      <c r="N46" t="b">
        <v>0</v>
      </c>
      <c r="O46" t="s">
        <v>594</v>
      </c>
      <c r="P46" t="s">
        <v>644</v>
      </c>
      <c r="Q46">
        <v>2</v>
      </c>
      <c r="R46" t="s">
        <v>700</v>
      </c>
      <c r="T46" s="2">
        <v>0</v>
      </c>
    </row>
    <row r="47" spans="1:21">
      <c r="A47" t="s">
        <v>22</v>
      </c>
      <c r="B47" s="1">
        <f>HYPERLINK("https://cordis.europa.eu/project/id/692739", "692739")</f>
        <v>0</v>
      </c>
      <c r="C47" t="s">
        <v>63</v>
      </c>
      <c r="D47" t="s">
        <v>189</v>
      </c>
      <c r="E47" t="s">
        <v>280</v>
      </c>
      <c r="F47" t="s">
        <v>389</v>
      </c>
      <c r="G47" t="s">
        <v>470</v>
      </c>
      <c r="H47" t="s">
        <v>526</v>
      </c>
      <c r="I47" t="s">
        <v>527</v>
      </c>
      <c r="J47" s="1">
        <f>HYPERLINK("https://ec.europa.eu/info/funding-tenders/opportunities/portal/screen/how-to-participate/org-details/998295580", "998295580")</f>
        <v>0</v>
      </c>
      <c r="K47" t="s">
        <v>534</v>
      </c>
      <c r="L47" t="s">
        <v>563</v>
      </c>
      <c r="M47" t="s">
        <v>580</v>
      </c>
      <c r="N47" t="b">
        <v>0</v>
      </c>
      <c r="O47" t="s">
        <v>596</v>
      </c>
      <c r="P47" t="s">
        <v>645</v>
      </c>
      <c r="Q47">
        <v>3</v>
      </c>
      <c r="R47" t="s">
        <v>698</v>
      </c>
      <c r="S47" s="2">
        <v>50277.5</v>
      </c>
      <c r="T47" s="2">
        <v>50277.5</v>
      </c>
    </row>
    <row r="48" spans="1:21">
      <c r="A48" t="s">
        <v>22</v>
      </c>
      <c r="B48" s="1">
        <f>HYPERLINK("https://cordis.europa.eu/project/id/687794", "687794")</f>
        <v>0</v>
      </c>
      <c r="C48" t="s">
        <v>64</v>
      </c>
      <c r="D48" t="s">
        <v>190</v>
      </c>
      <c r="E48" t="s">
        <v>281</v>
      </c>
      <c r="F48" t="s">
        <v>390</v>
      </c>
      <c r="G48" t="s">
        <v>471</v>
      </c>
      <c r="H48" t="s">
        <v>526</v>
      </c>
      <c r="I48" t="s">
        <v>527</v>
      </c>
      <c r="J48" s="1">
        <f>HYPERLINK("https://ec.europa.eu/info/funding-tenders/opportunities/portal/screen/how-to-participate/org-details/984830428", "984830428")</f>
        <v>0</v>
      </c>
      <c r="K48" t="s">
        <v>545</v>
      </c>
      <c r="M48" t="s">
        <v>579</v>
      </c>
      <c r="N48" t="b">
        <v>0</v>
      </c>
      <c r="O48" t="s">
        <v>589</v>
      </c>
      <c r="P48" t="s">
        <v>646</v>
      </c>
      <c r="Q48">
        <v>4</v>
      </c>
      <c r="R48" t="s">
        <v>698</v>
      </c>
      <c r="S48" s="2">
        <v>59125</v>
      </c>
      <c r="T48" s="2">
        <v>59125</v>
      </c>
      <c r="U48" s="2">
        <v>156625</v>
      </c>
    </row>
    <row r="49" spans="1:21">
      <c r="A49" t="s">
        <v>22</v>
      </c>
      <c r="B49" s="1">
        <f>HYPERLINK("https://cordis.europa.eu/project/id/687794", "687794")</f>
        <v>0</v>
      </c>
      <c r="C49" t="s">
        <v>64</v>
      </c>
      <c r="D49" t="s">
        <v>190</v>
      </c>
      <c r="E49" t="s">
        <v>281</v>
      </c>
      <c r="F49" t="s">
        <v>390</v>
      </c>
      <c r="G49" t="s">
        <v>471</v>
      </c>
      <c r="H49" t="s">
        <v>526</v>
      </c>
      <c r="I49" t="s">
        <v>527</v>
      </c>
      <c r="J49" s="1">
        <f>HYPERLINK("https://ec.europa.eu/info/funding-tenders/opportunities/portal/screen/how-to-participate/org-details/999873673", "999873673")</f>
        <v>0</v>
      </c>
      <c r="K49" t="s">
        <v>529</v>
      </c>
      <c r="M49" t="s">
        <v>578</v>
      </c>
      <c r="N49" t="b">
        <v>0</v>
      </c>
      <c r="O49" t="s">
        <v>589</v>
      </c>
      <c r="P49" t="s">
        <v>646</v>
      </c>
      <c r="Q49">
        <v>5</v>
      </c>
      <c r="R49" t="s">
        <v>698</v>
      </c>
      <c r="S49" s="2">
        <v>20000</v>
      </c>
      <c r="T49" s="2">
        <v>20000</v>
      </c>
      <c r="U49" s="2">
        <v>110000</v>
      </c>
    </row>
    <row r="50" spans="1:21">
      <c r="A50" t="s">
        <v>22</v>
      </c>
      <c r="B50" s="1">
        <f>HYPERLINK("https://cordis.europa.eu/project/id/788812", "788812")</f>
        <v>0</v>
      </c>
      <c r="C50" t="s">
        <v>65</v>
      </c>
      <c r="D50" t="s">
        <v>191</v>
      </c>
      <c r="E50" t="s">
        <v>282</v>
      </c>
      <c r="F50" t="s">
        <v>391</v>
      </c>
      <c r="G50" t="s">
        <v>472</v>
      </c>
      <c r="H50" t="s">
        <v>526</v>
      </c>
      <c r="I50" t="s">
        <v>527</v>
      </c>
      <c r="J50" s="1">
        <f>HYPERLINK("https://ec.europa.eu/info/funding-tenders/opportunities/portal/screen/how-to-participate/org-details/999613131", "999613131")</f>
        <v>0</v>
      </c>
      <c r="K50" t="s">
        <v>528</v>
      </c>
      <c r="L50" t="s">
        <v>559</v>
      </c>
      <c r="M50" t="s">
        <v>578</v>
      </c>
      <c r="N50" t="b">
        <v>0</v>
      </c>
      <c r="O50" t="s">
        <v>596</v>
      </c>
      <c r="P50" t="s">
        <v>647</v>
      </c>
      <c r="Q50">
        <v>2</v>
      </c>
      <c r="R50" t="s">
        <v>698</v>
      </c>
      <c r="S50" s="2">
        <v>365000</v>
      </c>
      <c r="T50" s="2">
        <v>365000</v>
      </c>
      <c r="U50" s="2">
        <v>365000</v>
      </c>
    </row>
    <row r="51" spans="1:21">
      <c r="A51" t="s">
        <v>22</v>
      </c>
      <c r="B51" s="1">
        <f>HYPERLINK("https://cordis.europa.eu/project/id/804150", "804150")</f>
        <v>0</v>
      </c>
      <c r="C51" t="s">
        <v>66</v>
      </c>
      <c r="D51" t="s">
        <v>192</v>
      </c>
      <c r="E51" t="s">
        <v>283</v>
      </c>
      <c r="F51" t="s">
        <v>391</v>
      </c>
      <c r="G51" t="s">
        <v>473</v>
      </c>
      <c r="H51" t="s">
        <v>526</v>
      </c>
      <c r="I51" t="s">
        <v>527</v>
      </c>
      <c r="J51" s="1">
        <f>HYPERLINK("https://ec.europa.eu/info/funding-tenders/opportunities/portal/screen/how-to-participate/org-details/992582086", "992582086")</f>
        <v>0</v>
      </c>
      <c r="K51" t="s">
        <v>532</v>
      </c>
      <c r="L51" t="s">
        <v>561</v>
      </c>
      <c r="M51" t="s">
        <v>578</v>
      </c>
      <c r="N51" t="b">
        <v>0</v>
      </c>
      <c r="O51" t="s">
        <v>597</v>
      </c>
      <c r="P51" t="s">
        <v>648</v>
      </c>
      <c r="Q51">
        <v>2</v>
      </c>
      <c r="R51" t="s">
        <v>698</v>
      </c>
      <c r="S51" s="2">
        <v>405405</v>
      </c>
      <c r="T51" s="2">
        <v>405405</v>
      </c>
      <c r="U51" s="2">
        <v>405405</v>
      </c>
    </row>
    <row r="52" spans="1:21">
      <c r="A52" t="s">
        <v>22</v>
      </c>
      <c r="B52" s="1">
        <f>HYPERLINK("https://cordis.europa.eu/project/id/893040", "893040")</f>
        <v>0</v>
      </c>
      <c r="C52" t="s">
        <v>67</v>
      </c>
      <c r="D52" t="s">
        <v>193</v>
      </c>
      <c r="E52" t="s">
        <v>284</v>
      </c>
      <c r="F52" t="s">
        <v>392</v>
      </c>
      <c r="G52" t="s">
        <v>474</v>
      </c>
      <c r="H52" t="s">
        <v>526</v>
      </c>
      <c r="I52" t="s">
        <v>527</v>
      </c>
      <c r="J52" s="1">
        <f>HYPERLINK("https://ec.europa.eu/info/funding-tenders/opportunities/portal/screen/how-to-participate/org-details/991108074", "991108074")</f>
        <v>0</v>
      </c>
      <c r="K52" t="s">
        <v>546</v>
      </c>
      <c r="L52" t="s">
        <v>571</v>
      </c>
      <c r="M52" t="s">
        <v>579</v>
      </c>
      <c r="N52" t="b">
        <v>0</v>
      </c>
      <c r="O52" t="s">
        <v>595</v>
      </c>
      <c r="P52" t="s">
        <v>649</v>
      </c>
      <c r="Q52">
        <v>2</v>
      </c>
      <c r="R52" t="s">
        <v>700</v>
      </c>
      <c r="T52" s="2">
        <v>0</v>
      </c>
    </row>
    <row r="53" spans="1:21">
      <c r="A53" t="s">
        <v>22</v>
      </c>
      <c r="B53" s="1">
        <f>HYPERLINK("https://cordis.europa.eu/project/id/778360", "778360")</f>
        <v>0</v>
      </c>
      <c r="C53" t="s">
        <v>68</v>
      </c>
      <c r="D53" t="s">
        <v>194</v>
      </c>
      <c r="E53" t="s">
        <v>285</v>
      </c>
      <c r="F53" t="s">
        <v>393</v>
      </c>
      <c r="G53" t="s">
        <v>475</v>
      </c>
      <c r="H53" t="s">
        <v>526</v>
      </c>
      <c r="I53" t="s">
        <v>527</v>
      </c>
      <c r="J53" s="1">
        <f>HYPERLINK("https://ec.europa.eu/info/funding-tenders/opportunities/portal/screen/how-to-participate/org-details/999613131", "999613131")</f>
        <v>0</v>
      </c>
      <c r="K53" t="s">
        <v>528</v>
      </c>
      <c r="L53" t="s">
        <v>559</v>
      </c>
      <c r="M53" t="s">
        <v>578</v>
      </c>
      <c r="N53" t="b">
        <v>0</v>
      </c>
      <c r="O53" t="s">
        <v>598</v>
      </c>
      <c r="P53" t="s">
        <v>650</v>
      </c>
      <c r="Q53">
        <v>16</v>
      </c>
      <c r="R53" t="s">
        <v>700</v>
      </c>
      <c r="T53" s="2">
        <v>0</v>
      </c>
      <c r="U53" s="2">
        <v>76500</v>
      </c>
    </row>
    <row r="54" spans="1:21">
      <c r="A54" t="s">
        <v>22</v>
      </c>
      <c r="B54" s="1">
        <f>HYPERLINK("https://cordis.europa.eu/project/id/872488", "872488")</f>
        <v>0</v>
      </c>
      <c r="C54" t="s">
        <v>69</v>
      </c>
      <c r="D54" t="s">
        <v>195</v>
      </c>
      <c r="E54" t="s">
        <v>286</v>
      </c>
      <c r="F54" t="s">
        <v>394</v>
      </c>
      <c r="G54" t="s">
        <v>476</v>
      </c>
      <c r="H54" t="s">
        <v>526</v>
      </c>
      <c r="I54" t="s">
        <v>527</v>
      </c>
      <c r="J54" s="1">
        <f>HYPERLINK("https://ec.europa.eu/info/funding-tenders/opportunities/portal/screen/how-to-participate/org-details/999873673", "999873673")</f>
        <v>0</v>
      </c>
      <c r="K54" t="s">
        <v>529</v>
      </c>
      <c r="M54" t="s">
        <v>578</v>
      </c>
      <c r="N54" t="b">
        <v>0</v>
      </c>
      <c r="O54" t="s">
        <v>598</v>
      </c>
      <c r="P54" t="s">
        <v>651</v>
      </c>
      <c r="Q54">
        <v>8</v>
      </c>
      <c r="R54" t="s">
        <v>700</v>
      </c>
      <c r="T54" s="2">
        <v>0</v>
      </c>
      <c r="U54" s="2">
        <v>138000</v>
      </c>
    </row>
    <row r="55" spans="1:21">
      <c r="A55" t="s">
        <v>22</v>
      </c>
      <c r="B55" s="1">
        <f>HYPERLINK("https://cordis.europa.eu/project/id/872488", "872488")</f>
        <v>0</v>
      </c>
      <c r="C55" t="s">
        <v>69</v>
      </c>
      <c r="D55" t="s">
        <v>195</v>
      </c>
      <c r="E55" t="s">
        <v>286</v>
      </c>
      <c r="F55" t="s">
        <v>394</v>
      </c>
      <c r="G55" t="s">
        <v>476</v>
      </c>
      <c r="H55" t="s">
        <v>526</v>
      </c>
      <c r="I55" t="s">
        <v>527</v>
      </c>
      <c r="J55" s="1">
        <f>HYPERLINK("https://ec.europa.eu/info/funding-tenders/opportunities/portal/screen/how-to-participate/org-details/999613131", "999613131")</f>
        <v>0</v>
      </c>
      <c r="K55" t="s">
        <v>528</v>
      </c>
      <c r="L55" t="s">
        <v>559</v>
      </c>
      <c r="M55" t="s">
        <v>578</v>
      </c>
      <c r="N55" t="b">
        <v>0</v>
      </c>
      <c r="O55" t="s">
        <v>598</v>
      </c>
      <c r="P55" t="s">
        <v>651</v>
      </c>
      <c r="Q55">
        <v>7</v>
      </c>
      <c r="R55" t="s">
        <v>700</v>
      </c>
      <c r="T55" s="2">
        <v>0</v>
      </c>
      <c r="U55" s="2">
        <v>46000</v>
      </c>
    </row>
    <row r="56" spans="1:21">
      <c r="A56" t="s">
        <v>22</v>
      </c>
      <c r="B56" s="1">
        <f>HYPERLINK("https://cordis.europa.eu/project/id/700952", "700952")</f>
        <v>0</v>
      </c>
      <c r="C56" t="s">
        <v>70</v>
      </c>
      <c r="D56" t="s">
        <v>196</v>
      </c>
      <c r="E56" t="s">
        <v>287</v>
      </c>
      <c r="F56" t="s">
        <v>395</v>
      </c>
      <c r="G56" t="s">
        <v>477</v>
      </c>
      <c r="H56" t="s">
        <v>526</v>
      </c>
      <c r="I56" t="s">
        <v>527</v>
      </c>
      <c r="J56" s="1">
        <f>HYPERLINK("https://ec.europa.eu/info/funding-tenders/opportunities/portal/screen/how-to-participate/org-details/996569368", "996569368")</f>
        <v>0</v>
      </c>
      <c r="K56" t="s">
        <v>533</v>
      </c>
      <c r="L56" t="s">
        <v>562</v>
      </c>
      <c r="M56" t="s">
        <v>580</v>
      </c>
      <c r="N56" t="b">
        <v>0</v>
      </c>
      <c r="O56" t="s">
        <v>594</v>
      </c>
      <c r="P56" t="s">
        <v>643</v>
      </c>
      <c r="Q56">
        <v>2</v>
      </c>
      <c r="R56" t="s">
        <v>700</v>
      </c>
      <c r="T56" s="2">
        <v>0</v>
      </c>
    </row>
    <row r="57" spans="1:21">
      <c r="A57" t="s">
        <v>22</v>
      </c>
      <c r="B57" s="1">
        <f>HYPERLINK("https://cordis.europa.eu/project/id/839511", "839511")</f>
        <v>0</v>
      </c>
      <c r="C57" t="s">
        <v>71</v>
      </c>
      <c r="D57" t="s">
        <v>197</v>
      </c>
      <c r="E57" t="s">
        <v>288</v>
      </c>
      <c r="F57" t="s">
        <v>396</v>
      </c>
      <c r="G57" t="s">
        <v>478</v>
      </c>
      <c r="H57" t="s">
        <v>526</v>
      </c>
      <c r="I57" t="s">
        <v>527</v>
      </c>
      <c r="J57" s="1">
        <f>HYPERLINK("https://ec.europa.eu/info/funding-tenders/opportunities/portal/screen/how-to-participate/org-details/999613131", "999613131")</f>
        <v>0</v>
      </c>
      <c r="K57" t="s">
        <v>528</v>
      </c>
      <c r="L57" t="s">
        <v>559</v>
      </c>
      <c r="M57" t="s">
        <v>578</v>
      </c>
      <c r="N57" t="b">
        <v>0</v>
      </c>
      <c r="O57" t="s">
        <v>595</v>
      </c>
      <c r="P57" t="s">
        <v>644</v>
      </c>
      <c r="Q57">
        <v>2</v>
      </c>
      <c r="R57" t="s">
        <v>700</v>
      </c>
      <c r="T57" s="2">
        <v>0</v>
      </c>
    </row>
    <row r="58" spans="1:21">
      <c r="A58" t="s">
        <v>22</v>
      </c>
      <c r="B58" s="1">
        <f>HYPERLINK("https://cordis.europa.eu/project/id/897218", "897218")</f>
        <v>0</v>
      </c>
      <c r="C58" t="s">
        <v>72</v>
      </c>
      <c r="D58" t="s">
        <v>198</v>
      </c>
      <c r="E58" t="s">
        <v>289</v>
      </c>
      <c r="F58" t="s">
        <v>397</v>
      </c>
      <c r="G58" t="s">
        <v>479</v>
      </c>
      <c r="H58" t="s">
        <v>526</v>
      </c>
      <c r="I58" t="s">
        <v>527</v>
      </c>
      <c r="J58" s="1">
        <f>HYPERLINK("https://ec.europa.eu/info/funding-tenders/opportunities/portal/screen/how-to-participate/org-details/999613131", "999613131")</f>
        <v>0</v>
      </c>
      <c r="K58" t="s">
        <v>528</v>
      </c>
      <c r="L58" t="s">
        <v>559</v>
      </c>
      <c r="M58" t="s">
        <v>578</v>
      </c>
      <c r="N58" t="b">
        <v>0</v>
      </c>
      <c r="O58" t="s">
        <v>595</v>
      </c>
      <c r="P58" t="s">
        <v>649</v>
      </c>
      <c r="Q58">
        <v>2</v>
      </c>
      <c r="R58" t="s">
        <v>700</v>
      </c>
      <c r="T58" s="2">
        <v>0</v>
      </c>
    </row>
    <row r="59" spans="1:21">
      <c r="A59" t="s">
        <v>22</v>
      </c>
      <c r="B59" s="1">
        <f>HYPERLINK("https://cordis.europa.eu/project/id/747120", "747120")</f>
        <v>0</v>
      </c>
      <c r="C59" t="s">
        <v>73</v>
      </c>
      <c r="D59" t="s">
        <v>199</v>
      </c>
      <c r="E59" t="s">
        <v>276</v>
      </c>
      <c r="F59" t="s">
        <v>398</v>
      </c>
      <c r="G59" t="s">
        <v>480</v>
      </c>
      <c r="H59" t="s">
        <v>526</v>
      </c>
      <c r="I59" t="s">
        <v>527</v>
      </c>
      <c r="J59" s="1">
        <f>HYPERLINK("https://ec.europa.eu/info/funding-tenders/opportunities/portal/screen/how-to-participate/org-details/999613131", "999613131")</f>
        <v>0</v>
      </c>
      <c r="K59" t="s">
        <v>528</v>
      </c>
      <c r="L59" t="s">
        <v>559</v>
      </c>
      <c r="M59" t="s">
        <v>578</v>
      </c>
      <c r="N59" t="b">
        <v>0</v>
      </c>
      <c r="O59" t="s">
        <v>595</v>
      </c>
      <c r="P59" t="s">
        <v>641</v>
      </c>
      <c r="Q59">
        <v>2</v>
      </c>
      <c r="R59" t="s">
        <v>700</v>
      </c>
      <c r="T59" s="2">
        <v>0</v>
      </c>
    </row>
    <row r="60" spans="1:21">
      <c r="A60" t="s">
        <v>22</v>
      </c>
      <c r="B60" s="1">
        <f>HYPERLINK("https://cordis.europa.eu/project/id/842656", "842656")</f>
        <v>0</v>
      </c>
      <c r="C60" t="s">
        <v>74</v>
      </c>
      <c r="D60" t="s">
        <v>200</v>
      </c>
      <c r="E60" t="s">
        <v>290</v>
      </c>
      <c r="F60" t="s">
        <v>399</v>
      </c>
      <c r="G60" t="s">
        <v>481</v>
      </c>
      <c r="H60" t="s">
        <v>526</v>
      </c>
      <c r="I60" t="s">
        <v>527</v>
      </c>
      <c r="J60" s="1">
        <f>HYPERLINK("https://ec.europa.eu/info/funding-tenders/opportunities/portal/screen/how-to-participate/org-details/998331567", "998331567")</f>
        <v>0</v>
      </c>
      <c r="K60" t="s">
        <v>531</v>
      </c>
      <c r="M60" t="s">
        <v>578</v>
      </c>
      <c r="N60" t="b">
        <v>0</v>
      </c>
      <c r="O60" t="s">
        <v>595</v>
      </c>
      <c r="P60" t="s">
        <v>644</v>
      </c>
      <c r="Q60">
        <v>2</v>
      </c>
      <c r="R60" t="s">
        <v>700</v>
      </c>
      <c r="T60" s="2">
        <v>0</v>
      </c>
    </row>
    <row r="61" spans="1:21">
      <c r="A61" t="s">
        <v>22</v>
      </c>
      <c r="B61" s="1">
        <f>HYPERLINK("https://cordis.europa.eu/project/id/714478", "714478")</f>
        <v>0</v>
      </c>
      <c r="C61" t="s">
        <v>75</v>
      </c>
      <c r="D61" t="s">
        <v>201</v>
      </c>
      <c r="E61" t="s">
        <v>291</v>
      </c>
      <c r="F61" t="s">
        <v>389</v>
      </c>
      <c r="G61" t="s">
        <v>482</v>
      </c>
      <c r="H61" t="s">
        <v>526</v>
      </c>
      <c r="I61" t="s">
        <v>527</v>
      </c>
      <c r="J61" s="1">
        <f>HYPERLINK("https://ec.europa.eu/info/funding-tenders/opportunities/portal/screen/how-to-participate/org-details/998331567", "998331567")</f>
        <v>0</v>
      </c>
      <c r="K61" t="s">
        <v>531</v>
      </c>
      <c r="M61" t="s">
        <v>578</v>
      </c>
      <c r="N61" t="b">
        <v>0</v>
      </c>
      <c r="O61" t="s">
        <v>597</v>
      </c>
      <c r="P61" t="s">
        <v>652</v>
      </c>
      <c r="Q61">
        <v>2</v>
      </c>
      <c r="R61" t="s">
        <v>698</v>
      </c>
      <c r="S61" s="2">
        <v>62500</v>
      </c>
      <c r="T61" s="2">
        <v>62500</v>
      </c>
      <c r="U61" s="2">
        <v>62500</v>
      </c>
    </row>
    <row r="62" spans="1:21">
      <c r="A62" t="s">
        <v>22</v>
      </c>
      <c r="B62" s="1">
        <f>HYPERLINK("https://cordis.europa.eu/project/id/778068", "778068")</f>
        <v>0</v>
      </c>
      <c r="C62" t="s">
        <v>76</v>
      </c>
      <c r="D62" t="s">
        <v>202</v>
      </c>
      <c r="E62" t="s">
        <v>292</v>
      </c>
      <c r="F62" t="s">
        <v>393</v>
      </c>
      <c r="G62" t="s">
        <v>483</v>
      </c>
      <c r="H62" t="s">
        <v>526</v>
      </c>
      <c r="I62" t="s">
        <v>527</v>
      </c>
      <c r="J62" s="1">
        <f>HYPERLINK("https://ec.europa.eu/info/funding-tenders/opportunities/portal/screen/how-to-participate/org-details/991108074", "991108074")</f>
        <v>0</v>
      </c>
      <c r="K62" t="s">
        <v>546</v>
      </c>
      <c r="L62" t="s">
        <v>571</v>
      </c>
      <c r="M62" t="s">
        <v>579</v>
      </c>
      <c r="N62" t="b">
        <v>0</v>
      </c>
      <c r="O62" t="s">
        <v>598</v>
      </c>
      <c r="P62" t="s">
        <v>650</v>
      </c>
      <c r="Q62">
        <v>16</v>
      </c>
      <c r="R62" t="s">
        <v>700</v>
      </c>
      <c r="T62" s="2">
        <v>0</v>
      </c>
      <c r="U62" s="2">
        <v>0</v>
      </c>
    </row>
    <row r="63" spans="1:21">
      <c r="A63" t="s">
        <v>22</v>
      </c>
      <c r="B63" s="1">
        <f>HYPERLINK("https://cordis.europa.eu/project/id/823937", "823937")</f>
        <v>0</v>
      </c>
      <c r="C63" t="s">
        <v>77</v>
      </c>
      <c r="D63" t="s">
        <v>203</v>
      </c>
      <c r="E63" t="s">
        <v>293</v>
      </c>
      <c r="F63" t="s">
        <v>400</v>
      </c>
      <c r="G63" t="s">
        <v>484</v>
      </c>
      <c r="H63" t="s">
        <v>526</v>
      </c>
      <c r="I63" t="s">
        <v>527</v>
      </c>
      <c r="J63" s="1">
        <f>HYPERLINK("https://ec.europa.eu/info/funding-tenders/opportunities/portal/screen/how-to-participate/org-details/999613131", "999613131")</f>
        <v>0</v>
      </c>
      <c r="K63" t="s">
        <v>528</v>
      </c>
      <c r="L63" t="s">
        <v>559</v>
      </c>
      <c r="M63" t="s">
        <v>578</v>
      </c>
      <c r="N63" t="b">
        <v>0</v>
      </c>
      <c r="O63" t="s">
        <v>598</v>
      </c>
      <c r="P63" t="s">
        <v>653</v>
      </c>
      <c r="Q63">
        <v>9</v>
      </c>
      <c r="R63" t="s">
        <v>700</v>
      </c>
      <c r="T63" s="2">
        <v>0</v>
      </c>
      <c r="U63" s="2">
        <v>0</v>
      </c>
    </row>
    <row r="64" spans="1:21">
      <c r="A64" t="s">
        <v>22</v>
      </c>
      <c r="B64" s="1">
        <f>HYPERLINK("https://cordis.europa.eu/project/id/778158", "778158")</f>
        <v>0</v>
      </c>
      <c r="C64" t="s">
        <v>78</v>
      </c>
      <c r="D64" t="s">
        <v>204</v>
      </c>
      <c r="E64" t="s">
        <v>294</v>
      </c>
      <c r="F64" t="s">
        <v>385</v>
      </c>
      <c r="G64" t="s">
        <v>485</v>
      </c>
      <c r="H64" t="s">
        <v>526</v>
      </c>
      <c r="I64" t="s">
        <v>527</v>
      </c>
      <c r="J64" s="1">
        <f>HYPERLINK("https://ec.europa.eu/info/funding-tenders/opportunities/portal/screen/how-to-participate/org-details/999613131", "999613131")</f>
        <v>0</v>
      </c>
      <c r="K64" t="s">
        <v>528</v>
      </c>
      <c r="L64" t="s">
        <v>559</v>
      </c>
      <c r="M64" t="s">
        <v>578</v>
      </c>
      <c r="N64" t="b">
        <v>0</v>
      </c>
      <c r="O64" t="s">
        <v>598</v>
      </c>
      <c r="P64" t="s">
        <v>650</v>
      </c>
      <c r="Q64">
        <v>9</v>
      </c>
      <c r="R64" t="s">
        <v>700</v>
      </c>
      <c r="T64" s="2">
        <v>0</v>
      </c>
      <c r="U64" s="2">
        <v>27000</v>
      </c>
    </row>
    <row r="65" spans="1:21">
      <c r="A65" t="s">
        <v>22</v>
      </c>
      <c r="B65" s="1">
        <f>HYPERLINK("https://cordis.europa.eu/project/id/804851", "804851")</f>
        <v>0</v>
      </c>
      <c r="C65" t="s">
        <v>79</v>
      </c>
      <c r="D65" t="s">
        <v>205</v>
      </c>
      <c r="E65" t="s">
        <v>295</v>
      </c>
      <c r="F65" t="s">
        <v>394</v>
      </c>
      <c r="G65" t="s">
        <v>472</v>
      </c>
      <c r="H65" t="s">
        <v>526</v>
      </c>
      <c r="I65" t="s">
        <v>527</v>
      </c>
      <c r="J65" s="1">
        <f>HYPERLINK("https://ec.europa.eu/info/funding-tenders/opportunities/portal/screen/how-to-participate/org-details/998295580", "998295580")</f>
        <v>0</v>
      </c>
      <c r="K65" t="s">
        <v>534</v>
      </c>
      <c r="L65" t="s">
        <v>563</v>
      </c>
      <c r="M65" t="s">
        <v>580</v>
      </c>
      <c r="N65" t="b">
        <v>0</v>
      </c>
      <c r="O65" t="s">
        <v>597</v>
      </c>
      <c r="P65" t="s">
        <v>648</v>
      </c>
      <c r="Q65">
        <v>2</v>
      </c>
      <c r="R65" t="s">
        <v>698</v>
      </c>
      <c r="S65" s="2">
        <v>247334</v>
      </c>
      <c r="T65" s="2">
        <v>247334</v>
      </c>
      <c r="U65" s="2">
        <v>247334</v>
      </c>
    </row>
    <row r="66" spans="1:21">
      <c r="A66" t="s">
        <v>22</v>
      </c>
      <c r="B66" s="1">
        <f>HYPERLINK("https://cordis.europa.eu/project/id/815439", "815439")</f>
        <v>0</v>
      </c>
      <c r="C66" t="s">
        <v>80</v>
      </c>
      <c r="D66" t="s">
        <v>206</v>
      </c>
      <c r="E66" t="s">
        <v>296</v>
      </c>
      <c r="F66" t="s">
        <v>401</v>
      </c>
      <c r="G66" t="s">
        <v>484</v>
      </c>
      <c r="H66" t="s">
        <v>526</v>
      </c>
      <c r="I66" t="s">
        <v>527</v>
      </c>
      <c r="J66" s="1">
        <f>HYPERLINK("https://ec.europa.eu/info/funding-tenders/opportunities/portal/screen/how-to-participate/org-details/998331567", "998331567")</f>
        <v>0</v>
      </c>
      <c r="K66" t="s">
        <v>531</v>
      </c>
      <c r="M66" t="s">
        <v>578</v>
      </c>
      <c r="N66" t="b">
        <v>0</v>
      </c>
      <c r="O66" t="s">
        <v>599</v>
      </c>
      <c r="P66" t="s">
        <v>654</v>
      </c>
      <c r="Q66">
        <v>9</v>
      </c>
      <c r="R66" t="s">
        <v>698</v>
      </c>
      <c r="S66" s="2">
        <v>50000</v>
      </c>
      <c r="T66" s="2">
        <v>50000</v>
      </c>
      <c r="U66" s="2">
        <v>0</v>
      </c>
    </row>
    <row r="67" spans="1:21">
      <c r="A67" t="s">
        <v>22</v>
      </c>
      <c r="B67" s="1">
        <f>HYPERLINK("https://cordis.europa.eu/project/id/101020088", "101020088")</f>
        <v>0</v>
      </c>
      <c r="C67" t="s">
        <v>81</v>
      </c>
      <c r="D67" t="s">
        <v>207</v>
      </c>
      <c r="E67" t="s">
        <v>297</v>
      </c>
      <c r="F67" t="s">
        <v>402</v>
      </c>
      <c r="G67" t="s">
        <v>486</v>
      </c>
      <c r="H67" t="s">
        <v>526</v>
      </c>
      <c r="I67" t="s">
        <v>527</v>
      </c>
      <c r="J67" s="1">
        <f>HYPERLINK("https://ec.europa.eu/info/funding-tenders/opportunities/portal/screen/how-to-participate/org-details/992582086", "992582086")</f>
        <v>0</v>
      </c>
      <c r="K67" t="s">
        <v>532</v>
      </c>
      <c r="L67" t="s">
        <v>561</v>
      </c>
      <c r="M67" t="s">
        <v>578</v>
      </c>
      <c r="N67" t="b">
        <v>0</v>
      </c>
      <c r="O67" t="s">
        <v>596</v>
      </c>
      <c r="P67" t="s">
        <v>655</v>
      </c>
      <c r="Q67">
        <v>2</v>
      </c>
      <c r="R67" t="s">
        <v>698</v>
      </c>
      <c r="S67" s="2">
        <v>325000</v>
      </c>
      <c r="T67" s="2">
        <v>325000</v>
      </c>
      <c r="U67" s="2">
        <v>325000</v>
      </c>
    </row>
    <row r="68" spans="1:21">
      <c r="A68" t="s">
        <v>22</v>
      </c>
      <c r="B68" s="1">
        <f>HYPERLINK("https://cordis.europa.eu/project/id/668954", "668954")</f>
        <v>0</v>
      </c>
      <c r="C68" t="s">
        <v>82</v>
      </c>
      <c r="D68" t="s">
        <v>208</v>
      </c>
      <c r="E68" t="s">
        <v>298</v>
      </c>
      <c r="F68" t="s">
        <v>403</v>
      </c>
      <c r="G68" t="s">
        <v>470</v>
      </c>
      <c r="H68" t="s">
        <v>526</v>
      </c>
      <c r="I68" t="s">
        <v>527</v>
      </c>
      <c r="J68" s="1">
        <f>HYPERLINK("https://ec.europa.eu/info/funding-tenders/opportunities/portal/screen/how-to-participate/org-details/992582086", "992582086")</f>
        <v>0</v>
      </c>
      <c r="K68" t="s">
        <v>532</v>
      </c>
      <c r="L68" t="s">
        <v>561</v>
      </c>
      <c r="M68" t="s">
        <v>578</v>
      </c>
      <c r="N68" t="b">
        <v>0</v>
      </c>
      <c r="O68" t="s">
        <v>596</v>
      </c>
      <c r="P68" t="s">
        <v>656</v>
      </c>
      <c r="Q68">
        <v>6</v>
      </c>
      <c r="R68" t="s">
        <v>698</v>
      </c>
      <c r="S68" s="2">
        <v>469975</v>
      </c>
      <c r="T68" s="2">
        <v>469975</v>
      </c>
      <c r="U68" s="2">
        <v>469975</v>
      </c>
    </row>
    <row r="69" spans="1:21">
      <c r="A69" t="s">
        <v>22</v>
      </c>
      <c r="B69" s="1">
        <f>HYPERLINK("https://cordis.europa.eu/project/id/873077", "873077")</f>
        <v>0</v>
      </c>
      <c r="C69" t="s">
        <v>83</v>
      </c>
      <c r="D69" t="s">
        <v>209</v>
      </c>
      <c r="E69" t="s">
        <v>286</v>
      </c>
      <c r="F69" t="s">
        <v>394</v>
      </c>
      <c r="G69" t="s">
        <v>476</v>
      </c>
      <c r="H69" t="s">
        <v>526</v>
      </c>
      <c r="I69" t="s">
        <v>527</v>
      </c>
      <c r="J69" s="1">
        <f>HYPERLINK("https://ec.europa.eu/info/funding-tenders/opportunities/portal/screen/how-to-participate/org-details/999613131", "999613131")</f>
        <v>0</v>
      </c>
      <c r="K69" t="s">
        <v>528</v>
      </c>
      <c r="L69" t="s">
        <v>559</v>
      </c>
      <c r="M69" t="s">
        <v>578</v>
      </c>
      <c r="N69" t="b">
        <v>0</v>
      </c>
      <c r="O69" t="s">
        <v>598</v>
      </c>
      <c r="P69" t="s">
        <v>651</v>
      </c>
      <c r="Q69">
        <v>8</v>
      </c>
      <c r="R69" t="s">
        <v>700</v>
      </c>
      <c r="T69" s="2">
        <v>0</v>
      </c>
      <c r="U69" s="2">
        <v>9200</v>
      </c>
    </row>
    <row r="70" spans="1:21">
      <c r="A70" t="s">
        <v>22</v>
      </c>
      <c r="B70" s="1">
        <f>HYPERLINK("https://cordis.europa.eu/project/id/873077", "873077")</f>
        <v>0</v>
      </c>
      <c r="C70" t="s">
        <v>83</v>
      </c>
      <c r="D70" t="s">
        <v>209</v>
      </c>
      <c r="E70" t="s">
        <v>286</v>
      </c>
      <c r="F70" t="s">
        <v>394</v>
      </c>
      <c r="G70" t="s">
        <v>476</v>
      </c>
      <c r="H70" t="s">
        <v>526</v>
      </c>
      <c r="I70" t="s">
        <v>527</v>
      </c>
      <c r="J70" s="1">
        <f>HYPERLINK("https://ec.europa.eu/info/funding-tenders/opportunities/portal/screen/how-to-participate/org-details/985512435", "985512435")</f>
        <v>0</v>
      </c>
      <c r="K70" t="s">
        <v>539</v>
      </c>
      <c r="L70" t="s">
        <v>566</v>
      </c>
      <c r="M70" t="s">
        <v>578</v>
      </c>
      <c r="N70" t="b">
        <v>0</v>
      </c>
      <c r="O70" t="s">
        <v>598</v>
      </c>
      <c r="P70" t="s">
        <v>651</v>
      </c>
      <c r="Q70">
        <v>14</v>
      </c>
      <c r="R70" t="s">
        <v>700</v>
      </c>
      <c r="T70" s="2">
        <v>0</v>
      </c>
      <c r="U70" s="2">
        <v>4600</v>
      </c>
    </row>
    <row r="71" spans="1:21">
      <c r="A71" t="s">
        <v>22</v>
      </c>
      <c r="B71" s="1">
        <f>HYPERLINK("https://cordis.europa.eu/project/id/660391", "660391")</f>
        <v>0</v>
      </c>
      <c r="C71" t="s">
        <v>84</v>
      </c>
      <c r="D71" t="s">
        <v>210</v>
      </c>
      <c r="E71" t="s">
        <v>299</v>
      </c>
      <c r="F71" t="s">
        <v>404</v>
      </c>
      <c r="G71" t="s">
        <v>487</v>
      </c>
      <c r="H71" t="s">
        <v>526</v>
      </c>
      <c r="I71" t="s">
        <v>527</v>
      </c>
      <c r="J71" s="1">
        <f>HYPERLINK("https://ec.europa.eu/info/funding-tenders/opportunities/portal/screen/how-to-participate/org-details/997692046", "997692046")</f>
        <v>0</v>
      </c>
      <c r="K71" t="s">
        <v>547</v>
      </c>
      <c r="L71" t="s">
        <v>572</v>
      </c>
      <c r="M71" t="s">
        <v>580</v>
      </c>
      <c r="N71" t="b">
        <v>0</v>
      </c>
      <c r="O71" t="s">
        <v>594</v>
      </c>
      <c r="P71" t="s">
        <v>657</v>
      </c>
      <c r="Q71">
        <v>2</v>
      </c>
      <c r="R71" t="s">
        <v>700</v>
      </c>
      <c r="T71" s="2">
        <v>0</v>
      </c>
    </row>
    <row r="72" spans="1:21">
      <c r="A72" t="s">
        <v>22</v>
      </c>
      <c r="B72" s="1">
        <f>HYPERLINK("https://cordis.europa.eu/project/id/641822", "641822")</f>
        <v>0</v>
      </c>
      <c r="C72" t="s">
        <v>85</v>
      </c>
      <c r="D72" t="s">
        <v>211</v>
      </c>
      <c r="E72" t="s">
        <v>300</v>
      </c>
      <c r="F72" t="s">
        <v>405</v>
      </c>
      <c r="G72" t="s">
        <v>453</v>
      </c>
      <c r="H72" t="s">
        <v>526</v>
      </c>
      <c r="I72" t="s">
        <v>527</v>
      </c>
      <c r="J72" s="1">
        <f>HYPERLINK("https://ec.europa.eu/info/funding-tenders/opportunities/portal/screen/how-to-participate/org-details/999613131", "999613131")</f>
        <v>0</v>
      </c>
      <c r="K72" t="s">
        <v>528</v>
      </c>
      <c r="L72" t="s">
        <v>559</v>
      </c>
      <c r="M72" t="s">
        <v>578</v>
      </c>
      <c r="N72" t="b">
        <v>0</v>
      </c>
      <c r="O72" t="s">
        <v>600</v>
      </c>
      <c r="P72" t="s">
        <v>658</v>
      </c>
      <c r="Q72">
        <v>16</v>
      </c>
      <c r="R72" t="s">
        <v>700</v>
      </c>
      <c r="T72" s="2">
        <v>0</v>
      </c>
      <c r="U72" s="2">
        <v>0</v>
      </c>
    </row>
    <row r="73" spans="1:21">
      <c r="A73" t="s">
        <v>22</v>
      </c>
      <c r="B73" s="1">
        <f>HYPERLINK("https://cordis.europa.eu/project/id/101007438", "101007438")</f>
        <v>0</v>
      </c>
      <c r="C73" t="s">
        <v>86</v>
      </c>
      <c r="D73" t="s">
        <v>212</v>
      </c>
      <c r="E73" t="s">
        <v>301</v>
      </c>
      <c r="F73" t="s">
        <v>406</v>
      </c>
      <c r="G73" t="s">
        <v>488</v>
      </c>
      <c r="H73" t="s">
        <v>526</v>
      </c>
      <c r="I73" t="s">
        <v>527</v>
      </c>
      <c r="J73" s="1">
        <f>HYPERLINK("https://ec.europa.eu/info/funding-tenders/opportunities/portal/screen/how-to-participate/org-details/999851654", "999851654")</f>
        <v>0</v>
      </c>
      <c r="K73" t="s">
        <v>537</v>
      </c>
      <c r="M73" t="s">
        <v>578</v>
      </c>
      <c r="N73" t="b">
        <v>0</v>
      </c>
      <c r="O73" t="s">
        <v>598</v>
      </c>
      <c r="P73" t="s">
        <v>659</v>
      </c>
      <c r="Q73">
        <v>9</v>
      </c>
      <c r="R73" t="s">
        <v>700</v>
      </c>
      <c r="T73" s="2">
        <v>0</v>
      </c>
      <c r="U73" s="2">
        <v>27600</v>
      </c>
    </row>
    <row r="74" spans="1:21">
      <c r="A74" t="s">
        <v>22</v>
      </c>
      <c r="B74" s="1">
        <f>HYPERLINK("https://cordis.europa.eu/project/id/840946", "840946")</f>
        <v>0</v>
      </c>
      <c r="C74" t="s">
        <v>87</v>
      </c>
      <c r="D74" t="s">
        <v>213</v>
      </c>
      <c r="E74" t="s">
        <v>302</v>
      </c>
      <c r="F74" t="s">
        <v>401</v>
      </c>
      <c r="G74" t="s">
        <v>489</v>
      </c>
      <c r="H74" t="s">
        <v>526</v>
      </c>
      <c r="I74" t="s">
        <v>527</v>
      </c>
      <c r="J74" s="1">
        <f>HYPERLINK("https://ec.europa.eu/info/funding-tenders/opportunities/portal/screen/how-to-participate/org-details/999873673", "999873673")</f>
        <v>0</v>
      </c>
      <c r="K74" t="s">
        <v>529</v>
      </c>
      <c r="M74" t="s">
        <v>578</v>
      </c>
      <c r="N74" t="b">
        <v>0</v>
      </c>
      <c r="O74" t="s">
        <v>595</v>
      </c>
      <c r="P74" t="s">
        <v>644</v>
      </c>
      <c r="Q74">
        <v>2</v>
      </c>
      <c r="R74" t="s">
        <v>700</v>
      </c>
      <c r="T74" s="2">
        <v>0</v>
      </c>
    </row>
    <row r="75" spans="1:21">
      <c r="A75" t="s">
        <v>22</v>
      </c>
      <c r="B75" s="1">
        <f>HYPERLINK("https://cordis.europa.eu/project/id/656514", "656514")</f>
        <v>0</v>
      </c>
      <c r="C75" t="s">
        <v>88</v>
      </c>
      <c r="D75" t="s">
        <v>214</v>
      </c>
      <c r="E75" t="s">
        <v>303</v>
      </c>
      <c r="F75" t="s">
        <v>407</v>
      </c>
      <c r="G75" t="s">
        <v>490</v>
      </c>
      <c r="H75" t="s">
        <v>526</v>
      </c>
      <c r="I75" t="s">
        <v>527</v>
      </c>
      <c r="J75" s="1">
        <f>HYPERLINK("https://ec.europa.eu/info/funding-tenders/opportunities/portal/screen/how-to-participate/org-details/998317211", "998317211")</f>
        <v>0</v>
      </c>
      <c r="K75" t="s">
        <v>538</v>
      </c>
      <c r="M75" t="s">
        <v>580</v>
      </c>
      <c r="N75" t="b">
        <v>0</v>
      </c>
      <c r="O75" t="s">
        <v>595</v>
      </c>
      <c r="P75" t="s">
        <v>657</v>
      </c>
      <c r="Q75">
        <v>2</v>
      </c>
      <c r="R75" t="s">
        <v>700</v>
      </c>
      <c r="T75" s="2">
        <v>0</v>
      </c>
    </row>
    <row r="76" spans="1:21">
      <c r="A76" t="s">
        <v>22</v>
      </c>
      <c r="B76" s="1">
        <f>HYPERLINK("https://cordis.europa.eu/project/id/734928", "734928")</f>
        <v>0</v>
      </c>
      <c r="C76" t="s">
        <v>89</v>
      </c>
      <c r="D76" t="s">
        <v>215</v>
      </c>
      <c r="E76" t="s">
        <v>304</v>
      </c>
      <c r="F76" t="s">
        <v>389</v>
      </c>
      <c r="G76" t="s">
        <v>491</v>
      </c>
      <c r="H76" t="s">
        <v>526</v>
      </c>
      <c r="I76" t="s">
        <v>527</v>
      </c>
      <c r="J76" s="1">
        <f>HYPERLINK("https://ec.europa.eu/info/funding-tenders/opportunities/portal/screen/how-to-participate/org-details/999613131", "999613131")</f>
        <v>0</v>
      </c>
      <c r="K76" t="s">
        <v>528</v>
      </c>
      <c r="L76" t="s">
        <v>559</v>
      </c>
      <c r="M76" t="s">
        <v>578</v>
      </c>
      <c r="N76" t="b">
        <v>0</v>
      </c>
      <c r="O76" t="s">
        <v>598</v>
      </c>
      <c r="P76" t="s">
        <v>660</v>
      </c>
      <c r="Q76">
        <v>3</v>
      </c>
      <c r="R76" t="s">
        <v>700</v>
      </c>
      <c r="T76" s="2">
        <v>0</v>
      </c>
      <c r="U76" s="2">
        <v>45000</v>
      </c>
    </row>
    <row r="77" spans="1:21">
      <c r="A77" t="s">
        <v>22</v>
      </c>
      <c r="B77" s="1">
        <f>HYPERLINK("https://cordis.europa.eu/project/id/760891", "760891")</f>
        <v>0</v>
      </c>
      <c r="C77" t="s">
        <v>90</v>
      </c>
      <c r="D77" t="s">
        <v>216</v>
      </c>
      <c r="E77" t="s">
        <v>305</v>
      </c>
      <c r="F77" t="s">
        <v>385</v>
      </c>
      <c r="G77" t="s">
        <v>482</v>
      </c>
      <c r="H77" t="s">
        <v>526</v>
      </c>
      <c r="I77" t="s">
        <v>527</v>
      </c>
      <c r="J77" s="1">
        <f>HYPERLINK("https://ec.europa.eu/info/funding-tenders/opportunities/portal/screen/how-to-participate/org-details/998317211", "998317211")</f>
        <v>0</v>
      </c>
      <c r="K77" t="s">
        <v>538</v>
      </c>
      <c r="M77" t="s">
        <v>580</v>
      </c>
      <c r="N77" t="b">
        <v>0</v>
      </c>
      <c r="O77" t="s">
        <v>599</v>
      </c>
      <c r="P77" t="s">
        <v>661</v>
      </c>
      <c r="Q77">
        <v>4</v>
      </c>
      <c r="R77" t="s">
        <v>698</v>
      </c>
      <c r="S77" s="2">
        <v>0</v>
      </c>
      <c r="T77" s="2">
        <v>0</v>
      </c>
      <c r="U77" s="2">
        <v>318750</v>
      </c>
    </row>
    <row r="78" spans="1:21">
      <c r="A78" t="s">
        <v>22</v>
      </c>
      <c r="B78" s="1">
        <f>HYPERLINK("https://cordis.europa.eu/project/id/101007584", "101007584")</f>
        <v>0</v>
      </c>
      <c r="C78" t="s">
        <v>91</v>
      </c>
      <c r="D78" t="s">
        <v>217</v>
      </c>
      <c r="E78" t="s">
        <v>306</v>
      </c>
      <c r="F78" t="s">
        <v>408</v>
      </c>
      <c r="G78" t="s">
        <v>492</v>
      </c>
      <c r="H78" t="s">
        <v>526</v>
      </c>
      <c r="I78" t="s">
        <v>527</v>
      </c>
      <c r="J78" s="1">
        <f>HYPERLINK("https://ec.europa.eu/info/funding-tenders/opportunities/portal/screen/how-to-participate/org-details/991108074", "991108074")</f>
        <v>0</v>
      </c>
      <c r="K78" t="s">
        <v>546</v>
      </c>
      <c r="L78" t="s">
        <v>571</v>
      </c>
      <c r="M78" t="s">
        <v>579</v>
      </c>
      <c r="N78" t="b">
        <v>0</v>
      </c>
      <c r="O78" t="s">
        <v>598</v>
      </c>
      <c r="P78" t="s">
        <v>659</v>
      </c>
      <c r="Q78">
        <v>7</v>
      </c>
      <c r="R78" t="s">
        <v>700</v>
      </c>
      <c r="T78" s="2">
        <v>0</v>
      </c>
      <c r="U78" s="2">
        <v>9200</v>
      </c>
    </row>
    <row r="79" spans="1:21">
      <c r="A79" t="s">
        <v>22</v>
      </c>
      <c r="B79" s="1">
        <f>HYPERLINK("https://cordis.europa.eu/project/id/700386", "700386")</f>
        <v>0</v>
      </c>
      <c r="C79" t="s">
        <v>92</v>
      </c>
      <c r="D79" t="s">
        <v>218</v>
      </c>
      <c r="E79" t="s">
        <v>307</v>
      </c>
      <c r="F79" t="s">
        <v>398</v>
      </c>
      <c r="G79" t="s">
        <v>493</v>
      </c>
      <c r="H79" t="s">
        <v>526</v>
      </c>
      <c r="I79" t="s">
        <v>527</v>
      </c>
      <c r="J79" s="1">
        <f>HYPERLINK("https://ec.europa.eu/info/funding-tenders/opportunities/portal/screen/how-to-participate/org-details/998331567", "998331567")</f>
        <v>0</v>
      </c>
      <c r="K79" t="s">
        <v>531</v>
      </c>
      <c r="M79" t="s">
        <v>578</v>
      </c>
      <c r="N79" t="b">
        <v>0</v>
      </c>
      <c r="O79" t="s">
        <v>594</v>
      </c>
      <c r="P79" t="s">
        <v>643</v>
      </c>
      <c r="Q79">
        <v>2</v>
      </c>
      <c r="R79" t="s">
        <v>700</v>
      </c>
      <c r="T79" s="2">
        <v>0</v>
      </c>
    </row>
    <row r="80" spans="1:21">
      <c r="A80" t="s">
        <v>22</v>
      </c>
      <c r="B80" s="1">
        <f>HYPERLINK("https://cordis.europa.eu/project/id/690857", "690857")</f>
        <v>0</v>
      </c>
      <c r="C80" t="s">
        <v>93</v>
      </c>
      <c r="D80" t="s">
        <v>219</v>
      </c>
      <c r="E80" t="s">
        <v>308</v>
      </c>
      <c r="F80" t="s">
        <v>403</v>
      </c>
      <c r="G80" t="s">
        <v>491</v>
      </c>
      <c r="H80" t="s">
        <v>526</v>
      </c>
      <c r="I80" t="s">
        <v>527</v>
      </c>
      <c r="J80" s="1">
        <f>HYPERLINK("https://ec.europa.eu/info/funding-tenders/opportunities/portal/screen/how-to-participate/org-details/997692046", "997692046")</f>
        <v>0</v>
      </c>
      <c r="K80" t="s">
        <v>547</v>
      </c>
      <c r="L80" t="s">
        <v>572</v>
      </c>
      <c r="M80" t="s">
        <v>580</v>
      </c>
      <c r="N80" t="b">
        <v>0</v>
      </c>
      <c r="O80" t="s">
        <v>598</v>
      </c>
      <c r="P80" t="s">
        <v>662</v>
      </c>
      <c r="Q80">
        <v>8</v>
      </c>
      <c r="R80" t="s">
        <v>700</v>
      </c>
      <c r="T80" s="2">
        <v>0</v>
      </c>
      <c r="U80" s="2">
        <v>0</v>
      </c>
    </row>
    <row r="81" spans="1:21">
      <c r="A81" t="s">
        <v>22</v>
      </c>
      <c r="B81" s="1">
        <f>HYPERLINK("https://cordis.europa.eu/project/id/734211", "734211")</f>
        <v>0</v>
      </c>
      <c r="C81" t="s">
        <v>94</v>
      </c>
      <c r="D81" t="s">
        <v>220</v>
      </c>
      <c r="E81" t="s">
        <v>309</v>
      </c>
      <c r="F81" t="s">
        <v>409</v>
      </c>
      <c r="G81" t="s">
        <v>456</v>
      </c>
      <c r="H81" t="s">
        <v>526</v>
      </c>
      <c r="I81" t="s">
        <v>527</v>
      </c>
      <c r="J81" s="1">
        <f>HYPERLINK("https://ec.europa.eu/info/funding-tenders/opportunities/portal/screen/how-to-participate/org-details/999613131", "999613131")</f>
        <v>0</v>
      </c>
      <c r="K81" t="s">
        <v>528</v>
      </c>
      <c r="L81" t="s">
        <v>559</v>
      </c>
      <c r="M81" t="s">
        <v>578</v>
      </c>
      <c r="N81" t="b">
        <v>0</v>
      </c>
      <c r="O81" t="s">
        <v>598</v>
      </c>
      <c r="P81" t="s">
        <v>660</v>
      </c>
      <c r="Q81">
        <v>5</v>
      </c>
      <c r="R81" t="s">
        <v>700</v>
      </c>
      <c r="T81" s="2">
        <v>0</v>
      </c>
      <c r="U81" s="2">
        <v>36000</v>
      </c>
    </row>
    <row r="82" spans="1:21">
      <c r="A82" t="s">
        <v>22</v>
      </c>
      <c r="B82" s="1">
        <f>HYPERLINK("https://cordis.europa.eu/project/id/873207", "873207")</f>
        <v>0</v>
      </c>
      <c r="C82" t="s">
        <v>95</v>
      </c>
      <c r="D82" t="s">
        <v>221</v>
      </c>
      <c r="E82" t="s">
        <v>286</v>
      </c>
      <c r="F82" t="s">
        <v>394</v>
      </c>
      <c r="G82" t="s">
        <v>494</v>
      </c>
      <c r="H82" t="s">
        <v>526</v>
      </c>
      <c r="I82" t="s">
        <v>527</v>
      </c>
      <c r="J82" s="1">
        <f>HYPERLINK("https://ec.europa.eu/info/funding-tenders/opportunities/portal/screen/how-to-participate/org-details/992582086", "992582086")</f>
        <v>0</v>
      </c>
      <c r="K82" t="s">
        <v>532</v>
      </c>
      <c r="L82" t="s">
        <v>561</v>
      </c>
      <c r="M82" t="s">
        <v>578</v>
      </c>
      <c r="N82" t="b">
        <v>0</v>
      </c>
      <c r="O82" t="s">
        <v>598</v>
      </c>
      <c r="P82" t="s">
        <v>651</v>
      </c>
      <c r="Q82">
        <v>10</v>
      </c>
      <c r="R82" t="s">
        <v>700</v>
      </c>
      <c r="T82" s="2">
        <v>0</v>
      </c>
      <c r="U82" s="2">
        <v>18400</v>
      </c>
    </row>
    <row r="83" spans="1:21">
      <c r="A83" t="s">
        <v>22</v>
      </c>
      <c r="B83" s="1">
        <f>HYPERLINK("https://cordis.europa.eu/project/id/873207", "873207")</f>
        <v>0</v>
      </c>
      <c r="C83" t="s">
        <v>95</v>
      </c>
      <c r="D83" t="s">
        <v>221</v>
      </c>
      <c r="E83" t="s">
        <v>286</v>
      </c>
      <c r="F83" t="s">
        <v>394</v>
      </c>
      <c r="G83" t="s">
        <v>494</v>
      </c>
      <c r="H83" t="s">
        <v>526</v>
      </c>
      <c r="I83" t="s">
        <v>527</v>
      </c>
      <c r="J83" s="1">
        <f>HYPERLINK("https://ec.europa.eu/info/funding-tenders/opportunities/portal/screen/how-to-participate/org-details/999613131", "999613131")</f>
        <v>0</v>
      </c>
      <c r="K83" t="s">
        <v>528</v>
      </c>
      <c r="L83" t="s">
        <v>559</v>
      </c>
      <c r="M83" t="s">
        <v>578</v>
      </c>
      <c r="N83" t="b">
        <v>0</v>
      </c>
      <c r="O83" t="s">
        <v>598</v>
      </c>
      <c r="P83" t="s">
        <v>651</v>
      </c>
      <c r="Q83">
        <v>12</v>
      </c>
      <c r="R83" t="s">
        <v>700</v>
      </c>
      <c r="T83" s="2">
        <v>0</v>
      </c>
      <c r="U83" s="2">
        <v>18400</v>
      </c>
    </row>
    <row r="84" spans="1:21">
      <c r="A84" t="s">
        <v>22</v>
      </c>
      <c r="B84" s="1">
        <f>HYPERLINK("https://cordis.europa.eu/project/id/778010", "778010")</f>
        <v>0</v>
      </c>
      <c r="C84" t="s">
        <v>96</v>
      </c>
      <c r="D84" t="s">
        <v>222</v>
      </c>
      <c r="E84" t="s">
        <v>292</v>
      </c>
      <c r="F84" t="s">
        <v>385</v>
      </c>
      <c r="G84" t="s">
        <v>483</v>
      </c>
      <c r="H84" t="s">
        <v>526</v>
      </c>
      <c r="I84" t="s">
        <v>527</v>
      </c>
      <c r="J84" s="1">
        <f>HYPERLINK("https://ec.europa.eu/info/funding-tenders/opportunities/portal/screen/how-to-participate/org-details/998331567", "998331567")</f>
        <v>0</v>
      </c>
      <c r="K84" t="s">
        <v>531</v>
      </c>
      <c r="M84" t="s">
        <v>578</v>
      </c>
      <c r="N84" t="b">
        <v>0</v>
      </c>
      <c r="O84" t="s">
        <v>598</v>
      </c>
      <c r="P84" t="s">
        <v>650</v>
      </c>
      <c r="Q84">
        <v>6</v>
      </c>
      <c r="R84" t="s">
        <v>700</v>
      </c>
      <c r="T84" s="2">
        <v>0</v>
      </c>
      <c r="U84" s="2">
        <v>72000</v>
      </c>
    </row>
    <row r="85" spans="1:21">
      <c r="A85" t="s">
        <v>22</v>
      </c>
      <c r="B85" s="1">
        <f>HYPERLINK("https://cordis.europa.eu/project/id/101036822", "101036822")</f>
        <v>0</v>
      </c>
      <c r="C85" t="s">
        <v>97</v>
      </c>
      <c r="D85" t="s">
        <v>223</v>
      </c>
      <c r="E85" t="s">
        <v>310</v>
      </c>
      <c r="F85" t="s">
        <v>410</v>
      </c>
      <c r="G85" t="s">
        <v>494</v>
      </c>
      <c r="H85" t="s">
        <v>526</v>
      </c>
      <c r="I85" t="s">
        <v>527</v>
      </c>
      <c r="J85" s="1">
        <f>HYPERLINK("https://ec.europa.eu/info/funding-tenders/opportunities/portal/screen/how-to-participate/org-details/996306013", "996306013")</f>
        <v>0</v>
      </c>
      <c r="K85" t="s">
        <v>548</v>
      </c>
      <c r="M85" t="s">
        <v>580</v>
      </c>
      <c r="N85" t="b">
        <v>0</v>
      </c>
      <c r="O85" t="s">
        <v>601</v>
      </c>
      <c r="P85" t="s">
        <v>663</v>
      </c>
      <c r="Q85">
        <v>3</v>
      </c>
      <c r="R85" t="s">
        <v>698</v>
      </c>
      <c r="S85" s="2">
        <v>0</v>
      </c>
      <c r="T85" s="2">
        <v>0</v>
      </c>
      <c r="U85" s="2">
        <v>549750</v>
      </c>
    </row>
    <row r="86" spans="1:21">
      <c r="A86" t="s">
        <v>22</v>
      </c>
      <c r="B86" s="1">
        <f>HYPERLINK("https://cordis.europa.eu/project/id/101036822", "101036822")</f>
        <v>0</v>
      </c>
      <c r="C86" t="s">
        <v>97</v>
      </c>
      <c r="D86" t="s">
        <v>223</v>
      </c>
      <c r="E86" t="s">
        <v>310</v>
      </c>
      <c r="F86" t="s">
        <v>410</v>
      </c>
      <c r="G86" t="s">
        <v>494</v>
      </c>
      <c r="H86" t="s">
        <v>526</v>
      </c>
      <c r="I86" t="s">
        <v>527</v>
      </c>
      <c r="J86" s="1">
        <f>HYPERLINK("https://ec.europa.eu/info/funding-tenders/opportunities/portal/screen/how-to-participate/org-details/992582086", "992582086")</f>
        <v>0</v>
      </c>
      <c r="K86" t="s">
        <v>532</v>
      </c>
      <c r="L86" t="s">
        <v>561</v>
      </c>
      <c r="M86" t="s">
        <v>578</v>
      </c>
      <c r="N86" t="b">
        <v>0</v>
      </c>
      <c r="O86" t="s">
        <v>601</v>
      </c>
      <c r="P86" t="s">
        <v>663</v>
      </c>
      <c r="Q86">
        <v>22</v>
      </c>
      <c r="R86" t="s">
        <v>698</v>
      </c>
      <c r="S86" s="2">
        <v>0</v>
      </c>
      <c r="T86" s="2">
        <v>0</v>
      </c>
      <c r="U86" s="2">
        <v>105000</v>
      </c>
    </row>
    <row r="87" spans="1:21">
      <c r="A87" t="s">
        <v>22</v>
      </c>
      <c r="B87" s="1">
        <f>HYPERLINK("https://cordis.europa.eu/project/id/674911", "674911")</f>
        <v>0</v>
      </c>
      <c r="C87" t="s">
        <v>98</v>
      </c>
      <c r="D87" t="s">
        <v>224</v>
      </c>
      <c r="E87" t="s">
        <v>311</v>
      </c>
      <c r="F87" t="s">
        <v>403</v>
      </c>
      <c r="G87" t="s">
        <v>491</v>
      </c>
      <c r="H87" t="s">
        <v>526</v>
      </c>
      <c r="I87" t="s">
        <v>527</v>
      </c>
      <c r="J87" s="1">
        <f>HYPERLINK("https://ec.europa.eu/info/funding-tenders/opportunities/portal/screen/how-to-participate/org-details/888895891", "888895891")</f>
        <v>0</v>
      </c>
      <c r="K87" t="s">
        <v>549</v>
      </c>
      <c r="M87" t="s">
        <v>579</v>
      </c>
      <c r="N87" t="b">
        <v>0</v>
      </c>
      <c r="O87" t="s">
        <v>600</v>
      </c>
      <c r="P87" t="s">
        <v>664</v>
      </c>
      <c r="Q87">
        <v>16</v>
      </c>
      <c r="R87" t="s">
        <v>700</v>
      </c>
      <c r="T87" s="2">
        <v>0</v>
      </c>
      <c r="U87" s="2">
        <v>0</v>
      </c>
    </row>
    <row r="88" spans="1:21">
      <c r="A88" t="s">
        <v>22</v>
      </c>
      <c r="B88" s="1">
        <f>HYPERLINK("https://cordis.europa.eu/project/id/734317", "734317")</f>
        <v>0</v>
      </c>
      <c r="C88" t="s">
        <v>99</v>
      </c>
      <c r="D88" t="s">
        <v>225</v>
      </c>
      <c r="E88" t="s">
        <v>309</v>
      </c>
      <c r="F88" t="s">
        <v>411</v>
      </c>
      <c r="G88" t="s">
        <v>495</v>
      </c>
      <c r="H88" t="s">
        <v>526</v>
      </c>
      <c r="I88" t="s">
        <v>527</v>
      </c>
      <c r="J88" s="1">
        <f>HYPERLINK("https://ec.europa.eu/info/funding-tenders/opportunities/portal/screen/how-to-participate/org-details/997692046", "997692046")</f>
        <v>0</v>
      </c>
      <c r="K88" t="s">
        <v>547</v>
      </c>
      <c r="L88" t="s">
        <v>572</v>
      </c>
      <c r="M88" t="s">
        <v>580</v>
      </c>
      <c r="N88" t="b">
        <v>0</v>
      </c>
      <c r="O88" t="s">
        <v>598</v>
      </c>
      <c r="P88" t="s">
        <v>660</v>
      </c>
      <c r="Q88">
        <v>19</v>
      </c>
      <c r="R88" t="s">
        <v>700</v>
      </c>
      <c r="T88" s="2">
        <v>0</v>
      </c>
      <c r="U88" s="2">
        <v>0</v>
      </c>
    </row>
    <row r="89" spans="1:21">
      <c r="A89" t="s">
        <v>22</v>
      </c>
      <c r="B89" s="1">
        <f>HYPERLINK("https://cordis.europa.eu/project/id/101023635", "101023635")</f>
        <v>0</v>
      </c>
      <c r="C89" t="s">
        <v>100</v>
      </c>
      <c r="D89" t="s">
        <v>226</v>
      </c>
      <c r="E89" t="s">
        <v>312</v>
      </c>
      <c r="F89" t="s">
        <v>412</v>
      </c>
      <c r="G89" t="s">
        <v>496</v>
      </c>
      <c r="H89" t="s">
        <v>526</v>
      </c>
      <c r="I89" t="s">
        <v>527</v>
      </c>
      <c r="J89" s="1">
        <f>HYPERLINK("https://ec.europa.eu/info/funding-tenders/opportunities/portal/screen/how-to-participate/org-details/999873673", "999873673")</f>
        <v>0</v>
      </c>
      <c r="K89" t="s">
        <v>529</v>
      </c>
      <c r="M89" t="s">
        <v>578</v>
      </c>
      <c r="N89" t="b">
        <v>0</v>
      </c>
      <c r="O89" t="s">
        <v>595</v>
      </c>
      <c r="P89" t="s">
        <v>665</v>
      </c>
      <c r="Q89">
        <v>2</v>
      </c>
      <c r="R89" t="s">
        <v>700</v>
      </c>
      <c r="T89" s="2">
        <v>0</v>
      </c>
      <c r="U89" s="2">
        <v>0</v>
      </c>
    </row>
    <row r="90" spans="1:21">
      <c r="A90" t="s">
        <v>22</v>
      </c>
      <c r="B90" s="1">
        <f>HYPERLINK("https://cordis.europa.eu/project/id/731143", "731143")</f>
        <v>0</v>
      </c>
      <c r="C90" t="s">
        <v>101</v>
      </c>
      <c r="D90" t="s">
        <v>227</v>
      </c>
      <c r="E90" t="s">
        <v>309</v>
      </c>
      <c r="F90" t="s">
        <v>409</v>
      </c>
      <c r="G90" t="s">
        <v>497</v>
      </c>
      <c r="H90" t="s">
        <v>526</v>
      </c>
      <c r="I90" t="s">
        <v>527</v>
      </c>
      <c r="J90" s="1">
        <f>HYPERLINK("https://ec.europa.eu/info/funding-tenders/opportunities/portal/screen/how-to-participate/org-details/999873673", "999873673")</f>
        <v>0</v>
      </c>
      <c r="K90" t="s">
        <v>529</v>
      </c>
      <c r="M90" t="s">
        <v>578</v>
      </c>
      <c r="N90" t="b">
        <v>0</v>
      </c>
      <c r="O90" t="s">
        <v>598</v>
      </c>
      <c r="P90" t="s">
        <v>660</v>
      </c>
      <c r="Q90">
        <v>19</v>
      </c>
      <c r="R90" t="s">
        <v>700</v>
      </c>
      <c r="T90" s="2">
        <v>0</v>
      </c>
      <c r="U90" s="2">
        <v>130500</v>
      </c>
    </row>
    <row r="91" spans="1:21">
      <c r="A91" t="s">
        <v>22</v>
      </c>
      <c r="B91" s="1">
        <f>HYPERLINK("https://cordis.europa.eu/project/id/676480", "676480")</f>
        <v>0</v>
      </c>
      <c r="C91" t="s">
        <v>102</v>
      </c>
      <c r="D91" t="s">
        <v>228</v>
      </c>
      <c r="E91" t="s">
        <v>313</v>
      </c>
      <c r="F91" t="s">
        <v>413</v>
      </c>
      <c r="G91" t="s">
        <v>498</v>
      </c>
      <c r="H91" t="s">
        <v>526</v>
      </c>
      <c r="I91" t="s">
        <v>527</v>
      </c>
      <c r="J91" s="1">
        <f>HYPERLINK("https://ec.europa.eu/info/funding-tenders/opportunities/portal/screen/how-to-participate/org-details/992582086", "992582086")</f>
        <v>0</v>
      </c>
      <c r="K91" t="s">
        <v>532</v>
      </c>
      <c r="L91" t="s">
        <v>561</v>
      </c>
      <c r="M91" t="s">
        <v>578</v>
      </c>
      <c r="N91" t="b">
        <v>0</v>
      </c>
      <c r="O91" t="s">
        <v>600</v>
      </c>
      <c r="P91" t="s">
        <v>664</v>
      </c>
      <c r="Q91">
        <v>15</v>
      </c>
      <c r="R91" t="s">
        <v>700</v>
      </c>
      <c r="T91" s="2">
        <v>0</v>
      </c>
      <c r="U91" s="2">
        <v>0</v>
      </c>
    </row>
    <row r="92" spans="1:21">
      <c r="A92" t="s">
        <v>22</v>
      </c>
      <c r="B92" s="1">
        <f>HYPERLINK("https://cordis.europa.eu/project/id/691246", "691246")</f>
        <v>0</v>
      </c>
      <c r="C92" t="s">
        <v>103</v>
      </c>
      <c r="D92" t="s">
        <v>229</v>
      </c>
      <c r="E92" t="s">
        <v>314</v>
      </c>
      <c r="F92" t="s">
        <v>403</v>
      </c>
      <c r="G92" t="s">
        <v>491</v>
      </c>
      <c r="H92" t="s">
        <v>526</v>
      </c>
      <c r="I92" t="s">
        <v>527</v>
      </c>
      <c r="J92" s="1">
        <f>HYPERLINK("https://ec.europa.eu/info/funding-tenders/opportunities/portal/screen/how-to-participate/org-details/998331567", "998331567")</f>
        <v>0</v>
      </c>
      <c r="K92" t="s">
        <v>531</v>
      </c>
      <c r="M92" t="s">
        <v>578</v>
      </c>
      <c r="N92" t="b">
        <v>0</v>
      </c>
      <c r="O92" t="s">
        <v>598</v>
      </c>
      <c r="P92" t="s">
        <v>662</v>
      </c>
      <c r="Q92">
        <v>19</v>
      </c>
      <c r="R92" t="s">
        <v>700</v>
      </c>
      <c r="T92" s="2">
        <v>0</v>
      </c>
      <c r="U92" s="2">
        <v>0</v>
      </c>
    </row>
    <row r="93" spans="1:21">
      <c r="A93" t="s">
        <v>22</v>
      </c>
      <c r="B93" s="1">
        <f>HYPERLINK("https://cordis.europa.eu/project/id/645717", "645717")</f>
        <v>0</v>
      </c>
      <c r="C93" t="s">
        <v>104</v>
      </c>
      <c r="D93" t="s">
        <v>230</v>
      </c>
      <c r="E93" t="s">
        <v>315</v>
      </c>
      <c r="F93" t="s">
        <v>405</v>
      </c>
      <c r="G93" t="s">
        <v>453</v>
      </c>
      <c r="H93" t="s">
        <v>526</v>
      </c>
      <c r="I93" t="s">
        <v>527</v>
      </c>
      <c r="J93" s="1">
        <f>HYPERLINK("https://ec.europa.eu/info/funding-tenders/opportunities/portal/screen/how-to-participate/org-details/998317211", "998317211")</f>
        <v>0</v>
      </c>
      <c r="K93" t="s">
        <v>538</v>
      </c>
      <c r="M93" t="s">
        <v>580</v>
      </c>
      <c r="N93" t="b">
        <v>0</v>
      </c>
      <c r="O93" t="s">
        <v>598</v>
      </c>
      <c r="P93" t="s">
        <v>666</v>
      </c>
      <c r="Q93">
        <v>7</v>
      </c>
      <c r="R93" t="s">
        <v>700</v>
      </c>
      <c r="T93" s="2">
        <v>0</v>
      </c>
      <c r="U93" s="2">
        <v>45000</v>
      </c>
    </row>
    <row r="94" spans="1:21">
      <c r="A94" t="s">
        <v>22</v>
      </c>
      <c r="B94" s="1">
        <f>HYPERLINK("https://cordis.europa.eu/project/id/645717", "645717")</f>
        <v>0</v>
      </c>
      <c r="C94" t="s">
        <v>104</v>
      </c>
      <c r="D94" t="s">
        <v>230</v>
      </c>
      <c r="E94" t="s">
        <v>315</v>
      </c>
      <c r="F94" t="s">
        <v>405</v>
      </c>
      <c r="G94" t="s">
        <v>453</v>
      </c>
      <c r="H94" t="s">
        <v>526</v>
      </c>
      <c r="I94" t="s">
        <v>527</v>
      </c>
      <c r="J94" s="1">
        <f>HYPERLINK("https://ec.europa.eu/info/funding-tenders/opportunities/portal/screen/how-to-participate/org-details/999613131", "999613131")</f>
        <v>0</v>
      </c>
      <c r="K94" t="s">
        <v>528</v>
      </c>
      <c r="L94" t="s">
        <v>559</v>
      </c>
      <c r="M94" t="s">
        <v>578</v>
      </c>
      <c r="N94" t="b">
        <v>0</v>
      </c>
      <c r="O94" t="s">
        <v>598</v>
      </c>
      <c r="P94" t="s">
        <v>666</v>
      </c>
      <c r="Q94">
        <v>6</v>
      </c>
      <c r="R94" t="s">
        <v>700</v>
      </c>
      <c r="T94" s="2">
        <v>0</v>
      </c>
      <c r="U94" s="2">
        <v>81000</v>
      </c>
    </row>
    <row r="95" spans="1:21">
      <c r="A95" t="s">
        <v>22</v>
      </c>
      <c r="B95" s="1">
        <f>HYPERLINK("https://cordis.europa.eu/project/id/786571", "786571")</f>
        <v>0</v>
      </c>
      <c r="C95" t="s">
        <v>105</v>
      </c>
      <c r="D95" t="s">
        <v>231</v>
      </c>
      <c r="E95" t="s">
        <v>316</v>
      </c>
      <c r="F95" t="s">
        <v>414</v>
      </c>
      <c r="G95" t="s">
        <v>499</v>
      </c>
      <c r="H95" t="s">
        <v>526</v>
      </c>
      <c r="I95" t="s">
        <v>527</v>
      </c>
      <c r="J95" s="1">
        <f>HYPERLINK("https://ec.europa.eu/info/funding-tenders/opportunities/portal/screen/how-to-participate/org-details/905831106", "905831106")</f>
        <v>0</v>
      </c>
      <c r="K95" t="s">
        <v>550</v>
      </c>
      <c r="M95" t="s">
        <v>581</v>
      </c>
      <c r="N95" t="b">
        <v>0</v>
      </c>
      <c r="O95" t="s">
        <v>589</v>
      </c>
      <c r="P95" t="s">
        <v>667</v>
      </c>
      <c r="Q95">
        <v>7</v>
      </c>
      <c r="R95" t="s">
        <v>698</v>
      </c>
      <c r="S95" s="2">
        <v>25000</v>
      </c>
      <c r="T95" s="2">
        <v>25000</v>
      </c>
      <c r="U95" s="2">
        <v>90500</v>
      </c>
    </row>
    <row r="96" spans="1:21">
      <c r="A96" t="s">
        <v>22</v>
      </c>
      <c r="B96" s="1">
        <f>HYPERLINK("https://cordis.europa.eu/project/id/821115", "821115")</f>
        <v>0</v>
      </c>
      <c r="C96" t="s">
        <v>106</v>
      </c>
      <c r="D96" t="s">
        <v>232</v>
      </c>
      <c r="E96" t="s">
        <v>317</v>
      </c>
      <c r="F96" t="s">
        <v>415</v>
      </c>
      <c r="G96" t="s">
        <v>500</v>
      </c>
      <c r="H96" t="s">
        <v>526</v>
      </c>
      <c r="I96" t="s">
        <v>527</v>
      </c>
      <c r="J96" s="1">
        <f>HYPERLINK("https://ec.europa.eu/info/funding-tenders/opportunities/portal/screen/how-to-participate/org-details/984448442", "984448442")</f>
        <v>0</v>
      </c>
      <c r="K96" t="s">
        <v>551</v>
      </c>
      <c r="L96" t="s">
        <v>573</v>
      </c>
      <c r="M96" t="s">
        <v>580</v>
      </c>
      <c r="N96" t="b">
        <v>0</v>
      </c>
      <c r="O96" t="s">
        <v>599</v>
      </c>
      <c r="P96" t="s">
        <v>668</v>
      </c>
      <c r="Q96">
        <v>1</v>
      </c>
      <c r="R96" t="s">
        <v>701</v>
      </c>
      <c r="S96" s="2">
        <v>0</v>
      </c>
      <c r="T96" s="2">
        <v>0</v>
      </c>
      <c r="U96" s="2">
        <v>70000</v>
      </c>
    </row>
    <row r="97" spans="1:21">
      <c r="A97" t="s">
        <v>22</v>
      </c>
      <c r="B97" s="1">
        <f>HYPERLINK("https://cordis.europa.eu/project/id/681228", "681228")</f>
        <v>0</v>
      </c>
      <c r="C97" t="s">
        <v>107</v>
      </c>
      <c r="D97" t="s">
        <v>233</v>
      </c>
      <c r="E97" t="s">
        <v>298</v>
      </c>
      <c r="F97" t="s">
        <v>395</v>
      </c>
      <c r="G97" t="s">
        <v>489</v>
      </c>
      <c r="H97" t="s">
        <v>526</v>
      </c>
      <c r="I97" t="s">
        <v>527</v>
      </c>
      <c r="J97" s="1">
        <f>HYPERLINK("https://ec.europa.eu/info/funding-tenders/opportunities/portal/screen/how-to-participate/org-details/999613131", "999613131")</f>
        <v>0</v>
      </c>
      <c r="K97" t="s">
        <v>528</v>
      </c>
      <c r="L97" t="s">
        <v>559</v>
      </c>
      <c r="M97" t="s">
        <v>578</v>
      </c>
      <c r="N97" t="b">
        <v>0</v>
      </c>
      <c r="O97" t="s">
        <v>598</v>
      </c>
      <c r="P97" t="s">
        <v>662</v>
      </c>
      <c r="Q97">
        <v>19</v>
      </c>
      <c r="R97" t="s">
        <v>700</v>
      </c>
      <c r="T97" s="2">
        <v>0</v>
      </c>
      <c r="U97" s="2">
        <v>274500</v>
      </c>
    </row>
    <row r="98" spans="1:21">
      <c r="A98" t="s">
        <v>22</v>
      </c>
      <c r="B98" s="1">
        <f>HYPERLINK("https://cordis.europa.eu/project/id/645668", "645668")</f>
        <v>0</v>
      </c>
      <c r="C98" t="s">
        <v>108</v>
      </c>
      <c r="D98" t="s">
        <v>234</v>
      </c>
      <c r="E98" t="s">
        <v>318</v>
      </c>
      <c r="F98" t="s">
        <v>405</v>
      </c>
      <c r="G98" t="s">
        <v>501</v>
      </c>
      <c r="H98" t="s">
        <v>526</v>
      </c>
      <c r="I98" t="s">
        <v>527</v>
      </c>
      <c r="J98" s="1">
        <f>HYPERLINK("https://ec.europa.eu/info/funding-tenders/opportunities/portal/screen/how-to-participate/org-details/999613131", "999613131")</f>
        <v>0</v>
      </c>
      <c r="K98" t="s">
        <v>528</v>
      </c>
      <c r="L98" t="s">
        <v>559</v>
      </c>
      <c r="M98" t="s">
        <v>578</v>
      </c>
      <c r="N98" t="b">
        <v>0</v>
      </c>
      <c r="O98" t="s">
        <v>598</v>
      </c>
      <c r="P98" t="s">
        <v>666</v>
      </c>
      <c r="Q98">
        <v>5</v>
      </c>
      <c r="R98" t="s">
        <v>700</v>
      </c>
      <c r="T98" s="2">
        <v>0</v>
      </c>
      <c r="U98" s="2">
        <v>27000</v>
      </c>
    </row>
    <row r="99" spans="1:21">
      <c r="A99" t="s">
        <v>22</v>
      </c>
      <c r="B99" s="1">
        <f>HYPERLINK("https://cordis.europa.eu/project/id/642241", "642241")</f>
        <v>0</v>
      </c>
      <c r="C99" t="s">
        <v>109</v>
      </c>
      <c r="D99" t="s">
        <v>235</v>
      </c>
      <c r="E99" t="s">
        <v>319</v>
      </c>
      <c r="F99" t="s">
        <v>405</v>
      </c>
      <c r="G99" t="s">
        <v>453</v>
      </c>
      <c r="H99" t="s">
        <v>526</v>
      </c>
      <c r="I99" t="s">
        <v>527</v>
      </c>
      <c r="J99" s="1">
        <f>HYPERLINK("https://ec.europa.eu/info/funding-tenders/opportunities/portal/screen/how-to-participate/org-details/996569368", "996569368")</f>
        <v>0</v>
      </c>
      <c r="K99" t="s">
        <v>533</v>
      </c>
      <c r="L99" t="s">
        <v>562</v>
      </c>
      <c r="M99" t="s">
        <v>580</v>
      </c>
      <c r="N99" t="b">
        <v>0</v>
      </c>
      <c r="O99" t="s">
        <v>600</v>
      </c>
      <c r="P99" t="s">
        <v>658</v>
      </c>
      <c r="Q99">
        <v>18</v>
      </c>
      <c r="R99" t="s">
        <v>700</v>
      </c>
      <c r="T99" s="2">
        <v>0</v>
      </c>
      <c r="U99" s="2">
        <v>0</v>
      </c>
    </row>
    <row r="100" spans="1:21">
      <c r="A100" t="s">
        <v>22</v>
      </c>
      <c r="B100" s="1">
        <f>HYPERLINK("https://cordis.europa.eu/project/id/101000224", "101000224")</f>
        <v>0</v>
      </c>
      <c r="C100" t="s">
        <v>110</v>
      </c>
      <c r="D100" t="s">
        <v>236</v>
      </c>
      <c r="E100" t="s">
        <v>320</v>
      </c>
      <c r="F100" t="s">
        <v>416</v>
      </c>
      <c r="G100" t="s">
        <v>472</v>
      </c>
      <c r="H100" t="s">
        <v>526</v>
      </c>
      <c r="I100" t="s">
        <v>527</v>
      </c>
      <c r="J100" s="1">
        <f>HYPERLINK("https://ec.europa.eu/info/funding-tenders/opportunities/portal/screen/how-to-participate/org-details/999851654", "999851654")</f>
        <v>0</v>
      </c>
      <c r="K100" t="s">
        <v>537</v>
      </c>
      <c r="M100" t="s">
        <v>578</v>
      </c>
      <c r="N100" t="b">
        <v>0</v>
      </c>
      <c r="O100" t="s">
        <v>599</v>
      </c>
      <c r="P100" t="s">
        <v>669</v>
      </c>
      <c r="Q100">
        <v>9</v>
      </c>
      <c r="R100" t="s">
        <v>698</v>
      </c>
      <c r="S100" s="2">
        <v>0</v>
      </c>
      <c r="T100" s="2">
        <v>0</v>
      </c>
    </row>
    <row r="101" spans="1:21">
      <c r="A101" t="s">
        <v>22</v>
      </c>
      <c r="B101" s="1">
        <f>HYPERLINK("https://cordis.europa.eu/project/id/825731", "825731")</f>
        <v>0</v>
      </c>
      <c r="C101" t="s">
        <v>111</v>
      </c>
      <c r="D101" t="s">
        <v>237</v>
      </c>
      <c r="E101" t="s">
        <v>321</v>
      </c>
      <c r="F101" t="s">
        <v>391</v>
      </c>
      <c r="G101" t="s">
        <v>483</v>
      </c>
      <c r="H101" t="s">
        <v>526</v>
      </c>
      <c r="I101" t="s">
        <v>527</v>
      </c>
      <c r="J101" s="1">
        <f>HYPERLINK("https://ec.europa.eu/info/funding-tenders/opportunities/portal/screen/how-to-participate/org-details/998770104", "998770104")</f>
        <v>0</v>
      </c>
      <c r="K101" t="s">
        <v>540</v>
      </c>
      <c r="L101" t="s">
        <v>567</v>
      </c>
      <c r="M101" t="s">
        <v>580</v>
      </c>
      <c r="N101" t="b">
        <v>0</v>
      </c>
      <c r="O101" t="s">
        <v>599</v>
      </c>
      <c r="P101" t="s">
        <v>670</v>
      </c>
      <c r="Q101">
        <v>13</v>
      </c>
      <c r="R101" t="s">
        <v>698</v>
      </c>
      <c r="S101" s="2">
        <v>0</v>
      </c>
      <c r="T101" s="2">
        <v>0</v>
      </c>
      <c r="U101" s="2">
        <v>45500</v>
      </c>
    </row>
    <row r="102" spans="1:21">
      <c r="A102" t="s">
        <v>22</v>
      </c>
      <c r="B102" s="1">
        <f>HYPERLINK("https://cordis.europa.eu/project/id/824077", "824077")</f>
        <v>0</v>
      </c>
      <c r="C102" t="s">
        <v>112</v>
      </c>
      <c r="D102" t="s">
        <v>238</v>
      </c>
      <c r="E102" t="s">
        <v>322</v>
      </c>
      <c r="F102" t="s">
        <v>417</v>
      </c>
      <c r="G102" t="s">
        <v>485</v>
      </c>
      <c r="H102" t="s">
        <v>526</v>
      </c>
      <c r="I102" t="s">
        <v>527</v>
      </c>
      <c r="J102" s="1">
        <f>HYPERLINK("https://ec.europa.eu/info/funding-tenders/opportunities/portal/screen/how-to-participate/org-details/997692046", "997692046")</f>
        <v>0</v>
      </c>
      <c r="K102" t="s">
        <v>547</v>
      </c>
      <c r="L102" t="s">
        <v>572</v>
      </c>
      <c r="M102" t="s">
        <v>580</v>
      </c>
      <c r="N102" t="b">
        <v>0</v>
      </c>
      <c r="O102" t="s">
        <v>599</v>
      </c>
      <c r="P102" t="s">
        <v>671</v>
      </c>
      <c r="Q102">
        <v>33</v>
      </c>
      <c r="R102" t="s">
        <v>698</v>
      </c>
      <c r="S102" s="2">
        <v>466922.5</v>
      </c>
      <c r="T102" s="2">
        <v>466922.5</v>
      </c>
    </row>
    <row r="103" spans="1:21">
      <c r="A103" t="s">
        <v>22</v>
      </c>
      <c r="B103" s="1">
        <f>HYPERLINK("https://cordis.europa.eu/project/id/764908", "764908")</f>
        <v>0</v>
      </c>
      <c r="C103" t="s">
        <v>113</v>
      </c>
      <c r="D103" t="s">
        <v>239</v>
      </c>
      <c r="E103" t="s">
        <v>323</v>
      </c>
      <c r="F103" t="s">
        <v>385</v>
      </c>
      <c r="G103" t="s">
        <v>502</v>
      </c>
      <c r="H103" t="s">
        <v>526</v>
      </c>
      <c r="I103" t="s">
        <v>527</v>
      </c>
      <c r="J103" s="1">
        <f>HYPERLINK("https://ec.europa.eu/info/funding-tenders/opportunities/portal/screen/how-to-participate/org-details/999613131", "999613131")</f>
        <v>0</v>
      </c>
      <c r="K103" t="s">
        <v>528</v>
      </c>
      <c r="L103" t="s">
        <v>559</v>
      </c>
      <c r="M103" t="s">
        <v>578</v>
      </c>
      <c r="N103" t="b">
        <v>0</v>
      </c>
      <c r="O103" t="s">
        <v>602</v>
      </c>
      <c r="P103" t="s">
        <v>672</v>
      </c>
      <c r="Q103">
        <v>11</v>
      </c>
      <c r="R103" t="s">
        <v>700</v>
      </c>
      <c r="T103" s="2">
        <v>0</v>
      </c>
      <c r="U103" s="2">
        <v>0</v>
      </c>
    </row>
    <row r="104" spans="1:21">
      <c r="A104" t="s">
        <v>22</v>
      </c>
      <c r="B104" s="1">
        <f>HYPERLINK("https://cordis.europa.eu/project/id/691037", "691037")</f>
        <v>0</v>
      </c>
      <c r="C104" t="s">
        <v>114</v>
      </c>
      <c r="D104" t="s">
        <v>240</v>
      </c>
      <c r="E104" t="s">
        <v>324</v>
      </c>
      <c r="F104" t="s">
        <v>403</v>
      </c>
      <c r="G104" t="s">
        <v>491</v>
      </c>
      <c r="H104" t="s">
        <v>526</v>
      </c>
      <c r="I104" t="s">
        <v>527</v>
      </c>
      <c r="J104" s="1">
        <f>HYPERLINK("https://ec.europa.eu/info/funding-tenders/opportunities/portal/screen/how-to-participate/org-details/966956432", "966956432")</f>
        <v>0</v>
      </c>
      <c r="K104" t="s">
        <v>543</v>
      </c>
      <c r="L104" t="s">
        <v>543</v>
      </c>
      <c r="M104" t="s">
        <v>578</v>
      </c>
      <c r="N104" t="b">
        <v>0</v>
      </c>
      <c r="O104" t="s">
        <v>598</v>
      </c>
      <c r="P104" t="s">
        <v>662</v>
      </c>
      <c r="Q104">
        <v>4</v>
      </c>
      <c r="R104" t="s">
        <v>700</v>
      </c>
      <c r="T104" s="2">
        <v>0</v>
      </c>
      <c r="U104" s="2">
        <v>85500</v>
      </c>
    </row>
    <row r="105" spans="1:21">
      <c r="A105" t="s">
        <v>22</v>
      </c>
      <c r="B105" s="1">
        <f>HYPERLINK("https://cordis.europa.eu/project/id/862957", "862957")</f>
        <v>0</v>
      </c>
      <c r="C105" t="s">
        <v>115</v>
      </c>
      <c r="D105" t="s">
        <v>241</v>
      </c>
      <c r="E105" t="s">
        <v>325</v>
      </c>
      <c r="F105" t="s">
        <v>394</v>
      </c>
      <c r="G105" t="s">
        <v>473</v>
      </c>
      <c r="H105" t="s">
        <v>526</v>
      </c>
      <c r="I105" t="s">
        <v>527</v>
      </c>
      <c r="J105" s="1">
        <f>HYPERLINK("https://ec.europa.eu/info/funding-tenders/opportunities/portal/screen/how-to-participate/org-details/996306013", "996306013")</f>
        <v>0</v>
      </c>
      <c r="K105" t="s">
        <v>548</v>
      </c>
      <c r="M105" t="s">
        <v>580</v>
      </c>
      <c r="N105" t="b">
        <v>0</v>
      </c>
      <c r="O105" t="s">
        <v>601</v>
      </c>
      <c r="P105" t="s">
        <v>673</v>
      </c>
      <c r="Q105">
        <v>32</v>
      </c>
      <c r="R105" t="s">
        <v>698</v>
      </c>
      <c r="S105" s="2">
        <v>0</v>
      </c>
      <c r="T105" s="2">
        <v>0</v>
      </c>
      <c r="U105" s="2">
        <v>75950</v>
      </c>
    </row>
    <row r="106" spans="1:21">
      <c r="A106" t="s">
        <v>22</v>
      </c>
      <c r="B106" s="1">
        <f>HYPERLINK("https://cordis.europa.eu/project/id/870245", "870245")</f>
        <v>0</v>
      </c>
      <c r="C106" t="s">
        <v>116</v>
      </c>
      <c r="D106" t="s">
        <v>242</v>
      </c>
      <c r="E106" t="s">
        <v>286</v>
      </c>
      <c r="F106" t="s">
        <v>418</v>
      </c>
      <c r="G106" t="s">
        <v>503</v>
      </c>
      <c r="H106" t="s">
        <v>526</v>
      </c>
      <c r="I106" t="s">
        <v>527</v>
      </c>
      <c r="J106" s="1">
        <f>HYPERLINK("https://ec.europa.eu/info/funding-tenders/opportunities/portal/screen/how-to-participate/org-details/999613131", "999613131")</f>
        <v>0</v>
      </c>
      <c r="K106" t="s">
        <v>528</v>
      </c>
      <c r="L106" t="s">
        <v>559</v>
      </c>
      <c r="M106" t="s">
        <v>578</v>
      </c>
      <c r="N106" t="b">
        <v>0</v>
      </c>
      <c r="O106" t="s">
        <v>598</v>
      </c>
      <c r="P106" t="s">
        <v>651</v>
      </c>
      <c r="Q106">
        <v>19</v>
      </c>
      <c r="R106" t="s">
        <v>700</v>
      </c>
      <c r="T106" s="2">
        <v>0</v>
      </c>
      <c r="U106" s="2">
        <v>96600</v>
      </c>
    </row>
    <row r="107" spans="1:21">
      <c r="A107" t="s">
        <v>22</v>
      </c>
      <c r="B107" s="1">
        <f>HYPERLINK("https://cordis.europa.eu/project/id/734690", "734690")</f>
        <v>0</v>
      </c>
      <c r="C107" t="s">
        <v>117</v>
      </c>
      <c r="D107" t="s">
        <v>243</v>
      </c>
      <c r="E107" t="s">
        <v>280</v>
      </c>
      <c r="F107" t="s">
        <v>389</v>
      </c>
      <c r="G107" t="s">
        <v>482</v>
      </c>
      <c r="H107" t="s">
        <v>526</v>
      </c>
      <c r="I107" t="s">
        <v>527</v>
      </c>
      <c r="J107" s="1">
        <f>HYPERLINK("https://ec.europa.eu/info/funding-tenders/opportunities/portal/screen/how-to-participate/org-details/999613131", "999613131")</f>
        <v>0</v>
      </c>
      <c r="K107" t="s">
        <v>528</v>
      </c>
      <c r="L107" t="s">
        <v>559</v>
      </c>
      <c r="M107" t="s">
        <v>578</v>
      </c>
      <c r="N107" t="b">
        <v>0</v>
      </c>
      <c r="O107" t="s">
        <v>598</v>
      </c>
      <c r="P107" t="s">
        <v>660</v>
      </c>
      <c r="Q107">
        <v>9</v>
      </c>
      <c r="R107" t="s">
        <v>700</v>
      </c>
      <c r="T107" s="2">
        <v>0</v>
      </c>
      <c r="U107" s="2">
        <v>0</v>
      </c>
    </row>
    <row r="108" spans="1:21">
      <c r="A108" t="s">
        <v>22</v>
      </c>
      <c r="B108" s="1">
        <f>HYPERLINK("https://cordis.europa.eu/project/id/691070", "691070")</f>
        <v>0</v>
      </c>
      <c r="C108" t="s">
        <v>118</v>
      </c>
      <c r="D108" t="s">
        <v>244</v>
      </c>
      <c r="E108" t="s">
        <v>326</v>
      </c>
      <c r="F108" t="s">
        <v>403</v>
      </c>
      <c r="G108" t="s">
        <v>491</v>
      </c>
      <c r="H108" t="s">
        <v>526</v>
      </c>
      <c r="I108" t="s">
        <v>527</v>
      </c>
      <c r="J108" s="1">
        <f>HYPERLINK("https://ec.europa.eu/info/funding-tenders/opportunities/portal/screen/how-to-participate/org-details/992582086", "992582086")</f>
        <v>0</v>
      </c>
      <c r="K108" t="s">
        <v>532</v>
      </c>
      <c r="L108" t="s">
        <v>561</v>
      </c>
      <c r="M108" t="s">
        <v>578</v>
      </c>
      <c r="N108" t="b">
        <v>0</v>
      </c>
      <c r="O108" t="s">
        <v>598</v>
      </c>
      <c r="P108" t="s">
        <v>662</v>
      </c>
      <c r="Q108">
        <v>6</v>
      </c>
      <c r="R108" t="s">
        <v>700</v>
      </c>
      <c r="T108" s="2">
        <v>0</v>
      </c>
      <c r="U108" s="2">
        <v>31500</v>
      </c>
    </row>
    <row r="109" spans="1:21">
      <c r="A109" t="s">
        <v>22</v>
      </c>
      <c r="B109" s="1">
        <f>HYPERLINK("https://cordis.europa.eu/project/id/731016", "731016")</f>
        <v>0</v>
      </c>
      <c r="C109" t="s">
        <v>119</v>
      </c>
      <c r="D109" t="s">
        <v>245</v>
      </c>
      <c r="E109" t="s">
        <v>327</v>
      </c>
      <c r="F109" t="s">
        <v>389</v>
      </c>
      <c r="G109" t="s">
        <v>491</v>
      </c>
      <c r="H109" t="s">
        <v>526</v>
      </c>
      <c r="I109" t="s">
        <v>527</v>
      </c>
      <c r="J109" s="1">
        <f>HYPERLINK("https://ec.europa.eu/info/funding-tenders/opportunities/portal/screen/how-to-participate/org-details/998295580", "998295580")</f>
        <v>0</v>
      </c>
      <c r="K109" t="s">
        <v>534</v>
      </c>
      <c r="L109" t="s">
        <v>563</v>
      </c>
      <c r="M109" t="s">
        <v>580</v>
      </c>
      <c r="N109" t="b">
        <v>0</v>
      </c>
      <c r="O109" t="s">
        <v>599</v>
      </c>
      <c r="P109" t="s">
        <v>674</v>
      </c>
      <c r="Q109">
        <v>24</v>
      </c>
      <c r="R109" t="s">
        <v>698</v>
      </c>
      <c r="S109" s="2">
        <v>0</v>
      </c>
      <c r="T109" s="2">
        <v>0</v>
      </c>
      <c r="U109" s="2">
        <v>0</v>
      </c>
    </row>
    <row r="110" spans="1:21">
      <c r="A110" t="s">
        <v>22</v>
      </c>
      <c r="B110" s="1">
        <f>HYPERLINK("https://cordis.europa.eu/project/id/818116", "818116")</f>
        <v>0</v>
      </c>
      <c r="C110" t="s">
        <v>120</v>
      </c>
      <c r="D110" t="s">
        <v>246</v>
      </c>
      <c r="E110" t="s">
        <v>328</v>
      </c>
      <c r="F110" t="s">
        <v>419</v>
      </c>
      <c r="G110" t="s">
        <v>504</v>
      </c>
      <c r="H110" t="s">
        <v>526</v>
      </c>
      <c r="I110" t="s">
        <v>527</v>
      </c>
      <c r="J110" s="1">
        <f>HYPERLINK("https://ec.europa.eu/info/funding-tenders/opportunities/portal/screen/how-to-participate/org-details/991108074", "991108074")</f>
        <v>0</v>
      </c>
      <c r="K110" t="s">
        <v>546</v>
      </c>
      <c r="L110" t="s">
        <v>571</v>
      </c>
      <c r="M110" t="s">
        <v>579</v>
      </c>
      <c r="N110" t="b">
        <v>0</v>
      </c>
      <c r="O110" t="s">
        <v>589</v>
      </c>
      <c r="P110" t="s">
        <v>675</v>
      </c>
      <c r="Q110">
        <v>1</v>
      </c>
      <c r="R110" t="s">
        <v>701</v>
      </c>
      <c r="S110" s="2">
        <v>0</v>
      </c>
      <c r="T110" s="2">
        <v>0</v>
      </c>
      <c r="U110" s="2">
        <v>35000</v>
      </c>
    </row>
    <row r="111" spans="1:21">
      <c r="A111" t="s">
        <v>22</v>
      </c>
      <c r="B111" s="1">
        <f>HYPERLINK("https://cordis.europa.eu/project/id/774378", "774378")</f>
        <v>0</v>
      </c>
      <c r="C111" t="s">
        <v>121</v>
      </c>
      <c r="D111" t="s">
        <v>247</v>
      </c>
      <c r="E111" t="s">
        <v>329</v>
      </c>
      <c r="F111" t="s">
        <v>420</v>
      </c>
      <c r="G111" t="s">
        <v>505</v>
      </c>
      <c r="H111" t="s">
        <v>526</v>
      </c>
      <c r="I111" t="s">
        <v>527</v>
      </c>
      <c r="J111" s="1">
        <f>HYPERLINK("https://ec.europa.eu/info/funding-tenders/opportunities/portal/screen/how-to-participate/org-details/996306013", "996306013")</f>
        <v>0</v>
      </c>
      <c r="K111" t="s">
        <v>548</v>
      </c>
      <c r="M111" t="s">
        <v>580</v>
      </c>
      <c r="N111" t="b">
        <v>0</v>
      </c>
      <c r="O111" t="s">
        <v>589</v>
      </c>
      <c r="P111" t="s">
        <v>676</v>
      </c>
      <c r="Q111">
        <v>20</v>
      </c>
      <c r="R111" t="s">
        <v>698</v>
      </c>
      <c r="S111" s="2">
        <v>0</v>
      </c>
      <c r="T111" s="2">
        <v>0</v>
      </c>
      <c r="U111" s="2">
        <v>230000</v>
      </c>
    </row>
    <row r="112" spans="1:21">
      <c r="A112" t="s">
        <v>22</v>
      </c>
      <c r="B112" s="1">
        <f>HYPERLINK("https://cordis.europa.eu/project/id/101000213", "101000213")</f>
        <v>0</v>
      </c>
      <c r="C112" t="s">
        <v>122</v>
      </c>
      <c r="D112" t="s">
        <v>248</v>
      </c>
      <c r="E112" t="s">
        <v>330</v>
      </c>
      <c r="F112" t="s">
        <v>402</v>
      </c>
      <c r="G112" t="s">
        <v>486</v>
      </c>
      <c r="H112" t="s">
        <v>526</v>
      </c>
      <c r="I112" t="s">
        <v>527</v>
      </c>
      <c r="J112" s="1">
        <f>HYPERLINK("https://ec.europa.eu/info/funding-tenders/opportunities/portal/screen/how-to-participate/org-details/996306013", "996306013")</f>
        <v>0</v>
      </c>
      <c r="K112" t="s">
        <v>548</v>
      </c>
      <c r="M112" t="s">
        <v>580</v>
      </c>
      <c r="N112" t="b">
        <v>0</v>
      </c>
      <c r="O112" t="s">
        <v>599</v>
      </c>
      <c r="P112" t="s">
        <v>669</v>
      </c>
      <c r="Q112">
        <v>3</v>
      </c>
      <c r="R112" t="s">
        <v>698</v>
      </c>
      <c r="S112" s="2">
        <v>0</v>
      </c>
      <c r="T112" s="2">
        <v>0</v>
      </c>
      <c r="U112" s="2">
        <v>501055</v>
      </c>
    </row>
    <row r="113" spans="1:21">
      <c r="A113" t="s">
        <v>22</v>
      </c>
      <c r="B113" s="1">
        <f>HYPERLINK("https://cordis.europa.eu/project/id/676876", "676876")</f>
        <v>0</v>
      </c>
      <c r="C113" t="s">
        <v>123</v>
      </c>
      <c r="D113" t="s">
        <v>249</v>
      </c>
      <c r="E113" t="s">
        <v>331</v>
      </c>
      <c r="F113" t="s">
        <v>421</v>
      </c>
      <c r="G113" t="s">
        <v>506</v>
      </c>
      <c r="H113" t="s">
        <v>526</v>
      </c>
      <c r="I113" t="s">
        <v>527</v>
      </c>
      <c r="J113" s="1">
        <f>HYPERLINK("https://ec.europa.eu/info/funding-tenders/opportunities/portal/screen/how-to-participate/org-details/928277488", "928277488")</f>
        <v>0</v>
      </c>
      <c r="K113" t="s">
        <v>552</v>
      </c>
      <c r="L113" t="s">
        <v>574</v>
      </c>
      <c r="M113" t="s">
        <v>579</v>
      </c>
      <c r="N113" t="b">
        <v>1</v>
      </c>
      <c r="O113" t="s">
        <v>599</v>
      </c>
      <c r="P113" t="s">
        <v>677</v>
      </c>
      <c r="Q113">
        <v>21</v>
      </c>
      <c r="R113" t="s">
        <v>698</v>
      </c>
      <c r="S113" s="2">
        <v>0</v>
      </c>
      <c r="T113" s="2">
        <v>0</v>
      </c>
      <c r="U113" s="2">
        <v>61250</v>
      </c>
    </row>
    <row r="114" spans="1:21">
      <c r="A114" t="s">
        <v>22</v>
      </c>
      <c r="B114" s="1">
        <f>HYPERLINK("https://cordis.europa.eu/project/id/772787", "772787")</f>
        <v>0</v>
      </c>
      <c r="C114" t="s">
        <v>124</v>
      </c>
      <c r="D114" t="s">
        <v>250</v>
      </c>
      <c r="E114" t="s">
        <v>332</v>
      </c>
      <c r="F114" t="s">
        <v>419</v>
      </c>
      <c r="G114" t="s">
        <v>507</v>
      </c>
      <c r="H114" t="s">
        <v>526</v>
      </c>
      <c r="I114" t="s">
        <v>527</v>
      </c>
      <c r="J114" s="1">
        <f>HYPERLINK("https://ec.europa.eu/info/funding-tenders/opportunities/portal/screen/how-to-participate/org-details/899346753", "899346753")</f>
        <v>0</v>
      </c>
      <c r="K114" t="s">
        <v>553</v>
      </c>
      <c r="L114" t="s">
        <v>553</v>
      </c>
      <c r="M114" t="s">
        <v>579</v>
      </c>
      <c r="N114" t="b">
        <v>0</v>
      </c>
      <c r="O114" t="s">
        <v>599</v>
      </c>
      <c r="P114" t="s">
        <v>678</v>
      </c>
      <c r="Q114">
        <v>27</v>
      </c>
      <c r="R114" t="s">
        <v>702</v>
      </c>
      <c r="S114" s="2">
        <v>0</v>
      </c>
      <c r="T114" s="2">
        <v>0</v>
      </c>
      <c r="U114" s="2">
        <v>0</v>
      </c>
    </row>
    <row r="115" spans="1:21">
      <c r="A115" t="s">
        <v>22</v>
      </c>
      <c r="B115" s="1">
        <f>HYPERLINK("https://cordis.europa.eu/project/id/774548", "774548")</f>
        <v>0</v>
      </c>
      <c r="C115" t="s">
        <v>125</v>
      </c>
      <c r="D115" t="s">
        <v>251</v>
      </c>
      <c r="E115" t="s">
        <v>333</v>
      </c>
      <c r="F115" t="s">
        <v>422</v>
      </c>
      <c r="G115" t="s">
        <v>508</v>
      </c>
      <c r="H115" t="s">
        <v>526</v>
      </c>
      <c r="I115" t="s">
        <v>527</v>
      </c>
      <c r="J115" s="1">
        <f>HYPERLINK("https://ec.europa.eu/info/funding-tenders/opportunities/portal/screen/how-to-participate/org-details/999613131", "999613131")</f>
        <v>0</v>
      </c>
      <c r="K115" t="s">
        <v>528</v>
      </c>
      <c r="L115" t="s">
        <v>559</v>
      </c>
      <c r="M115" t="s">
        <v>578</v>
      </c>
      <c r="N115" t="b">
        <v>0</v>
      </c>
      <c r="O115" t="s">
        <v>599</v>
      </c>
      <c r="P115" t="s">
        <v>678</v>
      </c>
      <c r="Q115">
        <v>15</v>
      </c>
      <c r="R115" t="s">
        <v>698</v>
      </c>
      <c r="S115" s="2">
        <v>0</v>
      </c>
      <c r="T115" s="2">
        <v>0</v>
      </c>
      <c r="U115" s="2">
        <v>120000</v>
      </c>
    </row>
    <row r="116" spans="1:21">
      <c r="A116" t="s">
        <v>22</v>
      </c>
      <c r="B116" s="1">
        <f>HYPERLINK("https://cordis.europa.eu/project/id/696300", "696300")</f>
        <v>0</v>
      </c>
      <c r="C116" t="s">
        <v>126</v>
      </c>
      <c r="D116" t="s">
        <v>252</v>
      </c>
      <c r="E116" t="s">
        <v>334</v>
      </c>
      <c r="F116" t="s">
        <v>423</v>
      </c>
      <c r="G116" t="s">
        <v>509</v>
      </c>
      <c r="H116" t="s">
        <v>526</v>
      </c>
      <c r="I116" t="s">
        <v>527</v>
      </c>
      <c r="J116" s="1">
        <f>HYPERLINK("https://ec.europa.eu/info/funding-tenders/opportunities/portal/screen/how-to-participate/org-details/927688504", "927688504")</f>
        <v>0</v>
      </c>
      <c r="K116" t="s">
        <v>554</v>
      </c>
      <c r="L116" t="s">
        <v>575</v>
      </c>
      <c r="M116" t="s">
        <v>581</v>
      </c>
      <c r="N116" t="b">
        <v>0</v>
      </c>
      <c r="O116" t="s">
        <v>589</v>
      </c>
      <c r="P116" t="s">
        <v>679</v>
      </c>
      <c r="Q116">
        <v>10</v>
      </c>
      <c r="R116" t="s">
        <v>698</v>
      </c>
      <c r="S116" s="2">
        <v>89880</v>
      </c>
      <c r="T116" s="2">
        <v>89880</v>
      </c>
      <c r="U116" s="2">
        <v>112350</v>
      </c>
    </row>
    <row r="117" spans="1:21">
      <c r="A117" t="s">
        <v>22</v>
      </c>
      <c r="B117" s="1">
        <f>HYPERLINK("https://cordis.europa.eu/project/id/771271", "771271")</f>
        <v>0</v>
      </c>
      <c r="C117" t="s">
        <v>127</v>
      </c>
      <c r="D117" t="s">
        <v>253</v>
      </c>
      <c r="E117" t="s">
        <v>333</v>
      </c>
      <c r="F117" t="s">
        <v>424</v>
      </c>
      <c r="G117" t="s">
        <v>489</v>
      </c>
      <c r="H117" t="s">
        <v>526</v>
      </c>
      <c r="I117" t="s">
        <v>527</v>
      </c>
      <c r="J117" s="1">
        <f>HYPERLINK("https://ec.europa.eu/info/funding-tenders/opportunities/portal/screen/how-to-participate/org-details/991108074", "991108074")</f>
        <v>0</v>
      </c>
      <c r="K117" t="s">
        <v>546</v>
      </c>
      <c r="L117" t="s">
        <v>571</v>
      </c>
      <c r="M117" t="s">
        <v>579</v>
      </c>
      <c r="N117" t="b">
        <v>0</v>
      </c>
      <c r="O117" t="s">
        <v>599</v>
      </c>
      <c r="P117" t="s">
        <v>678</v>
      </c>
      <c r="Q117">
        <v>13</v>
      </c>
      <c r="R117" t="s">
        <v>698</v>
      </c>
      <c r="S117" s="2">
        <v>0</v>
      </c>
      <c r="T117" s="2">
        <v>0</v>
      </c>
      <c r="U117" s="2">
        <v>93125</v>
      </c>
    </row>
    <row r="118" spans="1:21">
      <c r="A118" t="s">
        <v>22</v>
      </c>
      <c r="B118" s="1">
        <f>HYPERLINK("https://cordis.europa.eu/project/id/101021848", "101021848")</f>
        <v>0</v>
      </c>
      <c r="C118" t="s">
        <v>128</v>
      </c>
      <c r="D118" t="s">
        <v>254</v>
      </c>
      <c r="E118" t="s">
        <v>335</v>
      </c>
      <c r="F118" t="s">
        <v>425</v>
      </c>
      <c r="G118" t="s">
        <v>472</v>
      </c>
      <c r="H118" t="s">
        <v>526</v>
      </c>
      <c r="I118" t="s">
        <v>527</v>
      </c>
      <c r="J118" s="1">
        <f>HYPERLINK("https://ec.europa.eu/info/funding-tenders/opportunities/portal/screen/how-to-participate/org-details/999613131", "999613131")</f>
        <v>0</v>
      </c>
      <c r="K118" t="s">
        <v>528</v>
      </c>
      <c r="L118" t="s">
        <v>559</v>
      </c>
      <c r="M118" t="s">
        <v>578</v>
      </c>
      <c r="N118" t="b">
        <v>0</v>
      </c>
      <c r="O118" t="s">
        <v>595</v>
      </c>
      <c r="P118" t="s">
        <v>665</v>
      </c>
      <c r="Q118">
        <v>2</v>
      </c>
      <c r="R118" t="s">
        <v>700</v>
      </c>
      <c r="T118" s="2">
        <v>0</v>
      </c>
      <c r="U118" s="2">
        <v>0</v>
      </c>
    </row>
    <row r="119" spans="1:21">
      <c r="A119" t="s">
        <v>23</v>
      </c>
      <c r="B119" s="1">
        <f>HYPERLINK("https://cordis.europa.eu/project/id/101107336", "101107336")</f>
        <v>0</v>
      </c>
      <c r="C119" t="s">
        <v>129</v>
      </c>
      <c r="D119" t="s">
        <v>255</v>
      </c>
      <c r="E119" t="s">
        <v>336</v>
      </c>
      <c r="F119" t="s">
        <v>426</v>
      </c>
      <c r="G119" t="s">
        <v>510</v>
      </c>
      <c r="H119" t="s">
        <v>526</v>
      </c>
      <c r="I119" t="s">
        <v>527</v>
      </c>
      <c r="J119" s="1">
        <f>HYPERLINK("https://ec.europa.eu/info/funding-tenders/opportunities/portal/screen/how-to-participate/org-details/999613131", "999613131")</f>
        <v>0</v>
      </c>
      <c r="K119" t="s">
        <v>528</v>
      </c>
      <c r="L119" t="s">
        <v>559</v>
      </c>
      <c r="M119" t="s">
        <v>578</v>
      </c>
      <c r="N119" t="b">
        <v>0</v>
      </c>
      <c r="O119" t="s">
        <v>603</v>
      </c>
      <c r="P119" t="s">
        <v>680</v>
      </c>
      <c r="Q119">
        <v>2</v>
      </c>
      <c r="R119" t="s">
        <v>703</v>
      </c>
      <c r="T119" s="2">
        <v>0</v>
      </c>
    </row>
    <row r="120" spans="1:21">
      <c r="A120" t="s">
        <v>23</v>
      </c>
      <c r="B120" s="1">
        <f>HYPERLINK("https://cordis.europa.eu/project/id/101145612", "101145612")</f>
        <v>0</v>
      </c>
      <c r="C120" t="s">
        <v>130</v>
      </c>
      <c r="D120" t="s">
        <v>256</v>
      </c>
      <c r="E120" t="s">
        <v>337</v>
      </c>
      <c r="F120" t="s">
        <v>427</v>
      </c>
      <c r="G120" t="s">
        <v>511</v>
      </c>
      <c r="H120" t="s">
        <v>526</v>
      </c>
      <c r="I120" t="s">
        <v>527</v>
      </c>
      <c r="J120" s="1">
        <f>HYPERLINK("https://ec.europa.eu/info/funding-tenders/opportunities/portal/screen/how-to-participate/org-details/998331567", "998331567")</f>
        <v>0</v>
      </c>
      <c r="K120" t="s">
        <v>531</v>
      </c>
      <c r="M120" t="s">
        <v>578</v>
      </c>
      <c r="N120" t="b">
        <v>0</v>
      </c>
      <c r="O120" t="s">
        <v>604</v>
      </c>
      <c r="P120" t="s">
        <v>681</v>
      </c>
      <c r="Q120">
        <v>5</v>
      </c>
      <c r="R120" t="s">
        <v>698</v>
      </c>
      <c r="S120" s="2">
        <v>94446.25</v>
      </c>
      <c r="T120" s="2">
        <v>94446.25</v>
      </c>
    </row>
    <row r="121" spans="1:21">
      <c r="A121" t="s">
        <v>23</v>
      </c>
      <c r="B121" s="1">
        <f>HYPERLINK("https://cordis.europa.eu/project/id/101152621", "101152621")</f>
        <v>0</v>
      </c>
      <c r="C121" t="s">
        <v>131</v>
      </c>
      <c r="D121" t="s">
        <v>257</v>
      </c>
      <c r="E121" t="s">
        <v>338</v>
      </c>
      <c r="F121" t="s">
        <v>428</v>
      </c>
      <c r="G121" t="s">
        <v>512</v>
      </c>
      <c r="H121" t="s">
        <v>526</v>
      </c>
      <c r="I121" t="s">
        <v>527</v>
      </c>
      <c r="J121" s="1">
        <f>HYPERLINK("https://ec.europa.eu/info/funding-tenders/opportunities/portal/screen/how-to-participate/org-details/999613131", "999613131")</f>
        <v>0</v>
      </c>
      <c r="K121" t="s">
        <v>528</v>
      </c>
      <c r="L121" t="s">
        <v>559</v>
      </c>
      <c r="M121" t="s">
        <v>578</v>
      </c>
      <c r="N121" t="b">
        <v>0</v>
      </c>
      <c r="O121" t="s">
        <v>603</v>
      </c>
      <c r="P121" t="s">
        <v>682</v>
      </c>
      <c r="Q121">
        <v>2</v>
      </c>
      <c r="R121" t="s">
        <v>703</v>
      </c>
      <c r="T121" s="2">
        <v>0</v>
      </c>
    </row>
    <row r="122" spans="1:21">
      <c r="A122" t="s">
        <v>23</v>
      </c>
      <c r="B122" s="1">
        <f>HYPERLINK("https://cordis.europa.eu/project/id/101107488", "101107488")</f>
        <v>0</v>
      </c>
      <c r="C122" t="s">
        <v>132</v>
      </c>
      <c r="D122" t="s">
        <v>258</v>
      </c>
      <c r="E122" t="s">
        <v>339</v>
      </c>
      <c r="F122" t="s">
        <v>429</v>
      </c>
      <c r="G122" t="s">
        <v>513</v>
      </c>
      <c r="H122" t="s">
        <v>526</v>
      </c>
      <c r="I122" t="s">
        <v>527</v>
      </c>
      <c r="J122" s="1">
        <f>HYPERLINK("https://ec.europa.eu/info/funding-tenders/opportunities/portal/screen/how-to-participate/org-details/998295580", "998295580")</f>
        <v>0</v>
      </c>
      <c r="K122" t="s">
        <v>534</v>
      </c>
      <c r="L122" t="s">
        <v>563</v>
      </c>
      <c r="M122" t="s">
        <v>580</v>
      </c>
      <c r="N122" t="b">
        <v>0</v>
      </c>
      <c r="O122" t="s">
        <v>603</v>
      </c>
      <c r="P122" t="s">
        <v>680</v>
      </c>
      <c r="Q122">
        <v>2</v>
      </c>
      <c r="R122" t="s">
        <v>703</v>
      </c>
      <c r="T122" s="2">
        <v>0</v>
      </c>
    </row>
    <row r="123" spans="1:21">
      <c r="A123" t="s">
        <v>23</v>
      </c>
      <c r="B123" s="1">
        <f>HYPERLINK("https://cordis.europa.eu/project/id/101105332", "101105332")</f>
        <v>0</v>
      </c>
      <c r="C123" t="s">
        <v>133</v>
      </c>
      <c r="D123" t="s">
        <v>259</v>
      </c>
      <c r="E123" t="s">
        <v>340</v>
      </c>
      <c r="F123" t="s">
        <v>430</v>
      </c>
      <c r="G123" t="s">
        <v>514</v>
      </c>
      <c r="H123" t="s">
        <v>526</v>
      </c>
      <c r="I123" t="s">
        <v>527</v>
      </c>
      <c r="J123" s="1">
        <f>HYPERLINK("https://ec.europa.eu/info/funding-tenders/opportunities/portal/screen/how-to-participate/org-details/998295580", "998295580")</f>
        <v>0</v>
      </c>
      <c r="K123" t="s">
        <v>534</v>
      </c>
      <c r="L123" t="s">
        <v>563</v>
      </c>
      <c r="M123" t="s">
        <v>580</v>
      </c>
      <c r="N123" t="b">
        <v>0</v>
      </c>
      <c r="O123" t="s">
        <v>603</v>
      </c>
      <c r="P123" t="s">
        <v>680</v>
      </c>
      <c r="Q123">
        <v>4</v>
      </c>
      <c r="R123" t="s">
        <v>703</v>
      </c>
      <c r="T123" s="2">
        <v>0</v>
      </c>
    </row>
    <row r="124" spans="1:21">
      <c r="A124" t="s">
        <v>23</v>
      </c>
      <c r="B124" s="1">
        <f>HYPERLINK("https://cordis.europa.eu/project/id/101147385", "101147385")</f>
        <v>0</v>
      </c>
      <c r="C124" t="s">
        <v>134</v>
      </c>
      <c r="D124" t="s">
        <v>260</v>
      </c>
      <c r="E124" t="s">
        <v>341</v>
      </c>
      <c r="F124" t="s">
        <v>426</v>
      </c>
      <c r="G124" t="s">
        <v>515</v>
      </c>
      <c r="H124" t="s">
        <v>526</v>
      </c>
      <c r="I124" t="s">
        <v>527</v>
      </c>
      <c r="J124" s="1">
        <f>HYPERLINK("https://ec.europa.eu/info/funding-tenders/opportunities/portal/screen/how-to-participate/org-details/880942943", "880942943")</f>
        <v>0</v>
      </c>
      <c r="K124" t="s">
        <v>555</v>
      </c>
      <c r="L124" t="s">
        <v>576</v>
      </c>
      <c r="M124" t="s">
        <v>579</v>
      </c>
      <c r="N124" t="b">
        <v>0</v>
      </c>
      <c r="O124" t="s">
        <v>605</v>
      </c>
      <c r="P124" t="s">
        <v>683</v>
      </c>
      <c r="Q124">
        <v>5</v>
      </c>
      <c r="R124" t="s">
        <v>698</v>
      </c>
      <c r="S124" s="2">
        <v>304937.5</v>
      </c>
      <c r="T124" s="2">
        <v>304937.5</v>
      </c>
      <c r="U124" s="2">
        <v>435625</v>
      </c>
    </row>
    <row r="125" spans="1:21">
      <c r="A125" t="s">
        <v>23</v>
      </c>
      <c r="B125" s="1">
        <f>HYPERLINK("https://cordis.europa.eu/project/id/101147385", "101147385")</f>
        <v>0</v>
      </c>
      <c r="C125" t="s">
        <v>134</v>
      </c>
      <c r="D125" t="s">
        <v>260</v>
      </c>
      <c r="E125" t="s">
        <v>341</v>
      </c>
      <c r="F125" t="s">
        <v>426</v>
      </c>
      <c r="G125" t="s">
        <v>515</v>
      </c>
      <c r="H125" t="s">
        <v>526</v>
      </c>
      <c r="I125" t="s">
        <v>527</v>
      </c>
      <c r="J125" s="1">
        <f>HYPERLINK("https://ec.europa.eu/info/funding-tenders/opportunities/portal/screen/how-to-participate/org-details/999873673", "999873673")</f>
        <v>0</v>
      </c>
      <c r="K125" t="s">
        <v>529</v>
      </c>
      <c r="M125" t="s">
        <v>578</v>
      </c>
      <c r="N125" t="b">
        <v>0</v>
      </c>
      <c r="O125" t="s">
        <v>605</v>
      </c>
      <c r="P125" t="s">
        <v>683</v>
      </c>
      <c r="Q125">
        <v>7</v>
      </c>
      <c r="R125" t="s">
        <v>698</v>
      </c>
      <c r="S125" s="2">
        <v>197500</v>
      </c>
      <c r="T125" s="2">
        <v>197500</v>
      </c>
      <c r="U125" s="2">
        <v>197500</v>
      </c>
    </row>
    <row r="126" spans="1:21">
      <c r="A126" t="s">
        <v>23</v>
      </c>
      <c r="B126" s="1">
        <f>HYPERLINK("https://cordis.europa.eu/project/id/101147385", "101147385")</f>
        <v>0</v>
      </c>
      <c r="C126" t="s">
        <v>134</v>
      </c>
      <c r="D126" t="s">
        <v>260</v>
      </c>
      <c r="E126" t="s">
        <v>341</v>
      </c>
      <c r="F126" t="s">
        <v>426</v>
      </c>
      <c r="G126" t="s">
        <v>515</v>
      </c>
      <c r="H126" t="s">
        <v>526</v>
      </c>
      <c r="I126" t="s">
        <v>527</v>
      </c>
      <c r="J126" s="1">
        <f>HYPERLINK("https://ec.europa.eu/info/funding-tenders/opportunities/portal/screen/how-to-participate/org-details/999613131", "999613131")</f>
        <v>0</v>
      </c>
      <c r="K126" t="s">
        <v>528</v>
      </c>
      <c r="L126" t="s">
        <v>559</v>
      </c>
      <c r="M126" t="s">
        <v>578</v>
      </c>
      <c r="N126" t="b">
        <v>0</v>
      </c>
      <c r="O126" t="s">
        <v>605</v>
      </c>
      <c r="P126" t="s">
        <v>683</v>
      </c>
      <c r="Q126">
        <v>8</v>
      </c>
      <c r="R126" t="s">
        <v>698</v>
      </c>
      <c r="S126" s="2">
        <v>286250</v>
      </c>
      <c r="T126" s="2">
        <v>286250</v>
      </c>
      <c r="U126" s="2">
        <v>286250</v>
      </c>
    </row>
    <row r="127" spans="1:21">
      <c r="A127" t="s">
        <v>23</v>
      </c>
      <c r="B127" s="1">
        <f>HYPERLINK("https://cordis.europa.eu/project/id/101147385", "101147385")</f>
        <v>0</v>
      </c>
      <c r="C127" t="s">
        <v>134</v>
      </c>
      <c r="D127" t="s">
        <v>260</v>
      </c>
      <c r="E127" t="s">
        <v>341</v>
      </c>
      <c r="F127" t="s">
        <v>426</v>
      </c>
      <c r="G127" t="s">
        <v>515</v>
      </c>
      <c r="H127" t="s">
        <v>526</v>
      </c>
      <c r="I127" t="s">
        <v>527</v>
      </c>
      <c r="J127" s="1">
        <f>HYPERLINK("https://ec.europa.eu/info/funding-tenders/opportunities/portal/screen/how-to-participate/org-details/880989503", "880989503")</f>
        <v>0</v>
      </c>
      <c r="K127" t="s">
        <v>556</v>
      </c>
      <c r="M127" t="s">
        <v>582</v>
      </c>
      <c r="N127" t="b">
        <v>0</v>
      </c>
      <c r="O127" t="s">
        <v>605</v>
      </c>
      <c r="P127" t="s">
        <v>683</v>
      </c>
      <c r="Q127">
        <v>13</v>
      </c>
      <c r="R127" t="s">
        <v>698</v>
      </c>
      <c r="S127" s="2">
        <v>217500</v>
      </c>
      <c r="T127" s="2">
        <v>217500</v>
      </c>
      <c r="U127" s="2">
        <v>217500</v>
      </c>
    </row>
    <row r="128" spans="1:21">
      <c r="A128" t="s">
        <v>23</v>
      </c>
      <c r="B128" s="1">
        <f>HYPERLINK("https://cordis.europa.eu/project/id/101066639", "101066639")</f>
        <v>0</v>
      </c>
      <c r="C128" t="s">
        <v>135</v>
      </c>
      <c r="D128" t="s">
        <v>261</v>
      </c>
      <c r="E128" t="s">
        <v>342</v>
      </c>
      <c r="F128" t="s">
        <v>431</v>
      </c>
      <c r="G128" t="s">
        <v>479</v>
      </c>
      <c r="H128" t="s">
        <v>526</v>
      </c>
      <c r="I128" t="s">
        <v>527</v>
      </c>
      <c r="J128" s="1">
        <f>HYPERLINK("https://ec.europa.eu/info/funding-tenders/opportunities/portal/screen/how-to-participate/org-details/999613131", "999613131")</f>
        <v>0</v>
      </c>
      <c r="K128" t="s">
        <v>528</v>
      </c>
      <c r="L128" t="s">
        <v>559</v>
      </c>
      <c r="M128" t="s">
        <v>578</v>
      </c>
      <c r="N128" t="b">
        <v>0</v>
      </c>
      <c r="O128" t="s">
        <v>606</v>
      </c>
      <c r="P128" t="s">
        <v>684</v>
      </c>
      <c r="Q128">
        <v>2</v>
      </c>
      <c r="R128" t="s">
        <v>703</v>
      </c>
      <c r="T128" s="2">
        <v>0</v>
      </c>
    </row>
    <row r="129" spans="1:21">
      <c r="A129" t="s">
        <v>23</v>
      </c>
      <c r="B129" s="1">
        <f>HYPERLINK("https://cordis.europa.eu/project/id/101130467", "101130467")</f>
        <v>0</v>
      </c>
      <c r="C129" t="s">
        <v>136</v>
      </c>
      <c r="D129" t="s">
        <v>262</v>
      </c>
      <c r="E129" t="s">
        <v>343</v>
      </c>
      <c r="F129" t="s">
        <v>432</v>
      </c>
      <c r="G129" t="s">
        <v>511</v>
      </c>
      <c r="H129" t="s">
        <v>526</v>
      </c>
      <c r="I129" t="s">
        <v>527</v>
      </c>
      <c r="J129" s="1">
        <f>HYPERLINK("https://ec.europa.eu/info/funding-tenders/opportunities/portal/screen/how-to-participate/org-details/998317211", "998317211")</f>
        <v>0</v>
      </c>
      <c r="K129" t="s">
        <v>538</v>
      </c>
      <c r="M129" t="s">
        <v>580</v>
      </c>
      <c r="N129" t="b">
        <v>0</v>
      </c>
      <c r="O129" t="s">
        <v>607</v>
      </c>
      <c r="P129" t="s">
        <v>685</v>
      </c>
      <c r="Q129">
        <v>16</v>
      </c>
      <c r="R129" t="s">
        <v>698</v>
      </c>
      <c r="S129" s="2">
        <v>171000</v>
      </c>
      <c r="T129" s="2">
        <v>171000</v>
      </c>
      <c r="U129" s="2">
        <v>171000</v>
      </c>
    </row>
    <row r="130" spans="1:21">
      <c r="A130" t="s">
        <v>23</v>
      </c>
      <c r="B130" s="1">
        <f>HYPERLINK("https://cordis.europa.eu/project/id/101134750", "101134750")</f>
        <v>0</v>
      </c>
      <c r="C130" t="s">
        <v>137</v>
      </c>
      <c r="D130" t="s">
        <v>263</v>
      </c>
      <c r="E130" t="s">
        <v>344</v>
      </c>
      <c r="F130" t="s">
        <v>432</v>
      </c>
      <c r="G130" t="s">
        <v>516</v>
      </c>
      <c r="H130" t="s">
        <v>526</v>
      </c>
      <c r="I130" t="s">
        <v>527</v>
      </c>
      <c r="J130" s="1">
        <f>HYPERLINK("https://ec.europa.eu/info/funding-tenders/opportunities/portal/screen/how-to-participate/org-details/883065109", "883065109")</f>
        <v>0</v>
      </c>
      <c r="K130" t="s">
        <v>557</v>
      </c>
      <c r="M130" t="s">
        <v>582</v>
      </c>
      <c r="N130" t="b">
        <v>0</v>
      </c>
      <c r="O130" t="s">
        <v>608</v>
      </c>
      <c r="P130" t="s">
        <v>686</v>
      </c>
      <c r="Q130">
        <v>14</v>
      </c>
      <c r="R130" t="s">
        <v>698</v>
      </c>
      <c r="S130" s="2">
        <v>286937.5</v>
      </c>
      <c r="T130" s="2">
        <v>286937.5</v>
      </c>
    </row>
    <row r="131" spans="1:21">
      <c r="A131" t="s">
        <v>23</v>
      </c>
      <c r="B131" s="1">
        <f>HYPERLINK("https://cordis.europa.eu/project/id/101119552", "101119552")</f>
        <v>0</v>
      </c>
      <c r="C131" t="s">
        <v>138</v>
      </c>
      <c r="D131" t="s">
        <v>264</v>
      </c>
      <c r="E131" t="s">
        <v>345</v>
      </c>
      <c r="F131" t="s">
        <v>432</v>
      </c>
      <c r="G131" t="s">
        <v>516</v>
      </c>
      <c r="H131" t="s">
        <v>526</v>
      </c>
      <c r="I131" t="s">
        <v>527</v>
      </c>
      <c r="J131" s="1">
        <f>HYPERLINK("https://ec.europa.eu/info/funding-tenders/opportunities/portal/screen/how-to-participate/org-details/999613131", "999613131")</f>
        <v>0</v>
      </c>
      <c r="K131" t="s">
        <v>528</v>
      </c>
      <c r="L131" t="s">
        <v>559</v>
      </c>
      <c r="M131" t="s">
        <v>578</v>
      </c>
      <c r="N131" t="b">
        <v>0</v>
      </c>
      <c r="O131" t="s">
        <v>609</v>
      </c>
      <c r="P131" t="s">
        <v>687</v>
      </c>
      <c r="Q131">
        <v>8</v>
      </c>
      <c r="R131" t="s">
        <v>703</v>
      </c>
      <c r="T131" s="2">
        <v>0</v>
      </c>
      <c r="U131" s="2">
        <v>0</v>
      </c>
    </row>
    <row r="132" spans="1:21">
      <c r="A132" t="s">
        <v>23</v>
      </c>
      <c r="B132" s="1">
        <f>HYPERLINK("https://cordis.europa.eu/project/id/101132352", "101132352")</f>
        <v>0</v>
      </c>
      <c r="C132" t="s">
        <v>139</v>
      </c>
      <c r="D132" t="s">
        <v>265</v>
      </c>
      <c r="E132" t="s">
        <v>346</v>
      </c>
      <c r="F132" t="s">
        <v>432</v>
      </c>
      <c r="G132" t="s">
        <v>517</v>
      </c>
      <c r="H132" t="s">
        <v>526</v>
      </c>
      <c r="I132" t="s">
        <v>527</v>
      </c>
      <c r="J132" s="1">
        <f>HYPERLINK("https://ec.europa.eu/info/funding-tenders/opportunities/portal/screen/how-to-participate/org-details/999613131", "999613131")</f>
        <v>0</v>
      </c>
      <c r="K132" t="s">
        <v>528</v>
      </c>
      <c r="L132" t="s">
        <v>559</v>
      </c>
      <c r="M132" t="s">
        <v>578</v>
      </c>
      <c r="N132" t="b">
        <v>0</v>
      </c>
      <c r="O132" t="s">
        <v>608</v>
      </c>
      <c r="P132" t="s">
        <v>688</v>
      </c>
      <c r="Q132">
        <v>10</v>
      </c>
      <c r="R132" t="s">
        <v>698</v>
      </c>
      <c r="S132" s="2">
        <v>141968.75</v>
      </c>
      <c r="T132" s="2">
        <v>141968.75</v>
      </c>
    </row>
    <row r="133" spans="1:21">
      <c r="A133" t="s">
        <v>23</v>
      </c>
      <c r="B133" s="1">
        <f>HYPERLINK("https://cordis.europa.eu/project/id/101086206", "101086206")</f>
        <v>0</v>
      </c>
      <c r="C133" t="s">
        <v>140</v>
      </c>
      <c r="D133" t="s">
        <v>266</v>
      </c>
      <c r="E133" t="s">
        <v>347</v>
      </c>
      <c r="F133" t="s">
        <v>433</v>
      </c>
      <c r="G133" t="s">
        <v>518</v>
      </c>
      <c r="H133" t="s">
        <v>526</v>
      </c>
      <c r="I133" t="s">
        <v>527</v>
      </c>
      <c r="J133" s="1">
        <f>HYPERLINK("https://ec.europa.eu/info/funding-tenders/opportunities/portal/screen/how-to-participate/org-details/999873673", "999873673")</f>
        <v>0</v>
      </c>
      <c r="K133" t="s">
        <v>529</v>
      </c>
      <c r="M133" t="s">
        <v>578</v>
      </c>
      <c r="N133" t="b">
        <v>0</v>
      </c>
      <c r="O133" t="s">
        <v>610</v>
      </c>
      <c r="P133" t="s">
        <v>689</v>
      </c>
      <c r="Q133">
        <v>10</v>
      </c>
      <c r="R133" t="s">
        <v>703</v>
      </c>
      <c r="T133" s="2">
        <v>0</v>
      </c>
    </row>
    <row r="134" spans="1:21">
      <c r="A134" t="s">
        <v>23</v>
      </c>
      <c r="B134" s="1">
        <f>HYPERLINK("https://cordis.europa.eu/project/id/101126658", "101126658")</f>
        <v>0</v>
      </c>
      <c r="C134" t="s">
        <v>141</v>
      </c>
      <c r="D134" t="s">
        <v>267</v>
      </c>
      <c r="E134" t="s">
        <v>348</v>
      </c>
      <c r="F134" t="s">
        <v>434</v>
      </c>
      <c r="G134" t="s">
        <v>519</v>
      </c>
      <c r="H134" t="s">
        <v>526</v>
      </c>
      <c r="I134" t="s">
        <v>527</v>
      </c>
      <c r="J134" s="1">
        <f>HYPERLINK("https://ec.europa.eu/info/funding-tenders/opportunities/portal/screen/how-to-participate/org-details/999613131", "999613131")</f>
        <v>0</v>
      </c>
      <c r="K134" t="s">
        <v>528</v>
      </c>
      <c r="L134" t="s">
        <v>559</v>
      </c>
      <c r="M134" t="s">
        <v>578</v>
      </c>
      <c r="N134" t="b">
        <v>0</v>
      </c>
      <c r="O134" t="s">
        <v>611</v>
      </c>
      <c r="P134" t="s">
        <v>690</v>
      </c>
      <c r="Q134">
        <v>4</v>
      </c>
      <c r="R134" t="s">
        <v>703</v>
      </c>
      <c r="T134" s="2">
        <v>0</v>
      </c>
    </row>
    <row r="135" spans="1:21">
      <c r="A135" t="s">
        <v>23</v>
      </c>
      <c r="B135" s="1">
        <f>HYPERLINK("https://cordis.europa.eu/project/id/101058393", "101058393")</f>
        <v>0</v>
      </c>
      <c r="C135" t="s">
        <v>142</v>
      </c>
      <c r="D135" t="s">
        <v>268</v>
      </c>
      <c r="E135" t="s">
        <v>349</v>
      </c>
      <c r="F135" t="s">
        <v>397</v>
      </c>
      <c r="G135" t="s">
        <v>520</v>
      </c>
      <c r="H135" t="s">
        <v>526</v>
      </c>
      <c r="I135" t="s">
        <v>527</v>
      </c>
      <c r="J135" s="1">
        <f>HYPERLINK("https://ec.europa.eu/info/funding-tenders/opportunities/portal/screen/how-to-participate/org-details/889397657", "889397657")</f>
        <v>0</v>
      </c>
      <c r="K135" t="s">
        <v>558</v>
      </c>
      <c r="L135" t="s">
        <v>577</v>
      </c>
      <c r="M135" t="s">
        <v>579</v>
      </c>
      <c r="N135" t="b">
        <v>0</v>
      </c>
      <c r="O135" t="s">
        <v>607</v>
      </c>
      <c r="P135" t="s">
        <v>691</v>
      </c>
      <c r="Q135">
        <v>16</v>
      </c>
      <c r="R135" t="s">
        <v>698</v>
      </c>
      <c r="S135" s="2">
        <v>150000</v>
      </c>
      <c r="T135" s="2">
        <v>150000</v>
      </c>
      <c r="U135" s="2">
        <v>150000</v>
      </c>
    </row>
    <row r="136" spans="1:21">
      <c r="A136" t="s">
        <v>23</v>
      </c>
      <c r="B136" s="1">
        <f>HYPERLINK("https://cordis.europa.eu/project/id/101132694", "101132694")</f>
        <v>0</v>
      </c>
      <c r="C136" t="s">
        <v>143</v>
      </c>
      <c r="D136" t="s">
        <v>269</v>
      </c>
      <c r="E136" t="s">
        <v>350</v>
      </c>
      <c r="F136" t="s">
        <v>432</v>
      </c>
      <c r="G136" t="s">
        <v>516</v>
      </c>
      <c r="H136" t="s">
        <v>526</v>
      </c>
      <c r="I136" t="s">
        <v>527</v>
      </c>
      <c r="J136" s="1">
        <f>HYPERLINK("https://ec.europa.eu/info/funding-tenders/opportunities/portal/screen/how-to-participate/org-details/966956432", "966956432")</f>
        <v>0</v>
      </c>
      <c r="K136" t="s">
        <v>543</v>
      </c>
      <c r="L136" t="s">
        <v>543</v>
      </c>
      <c r="M136" t="s">
        <v>578</v>
      </c>
      <c r="N136" t="b">
        <v>0</v>
      </c>
      <c r="O136" t="s">
        <v>608</v>
      </c>
      <c r="P136" t="s">
        <v>692</v>
      </c>
      <c r="Q136">
        <v>9</v>
      </c>
      <c r="R136" t="s">
        <v>698</v>
      </c>
      <c r="S136" s="2">
        <v>63922.5</v>
      </c>
      <c r="T136" s="2">
        <v>63922.5</v>
      </c>
    </row>
    <row r="137" spans="1:21">
      <c r="A137" t="s">
        <v>23</v>
      </c>
      <c r="B137" s="1">
        <f>HYPERLINK("https://cordis.europa.eu/project/id/101132694", "101132694")</f>
        <v>0</v>
      </c>
      <c r="C137" t="s">
        <v>143</v>
      </c>
      <c r="D137" t="s">
        <v>269</v>
      </c>
      <c r="E137" t="s">
        <v>350</v>
      </c>
      <c r="F137" t="s">
        <v>432</v>
      </c>
      <c r="G137" t="s">
        <v>516</v>
      </c>
      <c r="H137" t="s">
        <v>526</v>
      </c>
      <c r="I137" t="s">
        <v>527</v>
      </c>
      <c r="J137" s="1">
        <f>HYPERLINK("https://ec.europa.eu/info/funding-tenders/opportunities/portal/screen/how-to-participate/org-details/998295580", "998295580")</f>
        <v>0</v>
      </c>
      <c r="K137" t="s">
        <v>534</v>
      </c>
      <c r="L137" t="s">
        <v>563</v>
      </c>
      <c r="M137" t="s">
        <v>580</v>
      </c>
      <c r="N137" t="b">
        <v>0</v>
      </c>
      <c r="O137" t="s">
        <v>608</v>
      </c>
      <c r="P137" t="s">
        <v>692</v>
      </c>
      <c r="Q137">
        <v>8</v>
      </c>
      <c r="R137" t="s">
        <v>698</v>
      </c>
      <c r="S137" s="2">
        <v>81108.75</v>
      </c>
      <c r="T137" s="2">
        <v>81108.75</v>
      </c>
    </row>
    <row r="138" spans="1:21">
      <c r="A138" t="s">
        <v>23</v>
      </c>
      <c r="B138" s="1">
        <f>HYPERLINK("https://cordis.europa.eu/project/id/101148550", "101148550")</f>
        <v>0</v>
      </c>
      <c r="C138" t="s">
        <v>144</v>
      </c>
      <c r="D138" t="s">
        <v>270</v>
      </c>
      <c r="E138" t="s">
        <v>351</v>
      </c>
      <c r="F138" t="s">
        <v>435</v>
      </c>
      <c r="G138" t="s">
        <v>521</v>
      </c>
      <c r="H138" t="s">
        <v>526</v>
      </c>
      <c r="I138" t="s">
        <v>527</v>
      </c>
      <c r="J138" s="1">
        <f>HYPERLINK("https://ec.europa.eu/info/funding-tenders/opportunities/portal/screen/how-to-participate/org-details/999613131", "999613131")</f>
        <v>0</v>
      </c>
      <c r="K138" t="s">
        <v>528</v>
      </c>
      <c r="L138" t="s">
        <v>559</v>
      </c>
      <c r="M138" t="s">
        <v>578</v>
      </c>
      <c r="N138" t="b">
        <v>0</v>
      </c>
      <c r="O138" t="s">
        <v>603</v>
      </c>
      <c r="P138" t="s">
        <v>682</v>
      </c>
      <c r="Q138">
        <v>2</v>
      </c>
      <c r="R138" t="s">
        <v>703</v>
      </c>
      <c r="T138" s="2">
        <v>0</v>
      </c>
    </row>
    <row r="139" spans="1:21">
      <c r="A139" t="s">
        <v>23</v>
      </c>
      <c r="B139" s="1">
        <f>HYPERLINK("https://cordis.europa.eu/project/id/101081280", "101081280")</f>
        <v>0</v>
      </c>
      <c r="C139" t="s">
        <v>145</v>
      </c>
      <c r="D139" t="s">
        <v>271</v>
      </c>
      <c r="E139" t="s">
        <v>352</v>
      </c>
      <c r="F139" t="s">
        <v>436</v>
      </c>
      <c r="G139" t="s">
        <v>522</v>
      </c>
      <c r="H139" t="s">
        <v>526</v>
      </c>
      <c r="I139" t="s">
        <v>527</v>
      </c>
      <c r="J139" s="1">
        <f>HYPERLINK("https://ec.europa.eu/info/funding-tenders/opportunities/portal/screen/how-to-participate/org-details/998295580", "998295580")</f>
        <v>0</v>
      </c>
      <c r="K139" t="s">
        <v>534</v>
      </c>
      <c r="L139" t="s">
        <v>563</v>
      </c>
      <c r="M139" t="s">
        <v>580</v>
      </c>
      <c r="N139" t="b">
        <v>0</v>
      </c>
      <c r="O139" t="s">
        <v>612</v>
      </c>
      <c r="P139" t="s">
        <v>693</v>
      </c>
      <c r="Q139">
        <v>14</v>
      </c>
      <c r="R139" t="s">
        <v>703</v>
      </c>
      <c r="T139" s="2">
        <v>0</v>
      </c>
    </row>
    <row r="140" spans="1:21">
      <c r="A140" t="s">
        <v>23</v>
      </c>
      <c r="B140" s="1">
        <f>HYPERLINK("https://cordis.europa.eu/project/id/101136728", "101136728")</f>
        <v>0</v>
      </c>
      <c r="C140" t="s">
        <v>146</v>
      </c>
      <c r="D140" t="s">
        <v>272</v>
      </c>
      <c r="E140" t="s">
        <v>353</v>
      </c>
      <c r="F140" t="s">
        <v>432</v>
      </c>
      <c r="G140" t="s">
        <v>523</v>
      </c>
      <c r="H140" t="s">
        <v>526</v>
      </c>
      <c r="I140" t="s">
        <v>527</v>
      </c>
      <c r="J140" s="1">
        <f>HYPERLINK("https://ec.europa.eu/info/funding-tenders/opportunities/portal/screen/how-to-participate/org-details/999613131", "999613131")</f>
        <v>0</v>
      </c>
      <c r="K140" t="s">
        <v>528</v>
      </c>
      <c r="L140" t="s">
        <v>559</v>
      </c>
      <c r="M140" t="s">
        <v>578</v>
      </c>
      <c r="N140" t="b">
        <v>0</v>
      </c>
      <c r="O140" t="s">
        <v>608</v>
      </c>
      <c r="P140" t="s">
        <v>694</v>
      </c>
      <c r="Q140">
        <v>2</v>
      </c>
      <c r="R140" t="s">
        <v>698</v>
      </c>
      <c r="S140" s="2">
        <v>1679000</v>
      </c>
      <c r="T140" s="2">
        <v>1679000</v>
      </c>
      <c r="U140" s="2">
        <v>1679000</v>
      </c>
    </row>
    <row r="141" spans="1:21">
      <c r="A141" t="s">
        <v>23</v>
      </c>
      <c r="B141" s="1">
        <f>HYPERLINK("https://cordis.europa.eu/project/id/101131418", "101131418")</f>
        <v>0</v>
      </c>
      <c r="C141" t="s">
        <v>147</v>
      </c>
      <c r="D141" t="s">
        <v>273</v>
      </c>
      <c r="E141" t="s">
        <v>354</v>
      </c>
      <c r="F141" t="s">
        <v>432</v>
      </c>
      <c r="G141" t="s">
        <v>516</v>
      </c>
      <c r="H141" t="s">
        <v>526</v>
      </c>
      <c r="I141" t="s">
        <v>527</v>
      </c>
      <c r="J141" s="1">
        <f>HYPERLINK("https://ec.europa.eu/info/funding-tenders/opportunities/portal/screen/how-to-participate/org-details/998331567", "998331567")</f>
        <v>0</v>
      </c>
      <c r="K141" t="s">
        <v>531</v>
      </c>
      <c r="M141" t="s">
        <v>578</v>
      </c>
      <c r="N141" t="b">
        <v>0</v>
      </c>
      <c r="O141" t="s">
        <v>610</v>
      </c>
      <c r="P141" t="s">
        <v>695</v>
      </c>
      <c r="Q141">
        <v>5</v>
      </c>
      <c r="R141" t="s">
        <v>703</v>
      </c>
      <c r="T141" s="2">
        <v>0</v>
      </c>
    </row>
    <row r="142" spans="1:21">
      <c r="A142" t="s">
        <v>23</v>
      </c>
      <c r="B142" s="1">
        <f>HYPERLINK("https://cordis.europa.eu/project/id/101081329", "101081329")</f>
        <v>0</v>
      </c>
      <c r="C142" t="s">
        <v>148</v>
      </c>
      <c r="D142" t="s">
        <v>274</v>
      </c>
      <c r="E142" t="s">
        <v>355</v>
      </c>
      <c r="F142" t="s">
        <v>437</v>
      </c>
      <c r="G142" t="s">
        <v>524</v>
      </c>
      <c r="H142" t="s">
        <v>526</v>
      </c>
      <c r="I142" t="s">
        <v>527</v>
      </c>
      <c r="J142" s="1">
        <f>HYPERLINK("https://ec.europa.eu/info/funding-tenders/opportunities/portal/screen/how-to-participate/org-details/996306013", "996306013")</f>
        <v>0</v>
      </c>
      <c r="K142" t="s">
        <v>548</v>
      </c>
      <c r="M142" t="s">
        <v>580</v>
      </c>
      <c r="N142" t="b">
        <v>0</v>
      </c>
      <c r="O142" t="s">
        <v>605</v>
      </c>
      <c r="P142" t="s">
        <v>696</v>
      </c>
      <c r="Q142">
        <v>32</v>
      </c>
      <c r="R142" t="s">
        <v>703</v>
      </c>
      <c r="T142" s="2">
        <v>0</v>
      </c>
    </row>
    <row r="143" spans="1:21">
      <c r="A143" t="s">
        <v>23</v>
      </c>
      <c r="B143" s="1">
        <f>HYPERLINK("https://cordis.europa.eu/project/id/101043986", "101043986")</f>
        <v>0</v>
      </c>
      <c r="C143" t="s">
        <v>149</v>
      </c>
      <c r="D143" t="s">
        <v>275</v>
      </c>
      <c r="E143" t="s">
        <v>356</v>
      </c>
      <c r="F143" t="s">
        <v>433</v>
      </c>
      <c r="G143" t="s">
        <v>525</v>
      </c>
      <c r="H143" t="s">
        <v>526</v>
      </c>
      <c r="I143" t="s">
        <v>527</v>
      </c>
      <c r="J143" s="1">
        <f>HYPERLINK("https://ec.europa.eu/info/funding-tenders/opportunities/portal/screen/how-to-participate/org-details/999873673", "999873673")</f>
        <v>0</v>
      </c>
      <c r="K143" t="s">
        <v>529</v>
      </c>
      <c r="M143" t="s">
        <v>578</v>
      </c>
      <c r="N143" t="b">
        <v>0</v>
      </c>
      <c r="O143" t="s">
        <v>613</v>
      </c>
      <c r="P143" t="s">
        <v>697</v>
      </c>
      <c r="Q143">
        <v>2</v>
      </c>
      <c r="R143" t="s">
        <v>698</v>
      </c>
      <c r="S143" s="2">
        <v>198000</v>
      </c>
      <c r="T143" s="2">
        <v>198000</v>
      </c>
      <c r="U143" s="2">
        <v>247500</v>
      </c>
    </row>
  </sheetData>
  <autoFilter ref="A1:U143"/>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
  <sheetViews>
    <sheetView workbookViewId="0"/>
  </sheetViews>
  <sheetFormatPr defaultRowHeight="15"/>
  <cols>
    <col min="1" max="1" width="10.7109375" style="1" customWidth="1"/>
    <col min="2" max="2" width="55.7109375" customWidth="1"/>
    <col min="3" max="3" width="15.7109375" customWidth="1"/>
    <col min="4" max="8" width="6.7109375" customWidth="1"/>
    <col min="9" max="9" width="11.7109375" customWidth="1"/>
    <col min="10" max="10" width="12.7109375" style="2" customWidth="1"/>
    <col min="13" max="13" width="12.7109375" style="2" customWidth="1"/>
    <col min="16" max="16" width="12.7109375" style="2" customWidth="1"/>
    <col min="19" max="19" width="12.7109375" style="2" customWidth="1"/>
  </cols>
  <sheetData>
    <row r="1" spans="1:19">
      <c r="A1" s="3" t="s">
        <v>9</v>
      </c>
      <c r="B1" s="3" t="s">
        <v>10</v>
      </c>
      <c r="C1" s="3" t="s">
        <v>11</v>
      </c>
      <c r="D1" s="3" t="s">
        <v>7</v>
      </c>
      <c r="E1" s="3" t="s">
        <v>8</v>
      </c>
      <c r="F1" s="3" t="s">
        <v>12</v>
      </c>
      <c r="G1" s="3" t="s">
        <v>13</v>
      </c>
      <c r="H1" s="3" t="s">
        <v>704</v>
      </c>
      <c r="I1" s="3" t="s">
        <v>705</v>
      </c>
      <c r="J1" s="3" t="s">
        <v>706</v>
      </c>
      <c r="K1" s="3" t="s">
        <v>707</v>
      </c>
      <c r="L1" s="3" t="s">
        <v>708</v>
      </c>
      <c r="M1" s="3" t="s">
        <v>709</v>
      </c>
      <c r="N1" s="3" t="s">
        <v>710</v>
      </c>
      <c r="O1" s="3" t="s">
        <v>711</v>
      </c>
      <c r="P1" s="3" t="s">
        <v>712</v>
      </c>
      <c r="Q1" s="3" t="s">
        <v>713</v>
      </c>
      <c r="R1" s="3" t="s">
        <v>714</v>
      </c>
      <c r="S1" s="3" t="s">
        <v>715</v>
      </c>
    </row>
    <row r="2" spans="1:19">
      <c r="A2" s="1">
        <v>999613131</v>
      </c>
      <c r="B2" t="s">
        <v>528</v>
      </c>
      <c r="C2" t="s">
        <v>559</v>
      </c>
      <c r="D2" t="s">
        <v>526</v>
      </c>
      <c r="E2" t="s">
        <v>527</v>
      </c>
      <c r="F2" t="s">
        <v>578</v>
      </c>
      <c r="H2">
        <v>47</v>
      </c>
      <c r="I2" t="s">
        <v>716</v>
      </c>
      <c r="J2" s="2">
        <v>3886977.95</v>
      </c>
      <c r="K2">
        <v>16</v>
      </c>
      <c r="L2">
        <v>8</v>
      </c>
      <c r="M2" s="2">
        <v>1414759.2</v>
      </c>
      <c r="N2">
        <v>22</v>
      </c>
      <c r="O2">
        <v>1</v>
      </c>
      <c r="P2" s="2">
        <v>365000</v>
      </c>
      <c r="Q2">
        <v>9</v>
      </c>
      <c r="R2">
        <v>3</v>
      </c>
      <c r="S2" s="2">
        <v>2107218.75</v>
      </c>
    </row>
    <row r="3" spans="1:19">
      <c r="A3" s="1">
        <v>999873673</v>
      </c>
      <c r="B3" t="s">
        <v>529</v>
      </c>
      <c r="D3" t="s">
        <v>526</v>
      </c>
      <c r="E3" t="s">
        <v>527</v>
      </c>
      <c r="F3" t="s">
        <v>578</v>
      </c>
      <c r="H3">
        <v>10</v>
      </c>
      <c r="I3" t="s">
        <v>716</v>
      </c>
      <c r="J3" s="2">
        <v>761575</v>
      </c>
      <c r="K3">
        <v>2</v>
      </c>
      <c r="L3">
        <v>2</v>
      </c>
      <c r="M3" s="2">
        <v>346075</v>
      </c>
      <c r="N3">
        <v>5</v>
      </c>
      <c r="O3">
        <v>1</v>
      </c>
      <c r="P3" s="2">
        <v>20000</v>
      </c>
      <c r="Q3">
        <v>3</v>
      </c>
      <c r="R3">
        <v>2</v>
      </c>
      <c r="S3" s="2">
        <v>395500</v>
      </c>
    </row>
    <row r="4" spans="1:19">
      <c r="A4" s="1">
        <v>998869335</v>
      </c>
      <c r="B4" t="s">
        <v>530</v>
      </c>
      <c r="C4" t="s">
        <v>560</v>
      </c>
      <c r="D4" t="s">
        <v>526</v>
      </c>
      <c r="E4" t="s">
        <v>527</v>
      </c>
      <c r="F4" t="s">
        <v>579</v>
      </c>
      <c r="H4">
        <v>1</v>
      </c>
      <c r="I4" t="s">
        <v>21</v>
      </c>
      <c r="J4" s="2">
        <v>187966</v>
      </c>
      <c r="K4">
        <v>1</v>
      </c>
      <c r="L4">
        <v>1</v>
      </c>
      <c r="M4" s="2">
        <v>187966</v>
      </c>
      <c r="N4">
        <v>0</v>
      </c>
      <c r="O4">
        <v>0</v>
      </c>
      <c r="P4" s="2">
        <v>0</v>
      </c>
      <c r="Q4">
        <v>0</v>
      </c>
      <c r="R4">
        <v>0</v>
      </c>
      <c r="S4" s="2">
        <v>0</v>
      </c>
    </row>
    <row r="5" spans="1:19">
      <c r="A5" s="1">
        <v>998331567</v>
      </c>
      <c r="B5" t="s">
        <v>531</v>
      </c>
      <c r="D5" t="s">
        <v>526</v>
      </c>
      <c r="E5" t="s">
        <v>527</v>
      </c>
      <c r="F5" t="s">
        <v>578</v>
      </c>
      <c r="H5">
        <v>14</v>
      </c>
      <c r="I5" t="s">
        <v>716</v>
      </c>
      <c r="J5" s="2">
        <v>1014871.25</v>
      </c>
      <c r="K5">
        <v>4</v>
      </c>
      <c r="L5">
        <v>3</v>
      </c>
      <c r="M5" s="2">
        <v>807925</v>
      </c>
      <c r="N5">
        <v>8</v>
      </c>
      <c r="O5">
        <v>2</v>
      </c>
      <c r="P5" s="2">
        <v>112500</v>
      </c>
      <c r="Q5">
        <v>2</v>
      </c>
      <c r="R5">
        <v>1</v>
      </c>
      <c r="S5" s="2">
        <v>94446.25</v>
      </c>
    </row>
    <row r="6" spans="1:19">
      <c r="A6" s="1">
        <v>992582086</v>
      </c>
      <c r="B6" t="s">
        <v>532</v>
      </c>
      <c r="C6" t="s">
        <v>561</v>
      </c>
      <c r="D6" t="s">
        <v>526</v>
      </c>
      <c r="E6" t="s">
        <v>527</v>
      </c>
      <c r="F6" t="s">
        <v>578</v>
      </c>
      <c r="H6">
        <v>8</v>
      </c>
      <c r="I6" t="s">
        <v>717</v>
      </c>
      <c r="J6" s="2">
        <v>1200380</v>
      </c>
      <c r="K6">
        <v>1</v>
      </c>
      <c r="L6">
        <v>0</v>
      </c>
      <c r="M6" s="2">
        <v>0</v>
      </c>
      <c r="N6">
        <v>7</v>
      </c>
      <c r="O6">
        <v>3</v>
      </c>
      <c r="P6" s="2">
        <v>1200380</v>
      </c>
      <c r="Q6">
        <v>0</v>
      </c>
      <c r="R6">
        <v>0</v>
      </c>
      <c r="S6" s="2">
        <v>0</v>
      </c>
    </row>
    <row r="7" spans="1:19">
      <c r="A7" s="1">
        <v>996569368</v>
      </c>
      <c r="B7" t="s">
        <v>533</v>
      </c>
      <c r="C7" t="s">
        <v>562</v>
      </c>
      <c r="D7" t="s">
        <v>526</v>
      </c>
      <c r="E7" t="s">
        <v>527</v>
      </c>
      <c r="F7" t="s">
        <v>580</v>
      </c>
      <c r="H7">
        <v>3</v>
      </c>
      <c r="I7" t="s">
        <v>717</v>
      </c>
      <c r="J7" s="2">
        <v>0</v>
      </c>
      <c r="K7">
        <v>1</v>
      </c>
      <c r="L7">
        <v>0</v>
      </c>
      <c r="M7" s="2">
        <v>0</v>
      </c>
      <c r="N7">
        <v>2</v>
      </c>
      <c r="O7">
        <v>0</v>
      </c>
      <c r="P7" s="2">
        <v>0</v>
      </c>
      <c r="Q7">
        <v>0</v>
      </c>
      <c r="R7">
        <v>0</v>
      </c>
      <c r="S7" s="2">
        <v>0</v>
      </c>
    </row>
    <row r="8" spans="1:19">
      <c r="A8" s="1">
        <v>998295580</v>
      </c>
      <c r="B8" t="s">
        <v>534</v>
      </c>
      <c r="C8" t="s">
        <v>563</v>
      </c>
      <c r="D8" t="s">
        <v>526</v>
      </c>
      <c r="E8" t="s">
        <v>527</v>
      </c>
      <c r="F8" t="s">
        <v>580</v>
      </c>
      <c r="H8">
        <v>9</v>
      </c>
      <c r="I8" t="s">
        <v>716</v>
      </c>
      <c r="J8" s="2">
        <v>498900.25</v>
      </c>
      <c r="K8">
        <v>1</v>
      </c>
      <c r="L8">
        <v>1</v>
      </c>
      <c r="M8" s="2">
        <v>120180</v>
      </c>
      <c r="N8">
        <v>4</v>
      </c>
      <c r="O8">
        <v>2</v>
      </c>
      <c r="P8" s="2">
        <v>297611.5</v>
      </c>
      <c r="Q8">
        <v>4</v>
      </c>
      <c r="R8">
        <v>1</v>
      </c>
      <c r="S8" s="2">
        <v>81108.75</v>
      </c>
    </row>
    <row r="9" spans="1:19">
      <c r="A9" s="1">
        <v>986399403</v>
      </c>
      <c r="B9" t="s">
        <v>535</v>
      </c>
      <c r="C9" t="s">
        <v>564</v>
      </c>
      <c r="D9" t="s">
        <v>526</v>
      </c>
      <c r="E9" t="s">
        <v>527</v>
      </c>
      <c r="F9" t="s">
        <v>581</v>
      </c>
      <c r="H9">
        <v>2</v>
      </c>
      <c r="I9" t="s">
        <v>21</v>
      </c>
      <c r="J9" s="2">
        <v>0</v>
      </c>
      <c r="K9">
        <v>2</v>
      </c>
      <c r="L9">
        <v>0</v>
      </c>
      <c r="M9" s="2">
        <v>0</v>
      </c>
      <c r="N9">
        <v>0</v>
      </c>
      <c r="O9">
        <v>0</v>
      </c>
      <c r="P9" s="2">
        <v>0</v>
      </c>
      <c r="Q9">
        <v>0</v>
      </c>
      <c r="R9">
        <v>0</v>
      </c>
      <c r="S9" s="2">
        <v>0</v>
      </c>
    </row>
    <row r="10" spans="1:19">
      <c r="A10" s="1">
        <v>952857385</v>
      </c>
      <c r="B10" t="s">
        <v>536</v>
      </c>
      <c r="C10" t="s">
        <v>565</v>
      </c>
      <c r="D10" t="s">
        <v>526</v>
      </c>
      <c r="E10" t="s">
        <v>527</v>
      </c>
      <c r="F10" t="s">
        <v>581</v>
      </c>
      <c r="H10">
        <v>3</v>
      </c>
      <c r="I10" t="s">
        <v>21</v>
      </c>
      <c r="J10" s="2">
        <v>27499</v>
      </c>
      <c r="K10">
        <v>3</v>
      </c>
      <c r="L10">
        <v>2</v>
      </c>
      <c r="M10" s="2">
        <v>27499</v>
      </c>
      <c r="N10">
        <v>0</v>
      </c>
      <c r="O10">
        <v>0</v>
      </c>
      <c r="P10" s="2">
        <v>0</v>
      </c>
      <c r="Q10">
        <v>0</v>
      </c>
      <c r="R10">
        <v>0</v>
      </c>
      <c r="S10" s="2">
        <v>0</v>
      </c>
    </row>
    <row r="11" spans="1:19">
      <c r="A11" s="1">
        <v>999851654</v>
      </c>
      <c r="B11" t="s">
        <v>537</v>
      </c>
      <c r="D11" t="s">
        <v>526</v>
      </c>
      <c r="E11" t="s">
        <v>527</v>
      </c>
      <c r="F11" t="s">
        <v>578</v>
      </c>
      <c r="H11">
        <v>5</v>
      </c>
      <c r="I11" t="s">
        <v>717</v>
      </c>
      <c r="J11" s="2">
        <v>0</v>
      </c>
      <c r="K11">
        <v>3</v>
      </c>
      <c r="L11">
        <v>0</v>
      </c>
      <c r="M11" s="2">
        <v>0</v>
      </c>
      <c r="N11">
        <v>2</v>
      </c>
      <c r="O11">
        <v>0</v>
      </c>
      <c r="P11" s="2">
        <v>0</v>
      </c>
      <c r="Q11">
        <v>0</v>
      </c>
      <c r="R11">
        <v>0</v>
      </c>
      <c r="S11" s="2">
        <v>0</v>
      </c>
    </row>
    <row r="12" spans="1:19">
      <c r="A12" s="1">
        <v>998317211</v>
      </c>
      <c r="B12" t="s">
        <v>538</v>
      </c>
      <c r="D12" t="s">
        <v>526</v>
      </c>
      <c r="E12" t="s">
        <v>527</v>
      </c>
      <c r="F12" t="s">
        <v>580</v>
      </c>
      <c r="H12">
        <v>5</v>
      </c>
      <c r="I12" t="s">
        <v>716</v>
      </c>
      <c r="J12" s="2">
        <v>171000</v>
      </c>
      <c r="K12">
        <v>1</v>
      </c>
      <c r="L12">
        <v>0</v>
      </c>
      <c r="M12" s="2">
        <v>0</v>
      </c>
      <c r="N12">
        <v>3</v>
      </c>
      <c r="O12">
        <v>0</v>
      </c>
      <c r="P12" s="2">
        <v>0</v>
      </c>
      <c r="Q12">
        <v>1</v>
      </c>
      <c r="R12">
        <v>1</v>
      </c>
      <c r="S12" s="2">
        <v>171000</v>
      </c>
    </row>
    <row r="13" spans="1:19">
      <c r="A13" s="1">
        <v>985512435</v>
      </c>
      <c r="B13" t="s">
        <v>539</v>
      </c>
      <c r="C13" t="s">
        <v>566</v>
      </c>
      <c r="D13" t="s">
        <v>526</v>
      </c>
      <c r="E13" t="s">
        <v>527</v>
      </c>
      <c r="F13" t="s">
        <v>578</v>
      </c>
      <c r="H13">
        <v>2</v>
      </c>
      <c r="I13" t="s">
        <v>717</v>
      </c>
      <c r="J13" s="2">
        <v>25000</v>
      </c>
      <c r="K13">
        <v>1</v>
      </c>
      <c r="L13">
        <v>1</v>
      </c>
      <c r="M13" s="2">
        <v>25000</v>
      </c>
      <c r="N13">
        <v>1</v>
      </c>
      <c r="O13">
        <v>0</v>
      </c>
      <c r="P13" s="2">
        <v>0</v>
      </c>
      <c r="Q13">
        <v>0</v>
      </c>
      <c r="R13">
        <v>0</v>
      </c>
      <c r="S13" s="2">
        <v>0</v>
      </c>
    </row>
    <row r="14" spans="1:19">
      <c r="A14" s="1">
        <v>998770104</v>
      </c>
      <c r="B14" t="s">
        <v>540</v>
      </c>
      <c r="C14" t="s">
        <v>567</v>
      </c>
      <c r="D14" t="s">
        <v>526</v>
      </c>
      <c r="E14" t="s">
        <v>527</v>
      </c>
      <c r="F14" t="s">
        <v>580</v>
      </c>
      <c r="H14">
        <v>2</v>
      </c>
      <c r="I14" t="s">
        <v>717</v>
      </c>
      <c r="J14" s="2">
        <v>43000</v>
      </c>
      <c r="K14">
        <v>1</v>
      </c>
      <c r="L14">
        <v>1</v>
      </c>
      <c r="M14" s="2">
        <v>43000</v>
      </c>
      <c r="N14">
        <v>1</v>
      </c>
      <c r="O14">
        <v>0</v>
      </c>
      <c r="P14" s="2">
        <v>0</v>
      </c>
      <c r="Q14">
        <v>0</v>
      </c>
      <c r="R14">
        <v>0</v>
      </c>
      <c r="S14" s="2">
        <v>0</v>
      </c>
    </row>
    <row r="15" spans="1:19">
      <c r="A15" s="1">
        <v>997164075</v>
      </c>
      <c r="B15" t="s">
        <v>541</v>
      </c>
      <c r="C15" t="s">
        <v>568</v>
      </c>
      <c r="D15" t="s">
        <v>526</v>
      </c>
      <c r="E15" t="s">
        <v>527</v>
      </c>
      <c r="F15" t="s">
        <v>582</v>
      </c>
      <c r="H15">
        <v>1</v>
      </c>
      <c r="I15" t="s">
        <v>21</v>
      </c>
      <c r="J15" s="2">
        <v>686164</v>
      </c>
      <c r="K15">
        <v>1</v>
      </c>
      <c r="L15">
        <v>1</v>
      </c>
      <c r="M15" s="2">
        <v>686164</v>
      </c>
      <c r="N15">
        <v>0</v>
      </c>
      <c r="O15">
        <v>0</v>
      </c>
      <c r="P15" s="2">
        <v>0</v>
      </c>
      <c r="Q15">
        <v>0</v>
      </c>
      <c r="R15">
        <v>0</v>
      </c>
      <c r="S15" s="2">
        <v>0</v>
      </c>
    </row>
    <row r="16" spans="1:19">
      <c r="A16" s="1">
        <v>989758028</v>
      </c>
      <c r="B16" t="s">
        <v>542</v>
      </c>
      <c r="C16" t="s">
        <v>569</v>
      </c>
      <c r="D16" t="s">
        <v>526</v>
      </c>
      <c r="E16" t="s">
        <v>527</v>
      </c>
      <c r="F16" t="s">
        <v>579</v>
      </c>
      <c r="H16">
        <v>1</v>
      </c>
      <c r="I16" t="s">
        <v>21</v>
      </c>
      <c r="J16" s="2">
        <v>202112</v>
      </c>
      <c r="K16">
        <v>1</v>
      </c>
      <c r="L16">
        <v>1</v>
      </c>
      <c r="M16" s="2">
        <v>202112</v>
      </c>
      <c r="N16">
        <v>0</v>
      </c>
      <c r="O16">
        <v>0</v>
      </c>
      <c r="P16" s="2">
        <v>0</v>
      </c>
      <c r="Q16">
        <v>0</v>
      </c>
      <c r="R16">
        <v>0</v>
      </c>
      <c r="S16" s="2">
        <v>0</v>
      </c>
    </row>
    <row r="17" spans="1:19">
      <c r="A17" s="1">
        <v>966956432</v>
      </c>
      <c r="B17" t="s">
        <v>543</v>
      </c>
      <c r="C17" t="s">
        <v>543</v>
      </c>
      <c r="D17" t="s">
        <v>526</v>
      </c>
      <c r="E17" t="s">
        <v>527</v>
      </c>
      <c r="F17" t="s">
        <v>578</v>
      </c>
      <c r="H17">
        <v>3</v>
      </c>
      <c r="I17" t="s">
        <v>716</v>
      </c>
      <c r="J17" s="2">
        <v>63922.5</v>
      </c>
      <c r="K17">
        <v>1</v>
      </c>
      <c r="L17">
        <v>0</v>
      </c>
      <c r="M17" s="2">
        <v>0</v>
      </c>
      <c r="N17">
        <v>1</v>
      </c>
      <c r="O17">
        <v>0</v>
      </c>
      <c r="P17" s="2">
        <v>0</v>
      </c>
      <c r="Q17">
        <v>1</v>
      </c>
      <c r="R17">
        <v>1</v>
      </c>
      <c r="S17" s="2">
        <v>63922.5</v>
      </c>
    </row>
    <row r="18" spans="1:19">
      <c r="A18" s="1">
        <v>998811717</v>
      </c>
      <c r="B18" t="s">
        <v>544</v>
      </c>
      <c r="C18" t="s">
        <v>570</v>
      </c>
      <c r="D18" t="s">
        <v>526</v>
      </c>
      <c r="E18" t="s">
        <v>527</v>
      </c>
      <c r="F18" t="s">
        <v>580</v>
      </c>
      <c r="H18">
        <v>1</v>
      </c>
      <c r="I18" t="s">
        <v>21</v>
      </c>
      <c r="J18" s="2">
        <v>25000</v>
      </c>
      <c r="K18">
        <v>1</v>
      </c>
      <c r="L18">
        <v>1</v>
      </c>
      <c r="M18" s="2">
        <v>25000</v>
      </c>
      <c r="N18">
        <v>0</v>
      </c>
      <c r="O18">
        <v>0</v>
      </c>
      <c r="P18" s="2">
        <v>0</v>
      </c>
      <c r="Q18">
        <v>0</v>
      </c>
      <c r="R18">
        <v>0</v>
      </c>
      <c r="S18" s="2">
        <v>0</v>
      </c>
    </row>
    <row r="19" spans="1:19">
      <c r="A19" s="1">
        <v>984830428</v>
      </c>
      <c r="B19" t="s">
        <v>545</v>
      </c>
      <c r="D19" t="s">
        <v>526</v>
      </c>
      <c r="E19" t="s">
        <v>527</v>
      </c>
      <c r="F19" t="s">
        <v>579</v>
      </c>
      <c r="G19" t="b">
        <v>0</v>
      </c>
      <c r="H19">
        <v>1</v>
      </c>
      <c r="I19" t="s">
        <v>22</v>
      </c>
      <c r="J19" s="2">
        <v>59125</v>
      </c>
      <c r="K19">
        <v>0</v>
      </c>
      <c r="L19">
        <v>0</v>
      </c>
      <c r="M19" s="2">
        <v>0</v>
      </c>
      <c r="N19">
        <v>1</v>
      </c>
      <c r="O19">
        <v>1</v>
      </c>
      <c r="P19" s="2">
        <v>59125</v>
      </c>
      <c r="Q19">
        <v>0</v>
      </c>
      <c r="R19">
        <v>0</v>
      </c>
      <c r="S19" s="2">
        <v>0</v>
      </c>
    </row>
    <row r="20" spans="1:19">
      <c r="A20" s="1">
        <v>991108074</v>
      </c>
      <c r="B20" t="s">
        <v>546</v>
      </c>
      <c r="C20" t="s">
        <v>571</v>
      </c>
      <c r="D20" t="s">
        <v>526</v>
      </c>
      <c r="E20" t="s">
        <v>527</v>
      </c>
      <c r="F20" t="s">
        <v>579</v>
      </c>
      <c r="G20" t="b">
        <v>0</v>
      </c>
      <c r="H20">
        <v>5</v>
      </c>
      <c r="I20" t="s">
        <v>22</v>
      </c>
      <c r="J20" s="2">
        <v>0</v>
      </c>
      <c r="K20">
        <v>0</v>
      </c>
      <c r="L20">
        <v>0</v>
      </c>
      <c r="M20" s="2">
        <v>0</v>
      </c>
      <c r="N20">
        <v>5</v>
      </c>
      <c r="O20">
        <v>0</v>
      </c>
      <c r="P20" s="2">
        <v>0</v>
      </c>
      <c r="Q20">
        <v>0</v>
      </c>
      <c r="R20">
        <v>0</v>
      </c>
      <c r="S20" s="2">
        <v>0</v>
      </c>
    </row>
    <row r="21" spans="1:19">
      <c r="A21" s="1">
        <v>997692046</v>
      </c>
      <c r="B21" t="s">
        <v>547</v>
      </c>
      <c r="C21" t="s">
        <v>572</v>
      </c>
      <c r="D21" t="s">
        <v>526</v>
      </c>
      <c r="E21" t="s">
        <v>527</v>
      </c>
      <c r="F21" t="s">
        <v>580</v>
      </c>
      <c r="G21" t="b">
        <v>0</v>
      </c>
      <c r="H21">
        <v>4</v>
      </c>
      <c r="I21" t="s">
        <v>22</v>
      </c>
      <c r="J21" s="2">
        <v>466922.5</v>
      </c>
      <c r="K21">
        <v>0</v>
      </c>
      <c r="L21">
        <v>0</v>
      </c>
      <c r="M21" s="2">
        <v>0</v>
      </c>
      <c r="N21">
        <v>4</v>
      </c>
      <c r="O21">
        <v>1</v>
      </c>
      <c r="P21" s="2">
        <v>466922.5</v>
      </c>
      <c r="Q21">
        <v>0</v>
      </c>
      <c r="R21">
        <v>0</v>
      </c>
      <c r="S21" s="2">
        <v>0</v>
      </c>
    </row>
    <row r="22" spans="1:19">
      <c r="A22" s="1">
        <v>996306013</v>
      </c>
      <c r="B22" t="s">
        <v>548</v>
      </c>
      <c r="D22" t="s">
        <v>526</v>
      </c>
      <c r="E22" t="s">
        <v>527</v>
      </c>
      <c r="F22" t="s">
        <v>580</v>
      </c>
      <c r="G22" t="b">
        <v>0</v>
      </c>
      <c r="H22">
        <v>5</v>
      </c>
      <c r="I22" t="s">
        <v>718</v>
      </c>
      <c r="J22" s="2">
        <v>0</v>
      </c>
      <c r="K22">
        <v>0</v>
      </c>
      <c r="L22">
        <v>0</v>
      </c>
      <c r="M22" s="2">
        <v>0</v>
      </c>
      <c r="N22">
        <v>4</v>
      </c>
      <c r="O22">
        <v>0</v>
      </c>
      <c r="P22" s="2">
        <v>0</v>
      </c>
      <c r="Q22">
        <v>1</v>
      </c>
      <c r="R22">
        <v>0</v>
      </c>
      <c r="S22" s="2">
        <v>0</v>
      </c>
    </row>
    <row r="23" spans="1:19">
      <c r="A23" s="1">
        <v>888895891</v>
      </c>
      <c r="B23" t="s">
        <v>549</v>
      </c>
      <c r="D23" t="s">
        <v>526</v>
      </c>
      <c r="E23" t="s">
        <v>527</v>
      </c>
      <c r="F23" t="s">
        <v>579</v>
      </c>
      <c r="G23" t="b">
        <v>0</v>
      </c>
      <c r="H23">
        <v>1</v>
      </c>
      <c r="I23" t="s">
        <v>22</v>
      </c>
      <c r="J23" s="2">
        <v>0</v>
      </c>
      <c r="K23">
        <v>0</v>
      </c>
      <c r="L23">
        <v>0</v>
      </c>
      <c r="M23" s="2">
        <v>0</v>
      </c>
      <c r="N23">
        <v>1</v>
      </c>
      <c r="O23">
        <v>0</v>
      </c>
      <c r="P23" s="2">
        <v>0</v>
      </c>
      <c r="Q23">
        <v>0</v>
      </c>
      <c r="R23">
        <v>0</v>
      </c>
      <c r="S23" s="2">
        <v>0</v>
      </c>
    </row>
    <row r="24" spans="1:19">
      <c r="A24" s="1">
        <v>905831106</v>
      </c>
      <c r="B24" t="s">
        <v>550</v>
      </c>
      <c r="D24" t="s">
        <v>526</v>
      </c>
      <c r="E24" t="s">
        <v>527</v>
      </c>
      <c r="F24" t="s">
        <v>581</v>
      </c>
      <c r="G24" t="b">
        <v>0</v>
      </c>
      <c r="H24">
        <v>1</v>
      </c>
      <c r="I24" t="s">
        <v>22</v>
      </c>
      <c r="J24" s="2">
        <v>25000</v>
      </c>
      <c r="K24">
        <v>0</v>
      </c>
      <c r="L24">
        <v>0</v>
      </c>
      <c r="M24" s="2">
        <v>0</v>
      </c>
      <c r="N24">
        <v>1</v>
      </c>
      <c r="O24">
        <v>1</v>
      </c>
      <c r="P24" s="2">
        <v>25000</v>
      </c>
      <c r="Q24">
        <v>0</v>
      </c>
      <c r="R24">
        <v>0</v>
      </c>
      <c r="S24" s="2">
        <v>0</v>
      </c>
    </row>
    <row r="25" spans="1:19">
      <c r="A25" s="1">
        <v>984448442</v>
      </c>
      <c r="B25" t="s">
        <v>551</v>
      </c>
      <c r="C25" t="s">
        <v>573</v>
      </c>
      <c r="D25" t="s">
        <v>526</v>
      </c>
      <c r="E25" t="s">
        <v>527</v>
      </c>
      <c r="F25" t="s">
        <v>580</v>
      </c>
      <c r="G25" t="b">
        <v>0</v>
      </c>
      <c r="H25">
        <v>1</v>
      </c>
      <c r="I25" t="s">
        <v>22</v>
      </c>
      <c r="J25" s="2">
        <v>0</v>
      </c>
      <c r="K25">
        <v>0</v>
      </c>
      <c r="L25">
        <v>0</v>
      </c>
      <c r="M25" s="2">
        <v>0</v>
      </c>
      <c r="N25">
        <v>1</v>
      </c>
      <c r="O25">
        <v>0</v>
      </c>
      <c r="P25" s="2">
        <v>0</v>
      </c>
      <c r="Q25">
        <v>0</v>
      </c>
      <c r="R25">
        <v>0</v>
      </c>
      <c r="S25" s="2">
        <v>0</v>
      </c>
    </row>
    <row r="26" spans="1:19">
      <c r="A26" s="1">
        <v>928277488</v>
      </c>
      <c r="B26" t="s">
        <v>552</v>
      </c>
      <c r="C26" t="s">
        <v>574</v>
      </c>
      <c r="D26" t="s">
        <v>526</v>
      </c>
      <c r="E26" t="s">
        <v>527</v>
      </c>
      <c r="F26" t="s">
        <v>579</v>
      </c>
      <c r="G26" t="b">
        <v>1</v>
      </c>
      <c r="H26">
        <v>1</v>
      </c>
      <c r="I26" t="s">
        <v>22</v>
      </c>
      <c r="J26" s="2">
        <v>0</v>
      </c>
      <c r="K26">
        <v>0</v>
      </c>
      <c r="L26">
        <v>0</v>
      </c>
      <c r="M26" s="2">
        <v>0</v>
      </c>
      <c r="N26">
        <v>1</v>
      </c>
      <c r="O26">
        <v>0</v>
      </c>
      <c r="P26" s="2">
        <v>0</v>
      </c>
      <c r="Q26">
        <v>0</v>
      </c>
      <c r="R26">
        <v>0</v>
      </c>
      <c r="S26" s="2">
        <v>0</v>
      </c>
    </row>
    <row r="27" spans="1:19">
      <c r="A27" s="1">
        <v>899346753</v>
      </c>
      <c r="B27" t="s">
        <v>553</v>
      </c>
      <c r="C27" t="s">
        <v>553</v>
      </c>
      <c r="D27" t="s">
        <v>526</v>
      </c>
      <c r="E27" t="s">
        <v>527</v>
      </c>
      <c r="F27" t="s">
        <v>579</v>
      </c>
      <c r="G27" t="b">
        <v>0</v>
      </c>
      <c r="H27">
        <v>1</v>
      </c>
      <c r="I27" t="s">
        <v>22</v>
      </c>
      <c r="J27" s="2">
        <v>0</v>
      </c>
      <c r="K27">
        <v>0</v>
      </c>
      <c r="L27">
        <v>0</v>
      </c>
      <c r="M27" s="2">
        <v>0</v>
      </c>
      <c r="N27">
        <v>1</v>
      </c>
      <c r="O27">
        <v>0</v>
      </c>
      <c r="P27" s="2">
        <v>0</v>
      </c>
      <c r="Q27">
        <v>0</v>
      </c>
      <c r="R27">
        <v>0</v>
      </c>
      <c r="S27" s="2">
        <v>0</v>
      </c>
    </row>
    <row r="28" spans="1:19">
      <c r="A28" s="1">
        <v>927688504</v>
      </c>
      <c r="B28" t="s">
        <v>554</v>
      </c>
      <c r="C28" t="s">
        <v>575</v>
      </c>
      <c r="D28" t="s">
        <v>526</v>
      </c>
      <c r="E28" t="s">
        <v>527</v>
      </c>
      <c r="F28" t="s">
        <v>581</v>
      </c>
      <c r="G28" t="b">
        <v>0</v>
      </c>
      <c r="H28">
        <v>1</v>
      </c>
      <c r="I28" t="s">
        <v>22</v>
      </c>
      <c r="J28" s="2">
        <v>89880</v>
      </c>
      <c r="K28">
        <v>0</v>
      </c>
      <c r="L28">
        <v>0</v>
      </c>
      <c r="M28" s="2">
        <v>0</v>
      </c>
      <c r="N28">
        <v>1</v>
      </c>
      <c r="O28">
        <v>1</v>
      </c>
      <c r="P28" s="2">
        <v>89880</v>
      </c>
      <c r="Q28">
        <v>0</v>
      </c>
      <c r="R28">
        <v>0</v>
      </c>
      <c r="S28" s="2">
        <v>0</v>
      </c>
    </row>
    <row r="29" spans="1:19">
      <c r="A29" s="1">
        <v>880942943</v>
      </c>
      <c r="B29" t="s">
        <v>555</v>
      </c>
      <c r="C29" t="s">
        <v>576</v>
      </c>
      <c r="D29" t="s">
        <v>526</v>
      </c>
      <c r="E29" t="s">
        <v>527</v>
      </c>
      <c r="F29" t="s">
        <v>579</v>
      </c>
      <c r="G29" t="b">
        <v>0</v>
      </c>
      <c r="H29">
        <v>1</v>
      </c>
      <c r="I29" t="s">
        <v>23</v>
      </c>
      <c r="J29" s="2">
        <v>304937.5</v>
      </c>
      <c r="K29">
        <v>0</v>
      </c>
      <c r="L29">
        <v>0</v>
      </c>
      <c r="M29" s="2">
        <v>0</v>
      </c>
      <c r="N29">
        <v>0</v>
      </c>
      <c r="O29">
        <v>0</v>
      </c>
      <c r="P29" s="2">
        <v>0</v>
      </c>
      <c r="Q29">
        <v>1</v>
      </c>
      <c r="R29">
        <v>1</v>
      </c>
      <c r="S29" s="2">
        <v>304937.5</v>
      </c>
    </row>
    <row r="30" spans="1:19">
      <c r="A30" s="1">
        <v>880989503</v>
      </c>
      <c r="B30" t="s">
        <v>556</v>
      </c>
      <c r="D30" t="s">
        <v>526</v>
      </c>
      <c r="E30" t="s">
        <v>527</v>
      </c>
      <c r="F30" t="s">
        <v>582</v>
      </c>
      <c r="G30" t="b">
        <v>0</v>
      </c>
      <c r="H30">
        <v>1</v>
      </c>
      <c r="I30" t="s">
        <v>23</v>
      </c>
      <c r="J30" s="2">
        <v>217500</v>
      </c>
      <c r="K30">
        <v>0</v>
      </c>
      <c r="L30">
        <v>0</v>
      </c>
      <c r="M30" s="2">
        <v>0</v>
      </c>
      <c r="N30">
        <v>0</v>
      </c>
      <c r="O30">
        <v>0</v>
      </c>
      <c r="P30" s="2">
        <v>0</v>
      </c>
      <c r="Q30">
        <v>1</v>
      </c>
      <c r="R30">
        <v>1</v>
      </c>
      <c r="S30" s="2">
        <v>217500</v>
      </c>
    </row>
    <row r="31" spans="1:19">
      <c r="A31" s="1">
        <v>883065109</v>
      </c>
      <c r="B31" t="s">
        <v>557</v>
      </c>
      <c r="D31" t="s">
        <v>526</v>
      </c>
      <c r="E31" t="s">
        <v>527</v>
      </c>
      <c r="F31" t="s">
        <v>582</v>
      </c>
      <c r="G31" t="b">
        <v>0</v>
      </c>
      <c r="H31">
        <v>1</v>
      </c>
      <c r="I31" t="s">
        <v>23</v>
      </c>
      <c r="J31" s="2">
        <v>286937.5</v>
      </c>
      <c r="K31">
        <v>0</v>
      </c>
      <c r="L31">
        <v>0</v>
      </c>
      <c r="M31" s="2">
        <v>0</v>
      </c>
      <c r="N31">
        <v>0</v>
      </c>
      <c r="O31">
        <v>0</v>
      </c>
      <c r="P31" s="2">
        <v>0</v>
      </c>
      <c r="Q31">
        <v>1</v>
      </c>
      <c r="R31">
        <v>1</v>
      </c>
      <c r="S31" s="2">
        <v>286937.5</v>
      </c>
    </row>
    <row r="32" spans="1:19">
      <c r="A32" s="1">
        <v>889397657</v>
      </c>
      <c r="B32" t="s">
        <v>558</v>
      </c>
      <c r="C32" t="s">
        <v>577</v>
      </c>
      <c r="D32" t="s">
        <v>526</v>
      </c>
      <c r="E32" t="s">
        <v>527</v>
      </c>
      <c r="F32" t="s">
        <v>579</v>
      </c>
      <c r="G32" t="b">
        <v>0</v>
      </c>
      <c r="H32">
        <v>1</v>
      </c>
      <c r="I32" t="s">
        <v>23</v>
      </c>
      <c r="J32" s="2">
        <v>150000</v>
      </c>
      <c r="K32">
        <v>0</v>
      </c>
      <c r="L32">
        <v>0</v>
      </c>
      <c r="M32" s="2">
        <v>0</v>
      </c>
      <c r="N32">
        <v>0</v>
      </c>
      <c r="O32">
        <v>0</v>
      </c>
      <c r="P32" s="2">
        <v>0</v>
      </c>
      <c r="Q32">
        <v>1</v>
      </c>
      <c r="R32">
        <v>1</v>
      </c>
      <c r="S32" s="2">
        <v>150000</v>
      </c>
    </row>
  </sheetData>
  <autoFilter ref="A1:S32"/>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7"/>
  <sheetViews>
    <sheetView workbookViewId="0"/>
  </sheetViews>
  <sheetFormatPr defaultRowHeight="15"/>
  <cols>
    <col min="2" max="2" width="10.7109375" style="1" customWidth="1"/>
    <col min="3" max="3" width="12.7109375" customWidth="1"/>
    <col min="4" max="4" width="25.7109375" customWidth="1"/>
    <col min="5" max="9" width="11.7109375" customWidth="1"/>
    <col min="10" max="10" width="12.7109375" style="2" customWidth="1"/>
    <col min="11" max="11" width="12.7109375" style="2" customWidth="1"/>
    <col min="12" max="13" width="11.7109375" customWidth="1"/>
  </cols>
  <sheetData>
    <row r="1" spans="1:13">
      <c r="A1" s="3" t="s">
        <v>0</v>
      </c>
      <c r="B1" s="3" t="s">
        <v>1</v>
      </c>
      <c r="C1" s="3" t="s">
        <v>2</v>
      </c>
      <c r="D1" s="3" t="s">
        <v>3</v>
      </c>
      <c r="E1" s="3" t="s">
        <v>4</v>
      </c>
      <c r="F1" s="3" t="s">
        <v>5</v>
      </c>
      <c r="G1" s="3" t="s">
        <v>6</v>
      </c>
      <c r="H1" s="3" t="s">
        <v>14</v>
      </c>
      <c r="I1" s="3" t="s">
        <v>15</v>
      </c>
      <c r="J1" s="3" t="s">
        <v>719</v>
      </c>
      <c r="K1" s="3" t="s">
        <v>720</v>
      </c>
      <c r="L1" s="3" t="s">
        <v>721</v>
      </c>
      <c r="M1" s="3" t="s">
        <v>722</v>
      </c>
    </row>
    <row r="2" spans="1:13">
      <c r="A2" t="s">
        <v>21</v>
      </c>
      <c r="B2" s="1">
        <f>HYPERLINK("https://cordis.europa.eu/project/id/248032", "248032")</f>
        <v>0</v>
      </c>
      <c r="C2" t="s">
        <v>24</v>
      </c>
      <c r="D2" t="s">
        <v>150</v>
      </c>
      <c r="F2" t="s">
        <v>357</v>
      </c>
      <c r="G2" t="s">
        <v>438</v>
      </c>
      <c r="H2" t="s">
        <v>583</v>
      </c>
      <c r="I2" t="s">
        <v>614</v>
      </c>
      <c r="J2" s="2">
        <v>72800</v>
      </c>
      <c r="K2" s="2">
        <v>1025320</v>
      </c>
      <c r="L2" t="s">
        <v>723</v>
      </c>
      <c r="M2" t="s">
        <v>724</v>
      </c>
    </row>
    <row r="3" spans="1:13">
      <c r="A3" t="s">
        <v>21</v>
      </c>
      <c r="B3" s="1">
        <f>HYPERLINK("https://cordis.europa.eu/project/id/222665", "222665")</f>
        <v>0</v>
      </c>
      <c r="C3" t="s">
        <v>25</v>
      </c>
      <c r="D3" t="s">
        <v>151</v>
      </c>
      <c r="F3" t="s">
        <v>358</v>
      </c>
      <c r="G3" t="s">
        <v>439</v>
      </c>
      <c r="H3" t="s">
        <v>584</v>
      </c>
      <c r="I3" t="s">
        <v>615</v>
      </c>
      <c r="J3" s="2">
        <v>472577</v>
      </c>
      <c r="K3" s="2">
        <v>472577</v>
      </c>
      <c r="L3" t="s">
        <v>723</v>
      </c>
      <c r="M3" t="s">
        <v>723</v>
      </c>
    </row>
    <row r="4" spans="1:13">
      <c r="A4" t="s">
        <v>21</v>
      </c>
      <c r="B4" s="1">
        <f>HYPERLINK("https://cordis.europa.eu/project/id/607476", "607476")</f>
        <v>0</v>
      </c>
      <c r="C4" t="s">
        <v>26</v>
      </c>
      <c r="D4" t="s">
        <v>152</v>
      </c>
      <c r="F4" t="s">
        <v>359</v>
      </c>
      <c r="G4" t="s">
        <v>390</v>
      </c>
      <c r="H4" t="s">
        <v>585</v>
      </c>
      <c r="I4" t="s">
        <v>616</v>
      </c>
      <c r="J4" s="2">
        <v>0</v>
      </c>
      <c r="K4" s="2">
        <v>2151918.97</v>
      </c>
      <c r="L4" t="s">
        <v>723</v>
      </c>
      <c r="M4" t="s">
        <v>725</v>
      </c>
    </row>
    <row r="5" spans="1:13">
      <c r="A5" t="s">
        <v>21</v>
      </c>
      <c r="B5" s="1">
        <f>HYPERLINK("https://cordis.europa.eu/project/id/617060", "617060")</f>
        <v>0</v>
      </c>
      <c r="C5" t="s">
        <v>27</v>
      </c>
      <c r="D5" t="s">
        <v>153</v>
      </c>
      <c r="F5" t="s">
        <v>360</v>
      </c>
      <c r="G5" t="s">
        <v>296</v>
      </c>
      <c r="H5" t="s">
        <v>586</v>
      </c>
      <c r="I5" t="s">
        <v>617</v>
      </c>
      <c r="J5" s="2">
        <v>288733.2</v>
      </c>
      <c r="K5" s="2">
        <v>1830510</v>
      </c>
      <c r="L5" t="s">
        <v>723</v>
      </c>
      <c r="M5" t="s">
        <v>726</v>
      </c>
    </row>
    <row r="6" spans="1:13">
      <c r="A6" t="s">
        <v>21</v>
      </c>
      <c r="B6" s="1">
        <f>HYPERLINK("https://cordis.europa.eu/project/id/263218", "263218")</f>
        <v>0</v>
      </c>
      <c r="C6" t="s">
        <v>28</v>
      </c>
      <c r="D6" t="s">
        <v>154</v>
      </c>
      <c r="F6" t="s">
        <v>361</v>
      </c>
      <c r="G6" t="s">
        <v>440</v>
      </c>
      <c r="H6" t="s">
        <v>583</v>
      </c>
      <c r="I6" t="s">
        <v>618</v>
      </c>
      <c r="J6" s="2">
        <v>352357</v>
      </c>
      <c r="K6" s="2">
        <v>1972049.75</v>
      </c>
      <c r="L6" t="s">
        <v>723</v>
      </c>
      <c r="M6" t="s">
        <v>727</v>
      </c>
    </row>
    <row r="7" spans="1:13">
      <c r="A7" t="s">
        <v>21</v>
      </c>
      <c r="B7" s="1">
        <f>HYPERLINK("https://cordis.europa.eu/project/id/226873", "226873")</f>
        <v>0</v>
      </c>
      <c r="C7" t="s">
        <v>29</v>
      </c>
      <c r="D7" t="s">
        <v>155</v>
      </c>
      <c r="F7" t="s">
        <v>362</v>
      </c>
      <c r="G7" t="s">
        <v>441</v>
      </c>
      <c r="H7" t="s">
        <v>585</v>
      </c>
      <c r="I7" t="s">
        <v>619</v>
      </c>
      <c r="J7" s="2">
        <v>0</v>
      </c>
      <c r="K7" s="2">
        <v>3499748</v>
      </c>
      <c r="L7" t="s">
        <v>723</v>
      </c>
      <c r="M7" t="s">
        <v>728</v>
      </c>
    </row>
    <row r="8" spans="1:13">
      <c r="A8" t="s">
        <v>21</v>
      </c>
      <c r="B8" s="1">
        <f>HYPERLINK("https://cordis.europa.eu/project/id/227202", "227202")</f>
        <v>0</v>
      </c>
      <c r="C8" t="s">
        <v>30</v>
      </c>
      <c r="D8" t="s">
        <v>156</v>
      </c>
      <c r="F8" t="s">
        <v>363</v>
      </c>
      <c r="G8" t="s">
        <v>442</v>
      </c>
      <c r="H8" t="s">
        <v>585</v>
      </c>
      <c r="I8" t="s">
        <v>620</v>
      </c>
      <c r="J8" s="2">
        <v>148740</v>
      </c>
      <c r="K8" s="2">
        <v>2372534</v>
      </c>
      <c r="L8" t="s">
        <v>723</v>
      </c>
      <c r="M8" t="s">
        <v>729</v>
      </c>
    </row>
    <row r="9" spans="1:13">
      <c r="A9" t="s">
        <v>21</v>
      </c>
      <c r="B9" s="1">
        <f>HYPERLINK("https://cordis.europa.eu/project/id/238988", "238988")</f>
        <v>0</v>
      </c>
      <c r="C9" t="s">
        <v>31</v>
      </c>
      <c r="D9" t="s">
        <v>157</v>
      </c>
      <c r="F9" t="s">
        <v>364</v>
      </c>
      <c r="G9" t="s">
        <v>443</v>
      </c>
      <c r="H9" t="s">
        <v>587</v>
      </c>
      <c r="I9" t="s">
        <v>621</v>
      </c>
      <c r="J9" s="2">
        <v>0</v>
      </c>
      <c r="K9" s="2">
        <v>3300000</v>
      </c>
      <c r="L9" t="s">
        <v>723</v>
      </c>
      <c r="M9" t="s">
        <v>730</v>
      </c>
    </row>
    <row r="10" spans="1:13">
      <c r="A10" t="s">
        <v>21</v>
      </c>
      <c r="B10" s="1">
        <f>HYPERLINK("https://cordis.europa.eu/project/id/318671", "318671")</f>
        <v>0</v>
      </c>
      <c r="C10" t="s">
        <v>32</v>
      </c>
      <c r="D10" t="s">
        <v>158</v>
      </c>
      <c r="F10" t="s">
        <v>365</v>
      </c>
      <c r="G10" t="s">
        <v>441</v>
      </c>
      <c r="H10" t="s">
        <v>583</v>
      </c>
      <c r="I10" t="s">
        <v>622</v>
      </c>
      <c r="J10" s="2">
        <v>0</v>
      </c>
      <c r="K10" s="2">
        <v>3400000</v>
      </c>
      <c r="L10" t="s">
        <v>723</v>
      </c>
      <c r="M10" t="s">
        <v>731</v>
      </c>
    </row>
    <row r="11" spans="1:13">
      <c r="A11" t="s">
        <v>21</v>
      </c>
      <c r="B11" s="1">
        <f>HYPERLINK("https://cordis.europa.eu/project/id/600933", "600933")</f>
        <v>0</v>
      </c>
      <c r="C11" t="s">
        <v>33</v>
      </c>
      <c r="D11" t="s">
        <v>159</v>
      </c>
      <c r="F11" t="s">
        <v>366</v>
      </c>
      <c r="G11" t="s">
        <v>444</v>
      </c>
      <c r="H11" t="s">
        <v>583</v>
      </c>
      <c r="I11" t="s">
        <v>623</v>
      </c>
      <c r="J11" s="2">
        <v>120180</v>
      </c>
      <c r="K11" s="2">
        <v>2909000</v>
      </c>
      <c r="L11" t="s">
        <v>723</v>
      </c>
      <c r="M11" t="s">
        <v>732</v>
      </c>
    </row>
    <row r="12" spans="1:13">
      <c r="A12" t="s">
        <v>21</v>
      </c>
      <c r="B12" s="1">
        <f>HYPERLINK("https://cordis.europa.eu/project/id/269978", "269978")</f>
        <v>0</v>
      </c>
      <c r="C12" t="s">
        <v>34</v>
      </c>
      <c r="D12" t="s">
        <v>160</v>
      </c>
      <c r="F12" t="s">
        <v>367</v>
      </c>
      <c r="G12" t="s">
        <v>445</v>
      </c>
      <c r="H12" t="s">
        <v>583</v>
      </c>
      <c r="I12" t="s">
        <v>624</v>
      </c>
      <c r="J12" s="2">
        <v>210000</v>
      </c>
      <c r="K12" s="2">
        <v>10699995</v>
      </c>
      <c r="L12" t="s">
        <v>723</v>
      </c>
      <c r="M12" t="s">
        <v>733</v>
      </c>
    </row>
    <row r="13" spans="1:13">
      <c r="A13" t="s">
        <v>21</v>
      </c>
      <c r="B13" s="1">
        <f>HYPERLINK("https://cordis.europa.eu/project/id/265919", "265919")</f>
        <v>0</v>
      </c>
      <c r="C13" t="s">
        <v>35</v>
      </c>
      <c r="D13" t="s">
        <v>161</v>
      </c>
      <c r="F13" t="s">
        <v>361</v>
      </c>
      <c r="G13" t="s">
        <v>446</v>
      </c>
      <c r="H13" t="s">
        <v>588</v>
      </c>
      <c r="I13" t="s">
        <v>625</v>
      </c>
      <c r="J13" s="2">
        <v>11449</v>
      </c>
      <c r="K13" s="2">
        <v>999130</v>
      </c>
      <c r="L13" t="s">
        <v>723</v>
      </c>
      <c r="M13" t="s">
        <v>734</v>
      </c>
    </row>
    <row r="14" spans="1:13">
      <c r="A14" t="s">
        <v>21</v>
      </c>
      <c r="B14" s="1">
        <f>HYPERLINK("https://cordis.europa.eu/project/id/291864", "291864")</f>
        <v>0</v>
      </c>
      <c r="C14" t="s">
        <v>36</v>
      </c>
      <c r="D14" t="s">
        <v>162</v>
      </c>
      <c r="F14" t="s">
        <v>368</v>
      </c>
      <c r="G14" t="s">
        <v>445</v>
      </c>
      <c r="H14" t="s">
        <v>588</v>
      </c>
      <c r="I14" t="s">
        <v>626</v>
      </c>
      <c r="J14" s="2">
        <v>16050</v>
      </c>
      <c r="K14" s="2">
        <v>1989658</v>
      </c>
      <c r="L14" t="s">
        <v>723</v>
      </c>
      <c r="M14" t="s">
        <v>735</v>
      </c>
    </row>
    <row r="15" spans="1:13">
      <c r="A15" t="s">
        <v>21</v>
      </c>
      <c r="B15" s="1">
        <f>HYPERLINK("https://cordis.europa.eu/project/id/248505", "248505")</f>
        <v>0</v>
      </c>
      <c r="C15" t="s">
        <v>37</v>
      </c>
      <c r="D15" t="s">
        <v>163</v>
      </c>
      <c r="F15" t="s">
        <v>357</v>
      </c>
      <c r="G15" t="s">
        <v>447</v>
      </c>
      <c r="H15" t="s">
        <v>589</v>
      </c>
      <c r="I15" t="s">
        <v>614</v>
      </c>
      <c r="J15" s="2">
        <v>61464</v>
      </c>
      <c r="K15" s="2">
        <v>650000</v>
      </c>
      <c r="L15" t="s">
        <v>723</v>
      </c>
      <c r="M15" t="s">
        <v>736</v>
      </c>
    </row>
    <row r="16" spans="1:13">
      <c r="A16" t="s">
        <v>21</v>
      </c>
      <c r="B16" s="1">
        <f>HYPERLINK("https://cordis.europa.eu/project/id/222623", "222623")</f>
        <v>0</v>
      </c>
      <c r="C16" t="s">
        <v>38</v>
      </c>
      <c r="D16" t="s">
        <v>164</v>
      </c>
      <c r="F16" t="s">
        <v>364</v>
      </c>
      <c r="G16" t="s">
        <v>448</v>
      </c>
      <c r="H16" t="s">
        <v>590</v>
      </c>
      <c r="I16" t="s">
        <v>627</v>
      </c>
      <c r="J16" s="2">
        <v>0</v>
      </c>
      <c r="K16" s="2">
        <v>5999995</v>
      </c>
      <c r="L16" t="s">
        <v>723</v>
      </c>
      <c r="M16" t="s">
        <v>737</v>
      </c>
    </row>
    <row r="17" spans="1:13">
      <c r="A17" t="s">
        <v>21</v>
      </c>
      <c r="B17" s="1">
        <f>HYPERLINK("https://cordis.europa.eu/project/id/339993", "339993")</f>
        <v>0</v>
      </c>
      <c r="C17" t="s">
        <v>39</v>
      </c>
      <c r="D17" t="s">
        <v>165</v>
      </c>
      <c r="F17" t="s">
        <v>369</v>
      </c>
      <c r="G17" t="s">
        <v>449</v>
      </c>
      <c r="H17" t="s">
        <v>591</v>
      </c>
      <c r="I17" t="s">
        <v>628</v>
      </c>
      <c r="J17" s="2">
        <v>173928</v>
      </c>
      <c r="K17" s="2">
        <v>2164833</v>
      </c>
      <c r="L17" t="s">
        <v>723</v>
      </c>
      <c r="M17" t="s">
        <v>738</v>
      </c>
    </row>
    <row r="18" spans="1:13">
      <c r="A18" t="s">
        <v>21</v>
      </c>
      <c r="B18" s="1">
        <f>HYPERLINK("https://cordis.europa.eu/project/id/305279", "305279")</f>
        <v>0</v>
      </c>
      <c r="C18" t="s">
        <v>40</v>
      </c>
      <c r="D18" t="s">
        <v>166</v>
      </c>
      <c r="F18" t="s">
        <v>366</v>
      </c>
      <c r="G18" t="s">
        <v>450</v>
      </c>
      <c r="H18" t="s">
        <v>585</v>
      </c>
      <c r="I18" t="s">
        <v>629</v>
      </c>
      <c r="J18" s="2">
        <v>306828</v>
      </c>
      <c r="K18" s="2">
        <v>5998496</v>
      </c>
      <c r="L18" t="s">
        <v>723</v>
      </c>
      <c r="M18" t="s">
        <v>739</v>
      </c>
    </row>
    <row r="19" spans="1:13">
      <c r="A19" t="s">
        <v>21</v>
      </c>
      <c r="B19" s="1">
        <f>HYPERLINK("https://cordis.europa.eu/project/id/613678", "613678")</f>
        <v>0</v>
      </c>
      <c r="C19" t="s">
        <v>41</v>
      </c>
      <c r="D19" t="s">
        <v>167</v>
      </c>
      <c r="F19" t="s">
        <v>370</v>
      </c>
      <c r="G19" t="s">
        <v>451</v>
      </c>
      <c r="H19" t="s">
        <v>592</v>
      </c>
      <c r="I19" t="s">
        <v>630</v>
      </c>
      <c r="J19" s="2">
        <v>0</v>
      </c>
      <c r="K19" s="2">
        <v>5997965</v>
      </c>
      <c r="L19" t="s">
        <v>723</v>
      </c>
      <c r="M19" t="s">
        <v>740</v>
      </c>
    </row>
    <row r="20" spans="1:13">
      <c r="A20" t="s">
        <v>21</v>
      </c>
      <c r="B20" s="1">
        <f>HYPERLINK("https://cordis.europa.eu/project/id/212459", "212459")</f>
        <v>0</v>
      </c>
      <c r="C20" t="s">
        <v>42</v>
      </c>
      <c r="D20" t="s">
        <v>168</v>
      </c>
      <c r="F20" t="s">
        <v>371</v>
      </c>
      <c r="G20" t="s">
        <v>452</v>
      </c>
      <c r="H20" t="s">
        <v>585</v>
      </c>
      <c r="I20" t="s">
        <v>631</v>
      </c>
      <c r="J20" s="2">
        <v>0</v>
      </c>
      <c r="K20" s="2">
        <v>2764317</v>
      </c>
      <c r="L20" t="s">
        <v>723</v>
      </c>
      <c r="M20" t="s">
        <v>741</v>
      </c>
    </row>
    <row r="21" spans="1:13">
      <c r="A21" t="s">
        <v>21</v>
      </c>
      <c r="B21" s="1">
        <f>HYPERLINK("https://cordis.europa.eu/project/id/312057", "312057")</f>
        <v>0</v>
      </c>
      <c r="C21" t="s">
        <v>43</v>
      </c>
      <c r="D21" t="s">
        <v>169</v>
      </c>
      <c r="F21" t="s">
        <v>372</v>
      </c>
      <c r="G21" t="s">
        <v>453</v>
      </c>
      <c r="H21" t="s">
        <v>590</v>
      </c>
      <c r="I21" t="s">
        <v>632</v>
      </c>
      <c r="J21" s="2">
        <v>0</v>
      </c>
      <c r="K21" s="2">
        <v>8993474.999999998</v>
      </c>
      <c r="L21" t="s">
        <v>723</v>
      </c>
      <c r="M21" t="s">
        <v>742</v>
      </c>
    </row>
    <row r="22" spans="1:13">
      <c r="A22" t="s">
        <v>21</v>
      </c>
      <c r="B22" s="1">
        <f>HYPERLINK("https://cordis.europa.eu/project/id/226482", "226482")</f>
        <v>0</v>
      </c>
      <c r="C22" t="s">
        <v>44</v>
      </c>
      <c r="D22" t="s">
        <v>170</v>
      </c>
      <c r="F22" t="s">
        <v>373</v>
      </c>
      <c r="G22" t="s">
        <v>454</v>
      </c>
      <c r="H22" t="s">
        <v>585</v>
      </c>
      <c r="I22" t="s">
        <v>620</v>
      </c>
      <c r="J22" s="2">
        <v>0</v>
      </c>
      <c r="K22" s="2">
        <v>2991433</v>
      </c>
      <c r="L22" t="s">
        <v>723</v>
      </c>
      <c r="M22" t="s">
        <v>743</v>
      </c>
    </row>
    <row r="23" spans="1:13">
      <c r="A23" t="s">
        <v>21</v>
      </c>
      <c r="B23" s="1">
        <f>HYPERLINK("https://cordis.europa.eu/project/id/248502", "248502")</f>
        <v>0</v>
      </c>
      <c r="C23" t="s">
        <v>45</v>
      </c>
      <c r="D23" t="s">
        <v>171</v>
      </c>
      <c r="F23" t="s">
        <v>374</v>
      </c>
      <c r="G23" t="s">
        <v>455</v>
      </c>
      <c r="H23" t="s">
        <v>583</v>
      </c>
      <c r="I23" t="s">
        <v>614</v>
      </c>
      <c r="J23" s="2">
        <v>145539</v>
      </c>
      <c r="K23" s="2">
        <v>1416000</v>
      </c>
      <c r="L23" t="s">
        <v>723</v>
      </c>
      <c r="M23" t="s">
        <v>744</v>
      </c>
    </row>
    <row r="24" spans="1:13">
      <c r="A24" t="s">
        <v>21</v>
      </c>
      <c r="B24" s="1">
        <f>HYPERLINK("https://cordis.europa.eu/project/id/285609", "285609")</f>
        <v>0</v>
      </c>
      <c r="C24" t="s">
        <v>46</v>
      </c>
      <c r="D24" t="s">
        <v>172</v>
      </c>
      <c r="F24" t="s">
        <v>375</v>
      </c>
      <c r="G24" t="s">
        <v>439</v>
      </c>
      <c r="H24" t="s">
        <v>589</v>
      </c>
      <c r="I24" t="s">
        <v>633</v>
      </c>
      <c r="J24" s="2">
        <v>0</v>
      </c>
      <c r="K24" s="2">
        <v>1480000</v>
      </c>
      <c r="L24" t="s">
        <v>723</v>
      </c>
      <c r="M24" t="s">
        <v>745</v>
      </c>
    </row>
    <row r="25" spans="1:13">
      <c r="A25" t="s">
        <v>21</v>
      </c>
      <c r="B25" s="1">
        <f>HYPERLINK("https://cordis.europa.eu/project/id/602150", "602150")</f>
        <v>0</v>
      </c>
      <c r="C25" t="s">
        <v>47</v>
      </c>
      <c r="D25" t="s">
        <v>173</v>
      </c>
      <c r="F25" t="s">
        <v>376</v>
      </c>
      <c r="G25" t="s">
        <v>456</v>
      </c>
      <c r="H25" t="s">
        <v>590</v>
      </c>
      <c r="I25" t="s">
        <v>634</v>
      </c>
      <c r="J25" s="2">
        <v>25000</v>
      </c>
      <c r="K25" s="2">
        <v>29998903</v>
      </c>
      <c r="L25" t="s">
        <v>723</v>
      </c>
      <c r="M25" t="s">
        <v>746</v>
      </c>
    </row>
    <row r="26" spans="1:13">
      <c r="A26" t="s">
        <v>21</v>
      </c>
      <c r="B26" s="1">
        <f>HYPERLINK("https://cordis.europa.eu/project/id/202112", "202112")</f>
        <v>0</v>
      </c>
      <c r="C26" t="s">
        <v>48</v>
      </c>
      <c r="D26" t="s">
        <v>174</v>
      </c>
      <c r="F26" t="s">
        <v>371</v>
      </c>
      <c r="G26" t="s">
        <v>457</v>
      </c>
      <c r="H26" t="s">
        <v>588</v>
      </c>
      <c r="I26" t="s">
        <v>635</v>
      </c>
      <c r="J26" s="2">
        <v>43000</v>
      </c>
      <c r="K26" s="2">
        <v>2224007</v>
      </c>
      <c r="L26" t="s">
        <v>723</v>
      </c>
      <c r="M26" t="s">
        <v>747</v>
      </c>
    </row>
    <row r="27" spans="1:13">
      <c r="A27" t="s">
        <v>21</v>
      </c>
      <c r="B27" s="1">
        <f>HYPERLINK("https://cordis.europa.eu/project/id/312168", "312168")</f>
        <v>0</v>
      </c>
      <c r="C27" t="s">
        <v>49</v>
      </c>
      <c r="D27" t="s">
        <v>175</v>
      </c>
      <c r="F27" t="s">
        <v>377</v>
      </c>
      <c r="G27" t="s">
        <v>444</v>
      </c>
      <c r="H27" t="s">
        <v>584</v>
      </c>
      <c r="I27" t="s">
        <v>636</v>
      </c>
      <c r="J27" s="2">
        <v>888276</v>
      </c>
      <c r="K27" s="2">
        <v>1436325</v>
      </c>
      <c r="L27" t="s">
        <v>723</v>
      </c>
      <c r="M27" t="s">
        <v>748</v>
      </c>
    </row>
    <row r="28" spans="1:13">
      <c r="A28" t="s">
        <v>21</v>
      </c>
      <c r="B28" s="1">
        <f>HYPERLINK("https://cordis.europa.eu/project/id/288136", "288136")</f>
        <v>0</v>
      </c>
      <c r="C28" t="s">
        <v>50</v>
      </c>
      <c r="D28" t="s">
        <v>176</v>
      </c>
      <c r="F28" t="s">
        <v>378</v>
      </c>
      <c r="G28" t="s">
        <v>458</v>
      </c>
      <c r="H28" t="s">
        <v>589</v>
      </c>
      <c r="I28" t="s">
        <v>637</v>
      </c>
      <c r="J28" s="2">
        <v>0</v>
      </c>
      <c r="K28" s="2">
        <v>526685</v>
      </c>
      <c r="L28" t="s">
        <v>723</v>
      </c>
      <c r="M28" t="s">
        <v>749</v>
      </c>
    </row>
    <row r="29" spans="1:13">
      <c r="A29" t="s">
        <v>21</v>
      </c>
      <c r="B29" s="1">
        <f>HYPERLINK("https://cordis.europa.eu/project/id/289511", "289511")</f>
        <v>0</v>
      </c>
      <c r="C29" t="s">
        <v>51</v>
      </c>
      <c r="D29" t="s">
        <v>177</v>
      </c>
      <c r="F29" t="s">
        <v>379</v>
      </c>
      <c r="G29" t="s">
        <v>459</v>
      </c>
      <c r="H29" t="s">
        <v>590</v>
      </c>
      <c r="I29" t="s">
        <v>638</v>
      </c>
      <c r="J29" s="2">
        <v>0</v>
      </c>
      <c r="K29" s="2">
        <v>5986490</v>
      </c>
      <c r="L29" t="s">
        <v>723</v>
      </c>
      <c r="M29" t="s">
        <v>750</v>
      </c>
    </row>
    <row r="30" spans="1:13">
      <c r="A30" t="s">
        <v>21</v>
      </c>
      <c r="B30" s="1">
        <f>HYPERLINK("https://cordis.europa.eu/project/id/202020", "202020")</f>
        <v>0</v>
      </c>
      <c r="C30" t="s">
        <v>52</v>
      </c>
      <c r="D30" t="s">
        <v>178</v>
      </c>
      <c r="F30" t="s">
        <v>380</v>
      </c>
      <c r="G30" t="s">
        <v>452</v>
      </c>
      <c r="H30" t="s">
        <v>585</v>
      </c>
      <c r="I30" t="s">
        <v>635</v>
      </c>
      <c r="J30" s="2">
        <v>107463</v>
      </c>
      <c r="K30" s="2">
        <v>2999250</v>
      </c>
      <c r="L30" t="s">
        <v>723</v>
      </c>
      <c r="M30" t="s">
        <v>751</v>
      </c>
    </row>
    <row r="31" spans="1:13">
      <c r="A31" t="s">
        <v>21</v>
      </c>
      <c r="B31" s="1">
        <f>HYPERLINK("https://cordis.europa.eu/project/id/223920", "223920")</f>
        <v>0</v>
      </c>
      <c r="C31" t="s">
        <v>53</v>
      </c>
      <c r="D31" t="s">
        <v>179</v>
      </c>
      <c r="F31" t="s">
        <v>380</v>
      </c>
      <c r="G31" t="s">
        <v>460</v>
      </c>
      <c r="H31" t="s">
        <v>593</v>
      </c>
      <c r="I31" t="s">
        <v>639</v>
      </c>
      <c r="J31" s="2">
        <v>398296</v>
      </c>
      <c r="K31" s="2">
        <v>7999367</v>
      </c>
      <c r="L31" t="s">
        <v>723</v>
      </c>
      <c r="M31" t="s">
        <v>752</v>
      </c>
    </row>
    <row r="32" spans="1:13">
      <c r="A32" t="s">
        <v>21</v>
      </c>
      <c r="B32" s="1">
        <f>HYPERLINK("https://cordis.europa.eu/project/id/312184", "312184")</f>
        <v>0</v>
      </c>
      <c r="C32" t="s">
        <v>54</v>
      </c>
      <c r="D32" t="s">
        <v>180</v>
      </c>
      <c r="F32" t="s">
        <v>381</v>
      </c>
      <c r="G32" t="s">
        <v>461</v>
      </c>
      <c r="H32" t="s">
        <v>592</v>
      </c>
      <c r="I32" t="s">
        <v>632</v>
      </c>
      <c r="J32" s="2">
        <v>0</v>
      </c>
      <c r="K32" s="2">
        <v>9465907</v>
      </c>
      <c r="L32" t="s">
        <v>723</v>
      </c>
      <c r="M32" t="s">
        <v>753</v>
      </c>
    </row>
    <row r="33" spans="1:13">
      <c r="A33" t="s">
        <v>21</v>
      </c>
      <c r="B33" s="1">
        <f>HYPERLINK("https://cordis.europa.eu/project/id/211638", "211638")</f>
        <v>0</v>
      </c>
      <c r="C33" t="s">
        <v>55</v>
      </c>
      <c r="D33" t="s">
        <v>181</v>
      </c>
      <c r="F33" t="s">
        <v>382</v>
      </c>
      <c r="G33" t="s">
        <v>462</v>
      </c>
      <c r="H33" t="s">
        <v>585</v>
      </c>
      <c r="I33" t="s">
        <v>631</v>
      </c>
      <c r="J33" s="2">
        <v>25000</v>
      </c>
      <c r="K33" s="2">
        <v>2280098</v>
      </c>
      <c r="L33" t="s">
        <v>723</v>
      </c>
      <c r="M33" t="s">
        <v>754</v>
      </c>
    </row>
    <row r="34" spans="1:13">
      <c r="A34" t="s">
        <v>21</v>
      </c>
      <c r="B34" s="1">
        <f>HYPERLINK("https://cordis.europa.eu/project/id/279233", "279233")</f>
        <v>0</v>
      </c>
      <c r="C34" t="s">
        <v>56</v>
      </c>
      <c r="D34" t="s">
        <v>182</v>
      </c>
      <c r="F34" t="s">
        <v>379</v>
      </c>
      <c r="G34" t="s">
        <v>463</v>
      </c>
      <c r="H34" t="s">
        <v>585</v>
      </c>
      <c r="I34" t="s">
        <v>640</v>
      </c>
      <c r="J34" s="2">
        <v>0</v>
      </c>
      <c r="K34" s="2">
        <v>5987266</v>
      </c>
      <c r="L34" t="s">
        <v>723</v>
      </c>
      <c r="M34" t="s">
        <v>755</v>
      </c>
    </row>
    <row r="35" spans="1:13">
      <c r="A35" t="s">
        <v>21</v>
      </c>
      <c r="B35" s="1">
        <f>HYPERLINK("https://cordis.europa.eu/project/id/305564", "305564")</f>
        <v>0</v>
      </c>
      <c r="C35" t="s">
        <v>57</v>
      </c>
      <c r="D35" t="s">
        <v>183</v>
      </c>
      <c r="F35" t="s">
        <v>383</v>
      </c>
      <c r="G35" t="s">
        <v>464</v>
      </c>
      <c r="H35" t="s">
        <v>590</v>
      </c>
      <c r="I35" t="s">
        <v>629</v>
      </c>
      <c r="J35" s="2">
        <v>18000</v>
      </c>
      <c r="K35" s="2">
        <v>11999998</v>
      </c>
      <c r="L35" t="s">
        <v>723</v>
      </c>
      <c r="M35" t="s">
        <v>756</v>
      </c>
    </row>
    <row r="36" spans="1:13">
      <c r="A36" t="s">
        <v>21</v>
      </c>
      <c r="B36" s="1">
        <f>HYPERLINK("https://cordis.europa.eu/project/id/613979", "613979")</f>
        <v>0</v>
      </c>
      <c r="C36" t="s">
        <v>58</v>
      </c>
      <c r="D36" t="s">
        <v>184</v>
      </c>
      <c r="F36" t="s">
        <v>384</v>
      </c>
      <c r="G36" t="s">
        <v>465</v>
      </c>
      <c r="H36" t="s">
        <v>590</v>
      </c>
      <c r="I36" t="s">
        <v>630</v>
      </c>
      <c r="J36" s="2">
        <v>0</v>
      </c>
      <c r="K36" s="2">
        <v>8973268</v>
      </c>
      <c r="L36" t="s">
        <v>723</v>
      </c>
      <c r="M36" t="s">
        <v>757</v>
      </c>
    </row>
    <row r="37" spans="1:13">
      <c r="A37" t="s">
        <v>22</v>
      </c>
      <c r="B37" s="1">
        <f>HYPERLINK("https://cordis.europa.eu/project/id/748625", "748625")</f>
        <v>0</v>
      </c>
      <c r="C37" t="s">
        <v>59</v>
      </c>
      <c r="D37" t="s">
        <v>185</v>
      </c>
      <c r="E37" t="s">
        <v>276</v>
      </c>
      <c r="F37" t="s">
        <v>385</v>
      </c>
      <c r="G37" t="s">
        <v>466</v>
      </c>
      <c r="H37" t="s">
        <v>594</v>
      </c>
      <c r="I37" t="s">
        <v>641</v>
      </c>
      <c r="J37" s="2">
        <v>0</v>
      </c>
      <c r="K37" s="2">
        <v>233276.4</v>
      </c>
      <c r="L37" t="s">
        <v>723</v>
      </c>
      <c r="M37" t="s">
        <v>758</v>
      </c>
    </row>
    <row r="38" spans="1:13">
      <c r="A38" t="s">
        <v>22</v>
      </c>
      <c r="B38" s="1">
        <f>HYPERLINK("https://cordis.europa.eu/project/id/792773", "792773")</f>
        <v>0</v>
      </c>
      <c r="C38" t="s">
        <v>60</v>
      </c>
      <c r="D38" t="s">
        <v>186</v>
      </c>
      <c r="E38" t="s">
        <v>277</v>
      </c>
      <c r="F38" t="s">
        <v>386</v>
      </c>
      <c r="G38" t="s">
        <v>467</v>
      </c>
      <c r="H38" t="s">
        <v>595</v>
      </c>
      <c r="I38" t="s">
        <v>642</v>
      </c>
      <c r="J38" s="2">
        <v>0</v>
      </c>
      <c r="K38" s="2">
        <v>245943</v>
      </c>
      <c r="L38" t="s">
        <v>723</v>
      </c>
      <c r="M38" t="s">
        <v>738</v>
      </c>
    </row>
    <row r="39" spans="1:13">
      <c r="A39" t="s">
        <v>22</v>
      </c>
      <c r="B39" s="1">
        <f>HYPERLINK("https://cordis.europa.eu/project/id/706754", "706754")</f>
        <v>0</v>
      </c>
      <c r="C39" t="s">
        <v>61</v>
      </c>
      <c r="D39" t="s">
        <v>187</v>
      </c>
      <c r="E39" t="s">
        <v>278</v>
      </c>
      <c r="F39" t="s">
        <v>387</v>
      </c>
      <c r="G39" t="s">
        <v>468</v>
      </c>
      <c r="H39" t="s">
        <v>594</v>
      </c>
      <c r="I39" t="s">
        <v>643</v>
      </c>
      <c r="J39" s="2">
        <v>0</v>
      </c>
      <c r="K39" s="2">
        <v>176115.15</v>
      </c>
      <c r="L39" t="s">
        <v>723</v>
      </c>
      <c r="M39" t="s">
        <v>759</v>
      </c>
    </row>
    <row r="40" spans="1:13">
      <c r="A40" t="s">
        <v>22</v>
      </c>
      <c r="B40" s="1">
        <f>HYPERLINK("https://cordis.europa.eu/project/id/842817", "842817")</f>
        <v>0</v>
      </c>
      <c r="C40" t="s">
        <v>62</v>
      </c>
      <c r="D40" t="s">
        <v>188</v>
      </c>
      <c r="E40" t="s">
        <v>279</v>
      </c>
      <c r="F40" t="s">
        <v>388</v>
      </c>
      <c r="G40" t="s">
        <v>469</v>
      </c>
      <c r="H40" t="s">
        <v>594</v>
      </c>
      <c r="I40" t="s">
        <v>644</v>
      </c>
      <c r="J40" s="2">
        <v>0</v>
      </c>
      <c r="K40" s="2">
        <v>201275.52</v>
      </c>
      <c r="L40" t="s">
        <v>723</v>
      </c>
      <c r="M40" t="s">
        <v>760</v>
      </c>
    </row>
    <row r="41" spans="1:13">
      <c r="A41" t="s">
        <v>22</v>
      </c>
      <c r="B41" s="1">
        <f>HYPERLINK("https://cordis.europa.eu/project/id/692739", "692739")</f>
        <v>0</v>
      </c>
      <c r="C41" t="s">
        <v>63</v>
      </c>
      <c r="D41" t="s">
        <v>189</v>
      </c>
      <c r="E41" t="s">
        <v>280</v>
      </c>
      <c r="F41" t="s">
        <v>389</v>
      </c>
      <c r="G41" t="s">
        <v>470</v>
      </c>
      <c r="H41" t="s">
        <v>596</v>
      </c>
      <c r="I41" t="s">
        <v>645</v>
      </c>
      <c r="J41" s="2">
        <v>50277.5</v>
      </c>
      <c r="K41" s="2">
        <v>1391134</v>
      </c>
      <c r="L41" t="s">
        <v>723</v>
      </c>
      <c r="M41" t="s">
        <v>738</v>
      </c>
    </row>
    <row r="42" spans="1:13">
      <c r="A42" t="s">
        <v>22</v>
      </c>
      <c r="B42" s="1">
        <f>HYPERLINK("https://cordis.europa.eu/project/id/687794", "687794")</f>
        <v>0</v>
      </c>
      <c r="C42" t="s">
        <v>64</v>
      </c>
      <c r="D42" t="s">
        <v>190</v>
      </c>
      <c r="E42" t="s">
        <v>281</v>
      </c>
      <c r="F42" t="s">
        <v>390</v>
      </c>
      <c r="G42" t="s">
        <v>471</v>
      </c>
      <c r="H42" t="s">
        <v>589</v>
      </c>
      <c r="I42" t="s">
        <v>646</v>
      </c>
      <c r="J42" s="2">
        <v>79125</v>
      </c>
      <c r="K42" s="2">
        <v>716500</v>
      </c>
      <c r="L42" t="s">
        <v>723</v>
      </c>
      <c r="M42" t="s">
        <v>761</v>
      </c>
    </row>
    <row r="43" spans="1:13">
      <c r="A43" t="s">
        <v>22</v>
      </c>
      <c r="B43" s="1">
        <f>HYPERLINK("https://cordis.europa.eu/project/id/788812", "788812")</f>
        <v>0</v>
      </c>
      <c r="C43" t="s">
        <v>65</v>
      </c>
      <c r="D43" t="s">
        <v>191</v>
      </c>
      <c r="E43" t="s">
        <v>282</v>
      </c>
      <c r="F43" t="s">
        <v>391</v>
      </c>
      <c r="G43" t="s">
        <v>472</v>
      </c>
      <c r="H43" t="s">
        <v>596</v>
      </c>
      <c r="I43" t="s">
        <v>647</v>
      </c>
      <c r="J43" s="2">
        <v>365000</v>
      </c>
      <c r="K43" s="2">
        <v>2470200</v>
      </c>
      <c r="L43" t="s">
        <v>723</v>
      </c>
      <c r="M43" t="s">
        <v>762</v>
      </c>
    </row>
    <row r="44" spans="1:13">
      <c r="A44" t="s">
        <v>22</v>
      </c>
      <c r="B44" s="1">
        <f>HYPERLINK("https://cordis.europa.eu/project/id/804150", "804150")</f>
        <v>0</v>
      </c>
      <c r="C44" t="s">
        <v>66</v>
      </c>
      <c r="D44" t="s">
        <v>192</v>
      </c>
      <c r="E44" t="s">
        <v>283</v>
      </c>
      <c r="F44" t="s">
        <v>391</v>
      </c>
      <c r="G44" t="s">
        <v>473</v>
      </c>
      <c r="H44" t="s">
        <v>597</v>
      </c>
      <c r="I44" t="s">
        <v>648</v>
      </c>
      <c r="J44" s="2">
        <v>405405</v>
      </c>
      <c r="K44" s="2">
        <v>1489426</v>
      </c>
      <c r="L44" t="s">
        <v>723</v>
      </c>
      <c r="M44" t="s">
        <v>763</v>
      </c>
    </row>
    <row r="45" spans="1:13">
      <c r="A45" t="s">
        <v>22</v>
      </c>
      <c r="B45" s="1">
        <f>HYPERLINK("https://cordis.europa.eu/project/id/893040", "893040")</f>
        <v>0</v>
      </c>
      <c r="C45" t="s">
        <v>67</v>
      </c>
      <c r="D45" t="s">
        <v>193</v>
      </c>
      <c r="E45" t="s">
        <v>284</v>
      </c>
      <c r="F45" t="s">
        <v>392</v>
      </c>
      <c r="G45" t="s">
        <v>474</v>
      </c>
      <c r="H45" t="s">
        <v>595</v>
      </c>
      <c r="I45" t="s">
        <v>649</v>
      </c>
      <c r="J45" s="2">
        <v>0</v>
      </c>
      <c r="K45" s="2">
        <v>261169.76</v>
      </c>
      <c r="L45" t="s">
        <v>723</v>
      </c>
      <c r="M45" t="s">
        <v>764</v>
      </c>
    </row>
    <row r="46" spans="1:13">
      <c r="A46" t="s">
        <v>22</v>
      </c>
      <c r="B46" s="1">
        <f>HYPERLINK("https://cordis.europa.eu/project/id/778360", "778360")</f>
        <v>0</v>
      </c>
      <c r="C46" t="s">
        <v>68</v>
      </c>
      <c r="D46" t="s">
        <v>194</v>
      </c>
      <c r="E46" t="s">
        <v>285</v>
      </c>
      <c r="F46" t="s">
        <v>393</v>
      </c>
      <c r="G46" t="s">
        <v>475</v>
      </c>
      <c r="H46" t="s">
        <v>598</v>
      </c>
      <c r="I46" t="s">
        <v>650</v>
      </c>
      <c r="J46" s="2">
        <v>0</v>
      </c>
      <c r="K46" s="2">
        <v>2016000</v>
      </c>
      <c r="L46" t="s">
        <v>723</v>
      </c>
      <c r="M46" t="s">
        <v>765</v>
      </c>
    </row>
    <row r="47" spans="1:13">
      <c r="A47" t="s">
        <v>22</v>
      </c>
      <c r="B47" s="1">
        <f>HYPERLINK("https://cordis.europa.eu/project/id/872488", "872488")</f>
        <v>0</v>
      </c>
      <c r="C47" t="s">
        <v>69</v>
      </c>
      <c r="D47" t="s">
        <v>195</v>
      </c>
      <c r="E47" t="s">
        <v>286</v>
      </c>
      <c r="F47" t="s">
        <v>394</v>
      </c>
      <c r="G47" t="s">
        <v>476</v>
      </c>
      <c r="H47" t="s">
        <v>598</v>
      </c>
      <c r="I47" t="s">
        <v>651</v>
      </c>
      <c r="J47" s="2">
        <v>0</v>
      </c>
      <c r="K47" s="2">
        <v>680800</v>
      </c>
      <c r="L47" t="s">
        <v>723</v>
      </c>
      <c r="M47" t="s">
        <v>766</v>
      </c>
    </row>
    <row r="48" spans="1:13">
      <c r="A48" t="s">
        <v>22</v>
      </c>
      <c r="B48" s="1">
        <f>HYPERLINK("https://cordis.europa.eu/project/id/700952", "700952")</f>
        <v>0</v>
      </c>
      <c r="C48" t="s">
        <v>70</v>
      </c>
      <c r="D48" t="s">
        <v>196</v>
      </c>
      <c r="E48" t="s">
        <v>287</v>
      </c>
      <c r="F48" t="s">
        <v>395</v>
      </c>
      <c r="G48" t="s">
        <v>477</v>
      </c>
      <c r="H48" t="s">
        <v>594</v>
      </c>
      <c r="I48" t="s">
        <v>643</v>
      </c>
      <c r="J48" s="2">
        <v>0</v>
      </c>
      <c r="K48" s="2">
        <v>251276.4</v>
      </c>
      <c r="L48" t="s">
        <v>723</v>
      </c>
      <c r="M48" t="s">
        <v>758</v>
      </c>
    </row>
    <row r="49" spans="1:13">
      <c r="A49" t="s">
        <v>22</v>
      </c>
      <c r="B49" s="1">
        <f>HYPERLINK("https://cordis.europa.eu/project/id/839511", "839511")</f>
        <v>0</v>
      </c>
      <c r="C49" t="s">
        <v>71</v>
      </c>
      <c r="D49" t="s">
        <v>197</v>
      </c>
      <c r="E49" t="s">
        <v>288</v>
      </c>
      <c r="F49" t="s">
        <v>396</v>
      </c>
      <c r="G49" t="s">
        <v>478</v>
      </c>
      <c r="H49" t="s">
        <v>595</v>
      </c>
      <c r="I49" t="s">
        <v>644</v>
      </c>
      <c r="J49" s="2">
        <v>0</v>
      </c>
      <c r="K49" s="2">
        <v>251353.92</v>
      </c>
      <c r="L49" t="s">
        <v>723</v>
      </c>
      <c r="M49" t="s">
        <v>767</v>
      </c>
    </row>
    <row r="50" spans="1:13">
      <c r="A50" t="s">
        <v>22</v>
      </c>
      <c r="B50" s="1">
        <f>HYPERLINK("https://cordis.europa.eu/project/id/897218", "897218")</f>
        <v>0</v>
      </c>
      <c r="C50" t="s">
        <v>72</v>
      </c>
      <c r="D50" t="s">
        <v>198</v>
      </c>
      <c r="E50" t="s">
        <v>289</v>
      </c>
      <c r="F50" t="s">
        <v>397</v>
      </c>
      <c r="G50" t="s">
        <v>479</v>
      </c>
      <c r="H50" t="s">
        <v>595</v>
      </c>
      <c r="I50" t="s">
        <v>649</v>
      </c>
      <c r="J50" s="2">
        <v>0</v>
      </c>
      <c r="K50" s="2">
        <v>272084.16</v>
      </c>
      <c r="L50" t="s">
        <v>723</v>
      </c>
      <c r="M50" t="s">
        <v>738</v>
      </c>
    </row>
    <row r="51" spans="1:13">
      <c r="A51" t="s">
        <v>22</v>
      </c>
      <c r="B51" s="1">
        <f>HYPERLINK("https://cordis.europa.eu/project/id/747120", "747120")</f>
        <v>0</v>
      </c>
      <c r="C51" t="s">
        <v>73</v>
      </c>
      <c r="D51" t="s">
        <v>199</v>
      </c>
      <c r="E51" t="s">
        <v>276</v>
      </c>
      <c r="F51" t="s">
        <v>398</v>
      </c>
      <c r="G51" t="s">
        <v>480</v>
      </c>
      <c r="H51" t="s">
        <v>595</v>
      </c>
      <c r="I51" t="s">
        <v>641</v>
      </c>
      <c r="J51" s="2">
        <v>0</v>
      </c>
      <c r="K51" s="2">
        <v>263943</v>
      </c>
      <c r="L51" t="s">
        <v>723</v>
      </c>
      <c r="M51" t="s">
        <v>738</v>
      </c>
    </row>
    <row r="52" spans="1:13">
      <c r="A52" t="s">
        <v>22</v>
      </c>
      <c r="B52" s="1">
        <f>HYPERLINK("https://cordis.europa.eu/project/id/842656", "842656")</f>
        <v>0</v>
      </c>
      <c r="C52" t="s">
        <v>74</v>
      </c>
      <c r="D52" t="s">
        <v>200</v>
      </c>
      <c r="E52" t="s">
        <v>290</v>
      </c>
      <c r="F52" t="s">
        <v>399</v>
      </c>
      <c r="G52" t="s">
        <v>481</v>
      </c>
      <c r="H52" t="s">
        <v>595</v>
      </c>
      <c r="I52" t="s">
        <v>644</v>
      </c>
      <c r="J52" s="2">
        <v>0</v>
      </c>
      <c r="K52" s="2">
        <v>272084.16</v>
      </c>
      <c r="L52" t="s">
        <v>723</v>
      </c>
      <c r="M52" t="s">
        <v>738</v>
      </c>
    </row>
    <row r="53" spans="1:13">
      <c r="A53" t="s">
        <v>22</v>
      </c>
      <c r="B53" s="1">
        <f>HYPERLINK("https://cordis.europa.eu/project/id/714478", "714478")</f>
        <v>0</v>
      </c>
      <c r="C53" t="s">
        <v>75</v>
      </c>
      <c r="D53" t="s">
        <v>201</v>
      </c>
      <c r="E53" t="s">
        <v>291</v>
      </c>
      <c r="F53" t="s">
        <v>389</v>
      </c>
      <c r="G53" t="s">
        <v>482</v>
      </c>
      <c r="H53" t="s">
        <v>597</v>
      </c>
      <c r="I53" t="s">
        <v>652</v>
      </c>
      <c r="J53" s="2">
        <v>62500</v>
      </c>
      <c r="K53" s="2">
        <v>1498337</v>
      </c>
      <c r="L53" t="s">
        <v>723</v>
      </c>
      <c r="M53" t="s">
        <v>738</v>
      </c>
    </row>
    <row r="54" spans="1:13">
      <c r="A54" t="s">
        <v>22</v>
      </c>
      <c r="B54" s="1">
        <f>HYPERLINK("https://cordis.europa.eu/project/id/778068", "778068")</f>
        <v>0</v>
      </c>
      <c r="C54" t="s">
        <v>76</v>
      </c>
      <c r="D54" t="s">
        <v>202</v>
      </c>
      <c r="E54" t="s">
        <v>292</v>
      </c>
      <c r="F54" t="s">
        <v>393</v>
      </c>
      <c r="G54" t="s">
        <v>483</v>
      </c>
      <c r="H54" t="s">
        <v>598</v>
      </c>
      <c r="I54" t="s">
        <v>650</v>
      </c>
      <c r="J54" s="2">
        <v>0</v>
      </c>
      <c r="K54" s="2">
        <v>1426500</v>
      </c>
      <c r="L54" t="s">
        <v>723</v>
      </c>
      <c r="M54" t="s">
        <v>768</v>
      </c>
    </row>
    <row r="55" spans="1:13">
      <c r="A55" t="s">
        <v>22</v>
      </c>
      <c r="B55" s="1">
        <f>HYPERLINK("https://cordis.europa.eu/project/id/823937", "823937")</f>
        <v>0</v>
      </c>
      <c r="C55" t="s">
        <v>77</v>
      </c>
      <c r="D55" t="s">
        <v>203</v>
      </c>
      <c r="E55" t="s">
        <v>293</v>
      </c>
      <c r="F55" t="s">
        <v>400</v>
      </c>
      <c r="G55" t="s">
        <v>484</v>
      </c>
      <c r="H55" t="s">
        <v>598</v>
      </c>
      <c r="I55" t="s">
        <v>653</v>
      </c>
      <c r="J55" s="2">
        <v>0</v>
      </c>
      <c r="K55" s="2">
        <v>243800</v>
      </c>
      <c r="L55" t="s">
        <v>723</v>
      </c>
      <c r="M55" t="s">
        <v>769</v>
      </c>
    </row>
    <row r="56" spans="1:13">
      <c r="A56" t="s">
        <v>22</v>
      </c>
      <c r="B56" s="1">
        <f>HYPERLINK("https://cordis.europa.eu/project/id/778158", "778158")</f>
        <v>0</v>
      </c>
      <c r="C56" t="s">
        <v>78</v>
      </c>
      <c r="D56" t="s">
        <v>204</v>
      </c>
      <c r="E56" t="s">
        <v>294</v>
      </c>
      <c r="F56" t="s">
        <v>385</v>
      </c>
      <c r="G56" t="s">
        <v>485</v>
      </c>
      <c r="H56" t="s">
        <v>598</v>
      </c>
      <c r="I56" t="s">
        <v>650</v>
      </c>
      <c r="J56" s="2">
        <v>0</v>
      </c>
      <c r="K56" s="2">
        <v>832500</v>
      </c>
      <c r="L56" t="s">
        <v>723</v>
      </c>
      <c r="M56" t="s">
        <v>770</v>
      </c>
    </row>
    <row r="57" spans="1:13">
      <c r="A57" t="s">
        <v>22</v>
      </c>
      <c r="B57" s="1">
        <f>HYPERLINK("https://cordis.europa.eu/project/id/804851", "804851")</f>
        <v>0</v>
      </c>
      <c r="C57" t="s">
        <v>79</v>
      </c>
      <c r="D57" t="s">
        <v>205</v>
      </c>
      <c r="E57" t="s">
        <v>295</v>
      </c>
      <c r="F57" t="s">
        <v>394</v>
      </c>
      <c r="G57" t="s">
        <v>472</v>
      </c>
      <c r="H57" t="s">
        <v>597</v>
      </c>
      <c r="I57" t="s">
        <v>648</v>
      </c>
      <c r="J57" s="2">
        <v>247334</v>
      </c>
      <c r="K57" s="2">
        <v>1498901</v>
      </c>
      <c r="L57" t="s">
        <v>723</v>
      </c>
      <c r="M57" t="s">
        <v>771</v>
      </c>
    </row>
    <row r="58" spans="1:13">
      <c r="A58" t="s">
        <v>22</v>
      </c>
      <c r="B58" s="1">
        <f>HYPERLINK("https://cordis.europa.eu/project/id/815439", "815439")</f>
        <v>0</v>
      </c>
      <c r="C58" t="s">
        <v>80</v>
      </c>
      <c r="D58" t="s">
        <v>206</v>
      </c>
      <c r="E58" t="s">
        <v>296</v>
      </c>
      <c r="F58" t="s">
        <v>401</v>
      </c>
      <c r="G58" t="s">
        <v>484</v>
      </c>
      <c r="H58" t="s">
        <v>599</v>
      </c>
      <c r="I58" t="s">
        <v>654</v>
      </c>
      <c r="J58" s="2">
        <v>50000</v>
      </c>
      <c r="K58" s="2">
        <v>6871188.73</v>
      </c>
      <c r="L58" t="s">
        <v>723</v>
      </c>
      <c r="M58" t="s">
        <v>772</v>
      </c>
    </row>
    <row r="59" spans="1:13">
      <c r="A59" t="s">
        <v>22</v>
      </c>
      <c r="B59" s="1">
        <f>HYPERLINK("https://cordis.europa.eu/project/id/101020088", "101020088")</f>
        <v>0</v>
      </c>
      <c r="C59" t="s">
        <v>81</v>
      </c>
      <c r="D59" t="s">
        <v>207</v>
      </c>
      <c r="E59" t="s">
        <v>297</v>
      </c>
      <c r="F59" t="s">
        <v>402</v>
      </c>
      <c r="G59" t="s">
        <v>486</v>
      </c>
      <c r="H59" t="s">
        <v>596</v>
      </c>
      <c r="I59" t="s">
        <v>655</v>
      </c>
      <c r="J59" s="2">
        <v>325000</v>
      </c>
      <c r="K59" s="2">
        <v>2612117</v>
      </c>
      <c r="L59" t="s">
        <v>723</v>
      </c>
      <c r="M59" t="s">
        <v>773</v>
      </c>
    </row>
    <row r="60" spans="1:13">
      <c r="A60" t="s">
        <v>22</v>
      </c>
      <c r="B60" s="1">
        <f>HYPERLINK("https://cordis.europa.eu/project/id/668954", "668954")</f>
        <v>0</v>
      </c>
      <c r="C60" t="s">
        <v>82</v>
      </c>
      <c r="D60" t="s">
        <v>208</v>
      </c>
      <c r="E60" t="s">
        <v>298</v>
      </c>
      <c r="F60" t="s">
        <v>403</v>
      </c>
      <c r="G60" t="s">
        <v>470</v>
      </c>
      <c r="H60" t="s">
        <v>596</v>
      </c>
      <c r="I60" t="s">
        <v>656</v>
      </c>
      <c r="J60" s="2">
        <v>469975</v>
      </c>
      <c r="K60" s="2">
        <v>2348803</v>
      </c>
      <c r="L60" t="s">
        <v>723</v>
      </c>
      <c r="M60" t="s">
        <v>774</v>
      </c>
    </row>
    <row r="61" spans="1:13">
      <c r="A61" t="s">
        <v>22</v>
      </c>
      <c r="B61" s="1">
        <f>HYPERLINK("https://cordis.europa.eu/project/id/873077", "873077")</f>
        <v>0</v>
      </c>
      <c r="C61" t="s">
        <v>83</v>
      </c>
      <c r="D61" t="s">
        <v>209</v>
      </c>
      <c r="E61" t="s">
        <v>286</v>
      </c>
      <c r="F61" t="s">
        <v>394</v>
      </c>
      <c r="G61" t="s">
        <v>476</v>
      </c>
      <c r="H61" t="s">
        <v>598</v>
      </c>
      <c r="I61" t="s">
        <v>651</v>
      </c>
      <c r="J61" s="2">
        <v>0</v>
      </c>
      <c r="K61" s="2">
        <v>542800</v>
      </c>
      <c r="L61" t="s">
        <v>723</v>
      </c>
      <c r="M61" t="s">
        <v>775</v>
      </c>
    </row>
    <row r="62" spans="1:13">
      <c r="A62" t="s">
        <v>22</v>
      </c>
      <c r="B62" s="1">
        <f>HYPERLINK("https://cordis.europa.eu/project/id/660391", "660391")</f>
        <v>0</v>
      </c>
      <c r="C62" t="s">
        <v>84</v>
      </c>
      <c r="D62" t="s">
        <v>210</v>
      </c>
      <c r="E62" t="s">
        <v>299</v>
      </c>
      <c r="F62" t="s">
        <v>404</v>
      </c>
      <c r="G62" t="s">
        <v>487</v>
      </c>
      <c r="H62" t="s">
        <v>594</v>
      </c>
      <c r="I62" t="s">
        <v>657</v>
      </c>
      <c r="J62" s="2">
        <v>0</v>
      </c>
      <c r="K62" s="2">
        <v>240507</v>
      </c>
      <c r="L62" t="s">
        <v>723</v>
      </c>
      <c r="M62" t="s">
        <v>776</v>
      </c>
    </row>
    <row r="63" spans="1:13">
      <c r="A63" t="s">
        <v>22</v>
      </c>
      <c r="B63" s="1">
        <f>HYPERLINK("https://cordis.europa.eu/project/id/641822", "641822")</f>
        <v>0</v>
      </c>
      <c r="C63" t="s">
        <v>85</v>
      </c>
      <c r="D63" t="s">
        <v>211</v>
      </c>
      <c r="E63" t="s">
        <v>300</v>
      </c>
      <c r="F63" t="s">
        <v>405</v>
      </c>
      <c r="G63" t="s">
        <v>453</v>
      </c>
      <c r="H63" t="s">
        <v>600</v>
      </c>
      <c r="I63" t="s">
        <v>658</v>
      </c>
      <c r="J63" s="2">
        <v>0</v>
      </c>
      <c r="K63" s="2">
        <v>3300160.68</v>
      </c>
      <c r="L63" t="s">
        <v>723</v>
      </c>
      <c r="M63" t="s">
        <v>777</v>
      </c>
    </row>
    <row r="64" spans="1:13">
      <c r="A64" t="s">
        <v>22</v>
      </c>
      <c r="B64" s="1">
        <f>HYPERLINK("https://cordis.europa.eu/project/id/101007438", "101007438")</f>
        <v>0</v>
      </c>
      <c r="C64" t="s">
        <v>86</v>
      </c>
      <c r="D64" t="s">
        <v>212</v>
      </c>
      <c r="E64" t="s">
        <v>301</v>
      </c>
      <c r="F64" t="s">
        <v>406</v>
      </c>
      <c r="G64" t="s">
        <v>488</v>
      </c>
      <c r="H64" t="s">
        <v>598</v>
      </c>
      <c r="I64" t="s">
        <v>659</v>
      </c>
      <c r="J64" s="2">
        <v>0</v>
      </c>
      <c r="K64" s="2">
        <v>883200</v>
      </c>
      <c r="L64" t="s">
        <v>723</v>
      </c>
      <c r="M64" t="s">
        <v>778</v>
      </c>
    </row>
    <row r="65" spans="1:13">
      <c r="A65" t="s">
        <v>22</v>
      </c>
      <c r="B65" s="1">
        <f>HYPERLINK("https://cordis.europa.eu/project/id/840946", "840946")</f>
        <v>0</v>
      </c>
      <c r="C65" t="s">
        <v>87</v>
      </c>
      <c r="D65" t="s">
        <v>213</v>
      </c>
      <c r="E65" t="s">
        <v>302</v>
      </c>
      <c r="F65" t="s">
        <v>401</v>
      </c>
      <c r="G65" t="s">
        <v>489</v>
      </c>
      <c r="H65" t="s">
        <v>595</v>
      </c>
      <c r="I65" t="s">
        <v>644</v>
      </c>
      <c r="J65" s="2">
        <v>0</v>
      </c>
      <c r="K65" s="2">
        <v>247020.48</v>
      </c>
      <c r="L65" t="s">
        <v>723</v>
      </c>
      <c r="M65" t="s">
        <v>779</v>
      </c>
    </row>
    <row r="66" spans="1:13">
      <c r="A66" t="s">
        <v>22</v>
      </c>
      <c r="B66" s="1">
        <f>HYPERLINK("https://cordis.europa.eu/project/id/656514", "656514")</f>
        <v>0</v>
      </c>
      <c r="C66" t="s">
        <v>88</v>
      </c>
      <c r="D66" t="s">
        <v>214</v>
      </c>
      <c r="E66" t="s">
        <v>303</v>
      </c>
      <c r="F66" t="s">
        <v>407</v>
      </c>
      <c r="G66" t="s">
        <v>490</v>
      </c>
      <c r="H66" t="s">
        <v>595</v>
      </c>
      <c r="I66" t="s">
        <v>657</v>
      </c>
      <c r="J66" s="2">
        <v>0</v>
      </c>
      <c r="K66" s="2">
        <v>238354.2</v>
      </c>
      <c r="L66" t="s">
        <v>723</v>
      </c>
      <c r="M66" t="s">
        <v>780</v>
      </c>
    </row>
    <row r="67" spans="1:13">
      <c r="A67" t="s">
        <v>22</v>
      </c>
      <c r="B67" s="1">
        <f>HYPERLINK("https://cordis.europa.eu/project/id/734928", "734928")</f>
        <v>0</v>
      </c>
      <c r="C67" t="s">
        <v>89</v>
      </c>
      <c r="D67" t="s">
        <v>215</v>
      </c>
      <c r="E67" t="s">
        <v>304</v>
      </c>
      <c r="F67" t="s">
        <v>389</v>
      </c>
      <c r="G67" t="s">
        <v>491</v>
      </c>
      <c r="H67" t="s">
        <v>598</v>
      </c>
      <c r="I67" t="s">
        <v>660</v>
      </c>
      <c r="J67" s="2">
        <v>0</v>
      </c>
      <c r="K67" s="2">
        <v>67500</v>
      </c>
      <c r="L67" t="s">
        <v>723</v>
      </c>
      <c r="M67" t="s">
        <v>781</v>
      </c>
    </row>
    <row r="68" spans="1:13">
      <c r="A68" t="s">
        <v>22</v>
      </c>
      <c r="B68" s="1">
        <f>HYPERLINK("https://cordis.europa.eu/project/id/760891", "760891")</f>
        <v>0</v>
      </c>
      <c r="C68" t="s">
        <v>90</v>
      </c>
      <c r="D68" t="s">
        <v>216</v>
      </c>
      <c r="E68" t="s">
        <v>305</v>
      </c>
      <c r="F68" t="s">
        <v>385</v>
      </c>
      <c r="G68" t="s">
        <v>482</v>
      </c>
      <c r="H68" t="s">
        <v>599</v>
      </c>
      <c r="I68" t="s">
        <v>661</v>
      </c>
      <c r="J68" s="2">
        <v>0</v>
      </c>
      <c r="K68" s="2">
        <v>6999596.25</v>
      </c>
      <c r="L68" t="s">
        <v>723</v>
      </c>
      <c r="M68" t="s">
        <v>782</v>
      </c>
    </row>
    <row r="69" spans="1:13">
      <c r="A69" t="s">
        <v>22</v>
      </c>
      <c r="B69" s="1">
        <f>HYPERLINK("https://cordis.europa.eu/project/id/101007584", "101007584")</f>
        <v>0</v>
      </c>
      <c r="C69" t="s">
        <v>91</v>
      </c>
      <c r="D69" t="s">
        <v>217</v>
      </c>
      <c r="E69" t="s">
        <v>306</v>
      </c>
      <c r="F69" t="s">
        <v>408</v>
      </c>
      <c r="G69" t="s">
        <v>492</v>
      </c>
      <c r="H69" t="s">
        <v>598</v>
      </c>
      <c r="I69" t="s">
        <v>659</v>
      </c>
      <c r="J69" s="2">
        <v>0</v>
      </c>
      <c r="K69" s="2">
        <v>303600</v>
      </c>
      <c r="L69" t="s">
        <v>723</v>
      </c>
      <c r="M69" t="s">
        <v>783</v>
      </c>
    </row>
    <row r="70" spans="1:13">
      <c r="A70" t="s">
        <v>22</v>
      </c>
      <c r="B70" s="1">
        <f>HYPERLINK("https://cordis.europa.eu/project/id/700386", "700386")</f>
        <v>0</v>
      </c>
      <c r="C70" t="s">
        <v>92</v>
      </c>
      <c r="D70" t="s">
        <v>218</v>
      </c>
      <c r="E70" t="s">
        <v>307</v>
      </c>
      <c r="F70" t="s">
        <v>398</v>
      </c>
      <c r="G70" t="s">
        <v>493</v>
      </c>
      <c r="H70" t="s">
        <v>594</v>
      </c>
      <c r="I70" t="s">
        <v>643</v>
      </c>
      <c r="J70" s="2">
        <v>0</v>
      </c>
      <c r="K70" s="2">
        <v>257017.35</v>
      </c>
      <c r="L70" t="s">
        <v>723</v>
      </c>
      <c r="M70" t="s">
        <v>784</v>
      </c>
    </row>
    <row r="71" spans="1:13">
      <c r="A71" t="s">
        <v>22</v>
      </c>
      <c r="B71" s="1">
        <f>HYPERLINK("https://cordis.europa.eu/project/id/690857", "690857")</f>
        <v>0</v>
      </c>
      <c r="C71" t="s">
        <v>93</v>
      </c>
      <c r="D71" t="s">
        <v>219</v>
      </c>
      <c r="E71" t="s">
        <v>308</v>
      </c>
      <c r="F71" t="s">
        <v>403</v>
      </c>
      <c r="G71" t="s">
        <v>491</v>
      </c>
      <c r="H71" t="s">
        <v>598</v>
      </c>
      <c r="I71" t="s">
        <v>662</v>
      </c>
      <c r="J71" s="2">
        <v>0</v>
      </c>
      <c r="K71" s="2">
        <v>126000</v>
      </c>
      <c r="L71" t="s">
        <v>723</v>
      </c>
      <c r="M71" t="s">
        <v>785</v>
      </c>
    </row>
    <row r="72" spans="1:13">
      <c r="A72" t="s">
        <v>22</v>
      </c>
      <c r="B72" s="1">
        <f>HYPERLINK("https://cordis.europa.eu/project/id/734211", "734211")</f>
        <v>0</v>
      </c>
      <c r="C72" t="s">
        <v>94</v>
      </c>
      <c r="D72" t="s">
        <v>220</v>
      </c>
      <c r="E72" t="s">
        <v>309</v>
      </c>
      <c r="F72" t="s">
        <v>409</v>
      </c>
      <c r="G72" t="s">
        <v>456</v>
      </c>
      <c r="H72" t="s">
        <v>598</v>
      </c>
      <c r="I72" t="s">
        <v>660</v>
      </c>
      <c r="J72" s="2">
        <v>0</v>
      </c>
      <c r="K72" s="2">
        <v>229500</v>
      </c>
      <c r="L72" t="s">
        <v>723</v>
      </c>
      <c r="M72" t="s">
        <v>786</v>
      </c>
    </row>
    <row r="73" spans="1:13">
      <c r="A73" t="s">
        <v>22</v>
      </c>
      <c r="B73" s="1">
        <f>HYPERLINK("https://cordis.europa.eu/project/id/873207", "873207")</f>
        <v>0</v>
      </c>
      <c r="C73" t="s">
        <v>95</v>
      </c>
      <c r="D73" t="s">
        <v>221</v>
      </c>
      <c r="E73" t="s">
        <v>286</v>
      </c>
      <c r="F73" t="s">
        <v>394</v>
      </c>
      <c r="G73" t="s">
        <v>494</v>
      </c>
      <c r="H73" t="s">
        <v>598</v>
      </c>
      <c r="I73" t="s">
        <v>651</v>
      </c>
      <c r="J73" s="2">
        <v>0</v>
      </c>
      <c r="K73" s="2">
        <v>2042400</v>
      </c>
      <c r="L73" t="s">
        <v>723</v>
      </c>
      <c r="M73" t="s">
        <v>787</v>
      </c>
    </row>
    <row r="74" spans="1:13">
      <c r="A74" t="s">
        <v>22</v>
      </c>
      <c r="B74" s="1">
        <f>HYPERLINK("https://cordis.europa.eu/project/id/778010", "778010")</f>
        <v>0</v>
      </c>
      <c r="C74" t="s">
        <v>96</v>
      </c>
      <c r="D74" t="s">
        <v>222</v>
      </c>
      <c r="E74" t="s">
        <v>292</v>
      </c>
      <c r="F74" t="s">
        <v>385</v>
      </c>
      <c r="G74" t="s">
        <v>483</v>
      </c>
      <c r="H74" t="s">
        <v>598</v>
      </c>
      <c r="I74" t="s">
        <v>650</v>
      </c>
      <c r="J74" s="2">
        <v>0</v>
      </c>
      <c r="K74" s="2">
        <v>540000</v>
      </c>
      <c r="L74" t="s">
        <v>723</v>
      </c>
      <c r="M74" t="s">
        <v>788</v>
      </c>
    </row>
    <row r="75" spans="1:13">
      <c r="A75" t="s">
        <v>22</v>
      </c>
      <c r="B75" s="1">
        <f>HYPERLINK("https://cordis.europa.eu/project/id/101036822", "101036822")</f>
        <v>0</v>
      </c>
      <c r="C75" t="s">
        <v>97</v>
      </c>
      <c r="D75" t="s">
        <v>223</v>
      </c>
      <c r="E75" t="s">
        <v>310</v>
      </c>
      <c r="F75" t="s">
        <v>410</v>
      </c>
      <c r="G75" t="s">
        <v>494</v>
      </c>
      <c r="H75" t="s">
        <v>601</v>
      </c>
      <c r="I75" t="s">
        <v>663</v>
      </c>
      <c r="J75" s="2">
        <v>0</v>
      </c>
      <c r="K75" s="2">
        <v>11999973.89</v>
      </c>
      <c r="L75" t="s">
        <v>723</v>
      </c>
      <c r="M75" t="s">
        <v>789</v>
      </c>
    </row>
    <row r="76" spans="1:13">
      <c r="A76" t="s">
        <v>22</v>
      </c>
      <c r="B76" s="1">
        <f>HYPERLINK("https://cordis.europa.eu/project/id/674911", "674911")</f>
        <v>0</v>
      </c>
      <c r="C76" t="s">
        <v>98</v>
      </c>
      <c r="D76" t="s">
        <v>224</v>
      </c>
      <c r="E76" t="s">
        <v>311</v>
      </c>
      <c r="F76" t="s">
        <v>403</v>
      </c>
      <c r="G76" t="s">
        <v>491</v>
      </c>
      <c r="H76" t="s">
        <v>600</v>
      </c>
      <c r="I76" t="s">
        <v>664</v>
      </c>
      <c r="J76" s="2">
        <v>0</v>
      </c>
      <c r="K76" s="2">
        <v>2538628.2</v>
      </c>
      <c r="L76" t="s">
        <v>723</v>
      </c>
      <c r="M76" t="s">
        <v>790</v>
      </c>
    </row>
    <row r="77" spans="1:13">
      <c r="A77" t="s">
        <v>22</v>
      </c>
      <c r="B77" s="1">
        <f>HYPERLINK("https://cordis.europa.eu/project/id/734317", "734317")</f>
        <v>0</v>
      </c>
      <c r="C77" t="s">
        <v>99</v>
      </c>
      <c r="D77" t="s">
        <v>225</v>
      </c>
      <c r="E77" t="s">
        <v>309</v>
      </c>
      <c r="F77" t="s">
        <v>411</v>
      </c>
      <c r="G77" t="s">
        <v>495</v>
      </c>
      <c r="H77" t="s">
        <v>598</v>
      </c>
      <c r="I77" t="s">
        <v>660</v>
      </c>
      <c r="J77" s="2">
        <v>0</v>
      </c>
      <c r="K77" s="2">
        <v>2115000</v>
      </c>
      <c r="L77" t="s">
        <v>723</v>
      </c>
      <c r="M77" t="s">
        <v>791</v>
      </c>
    </row>
    <row r="78" spans="1:13">
      <c r="A78" t="s">
        <v>22</v>
      </c>
      <c r="B78" s="1">
        <f>HYPERLINK("https://cordis.europa.eu/project/id/101023635", "101023635")</f>
        <v>0</v>
      </c>
      <c r="C78" t="s">
        <v>100</v>
      </c>
      <c r="D78" t="s">
        <v>226</v>
      </c>
      <c r="E78" t="s">
        <v>312</v>
      </c>
      <c r="F78" t="s">
        <v>412</v>
      </c>
      <c r="G78" t="s">
        <v>496</v>
      </c>
      <c r="H78" t="s">
        <v>595</v>
      </c>
      <c r="I78" t="s">
        <v>665</v>
      </c>
      <c r="J78" s="2">
        <v>0</v>
      </c>
      <c r="K78" s="2">
        <v>290084.16</v>
      </c>
      <c r="L78" t="s">
        <v>723</v>
      </c>
      <c r="M78" t="s">
        <v>738</v>
      </c>
    </row>
    <row r="79" spans="1:13">
      <c r="A79" t="s">
        <v>22</v>
      </c>
      <c r="B79" s="1">
        <f>HYPERLINK("https://cordis.europa.eu/project/id/731143", "731143")</f>
        <v>0</v>
      </c>
      <c r="C79" t="s">
        <v>101</v>
      </c>
      <c r="D79" t="s">
        <v>227</v>
      </c>
      <c r="E79" t="s">
        <v>309</v>
      </c>
      <c r="F79" t="s">
        <v>409</v>
      </c>
      <c r="G79" t="s">
        <v>497</v>
      </c>
      <c r="H79" t="s">
        <v>598</v>
      </c>
      <c r="I79" t="s">
        <v>660</v>
      </c>
      <c r="J79" s="2">
        <v>0</v>
      </c>
      <c r="K79" s="2">
        <v>958500</v>
      </c>
      <c r="L79" t="s">
        <v>723</v>
      </c>
      <c r="M79" t="s">
        <v>792</v>
      </c>
    </row>
    <row r="80" spans="1:13">
      <c r="A80" t="s">
        <v>22</v>
      </c>
      <c r="B80" s="1">
        <f>HYPERLINK("https://cordis.europa.eu/project/id/676480", "676480")</f>
        <v>0</v>
      </c>
      <c r="C80" t="s">
        <v>102</v>
      </c>
      <c r="D80" t="s">
        <v>228</v>
      </c>
      <c r="E80" t="s">
        <v>313</v>
      </c>
      <c r="F80" t="s">
        <v>413</v>
      </c>
      <c r="G80" t="s">
        <v>498</v>
      </c>
      <c r="H80" t="s">
        <v>600</v>
      </c>
      <c r="I80" t="s">
        <v>664</v>
      </c>
      <c r="J80" s="2">
        <v>0</v>
      </c>
      <c r="K80" s="2">
        <v>3907754.64</v>
      </c>
      <c r="L80" t="s">
        <v>723</v>
      </c>
      <c r="M80" t="s">
        <v>793</v>
      </c>
    </row>
    <row r="81" spans="1:13">
      <c r="A81" t="s">
        <v>22</v>
      </c>
      <c r="B81" s="1">
        <f>HYPERLINK("https://cordis.europa.eu/project/id/691246", "691246")</f>
        <v>0</v>
      </c>
      <c r="C81" t="s">
        <v>103</v>
      </c>
      <c r="D81" t="s">
        <v>229</v>
      </c>
      <c r="E81" t="s">
        <v>314</v>
      </c>
      <c r="F81" t="s">
        <v>403</v>
      </c>
      <c r="G81" t="s">
        <v>491</v>
      </c>
      <c r="H81" t="s">
        <v>598</v>
      </c>
      <c r="I81" t="s">
        <v>662</v>
      </c>
      <c r="J81" s="2">
        <v>0</v>
      </c>
      <c r="K81" s="2">
        <v>288000</v>
      </c>
      <c r="L81" t="s">
        <v>723</v>
      </c>
      <c r="M81" t="s">
        <v>794</v>
      </c>
    </row>
    <row r="82" spans="1:13">
      <c r="A82" t="s">
        <v>22</v>
      </c>
      <c r="B82" s="1">
        <f>HYPERLINK("https://cordis.europa.eu/project/id/645717", "645717")</f>
        <v>0</v>
      </c>
      <c r="C82" t="s">
        <v>104</v>
      </c>
      <c r="D82" t="s">
        <v>230</v>
      </c>
      <c r="E82" t="s">
        <v>315</v>
      </c>
      <c r="F82" t="s">
        <v>405</v>
      </c>
      <c r="G82" t="s">
        <v>453</v>
      </c>
      <c r="H82" t="s">
        <v>598</v>
      </c>
      <c r="I82" t="s">
        <v>666</v>
      </c>
      <c r="J82" s="2">
        <v>0</v>
      </c>
      <c r="K82" s="2">
        <v>175500</v>
      </c>
      <c r="L82" t="s">
        <v>723</v>
      </c>
      <c r="M82" t="s">
        <v>795</v>
      </c>
    </row>
    <row r="83" spans="1:13">
      <c r="A83" t="s">
        <v>22</v>
      </c>
      <c r="B83" s="1">
        <f>HYPERLINK("https://cordis.europa.eu/project/id/786571", "786571")</f>
        <v>0</v>
      </c>
      <c r="C83" t="s">
        <v>105</v>
      </c>
      <c r="D83" t="s">
        <v>231</v>
      </c>
      <c r="E83" t="s">
        <v>316</v>
      </c>
      <c r="F83" t="s">
        <v>414</v>
      </c>
      <c r="G83" t="s">
        <v>499</v>
      </c>
      <c r="H83" t="s">
        <v>589</v>
      </c>
      <c r="I83" t="s">
        <v>667</v>
      </c>
      <c r="J83" s="2">
        <v>25000</v>
      </c>
      <c r="K83" s="2">
        <v>3492021.25</v>
      </c>
      <c r="L83" t="s">
        <v>723</v>
      </c>
      <c r="M83" t="s">
        <v>796</v>
      </c>
    </row>
    <row r="84" spans="1:13">
      <c r="A84" t="s">
        <v>22</v>
      </c>
      <c r="B84" s="1">
        <f>HYPERLINK("https://cordis.europa.eu/project/id/821115", "821115")</f>
        <v>0</v>
      </c>
      <c r="C84" t="s">
        <v>106</v>
      </c>
      <c r="D84" t="s">
        <v>232</v>
      </c>
      <c r="E84" t="s">
        <v>317</v>
      </c>
      <c r="F84" t="s">
        <v>415</v>
      </c>
      <c r="G84" t="s">
        <v>500</v>
      </c>
      <c r="H84" t="s">
        <v>599</v>
      </c>
      <c r="I84" t="s">
        <v>668</v>
      </c>
      <c r="J84" s="2">
        <v>0</v>
      </c>
      <c r="K84" s="2">
        <v>8000000</v>
      </c>
      <c r="L84" t="s">
        <v>723</v>
      </c>
      <c r="M84" t="s">
        <v>797</v>
      </c>
    </row>
    <row r="85" spans="1:13">
      <c r="A85" t="s">
        <v>22</v>
      </c>
      <c r="B85" s="1">
        <f>HYPERLINK("https://cordis.europa.eu/project/id/681228", "681228")</f>
        <v>0</v>
      </c>
      <c r="C85" t="s">
        <v>107</v>
      </c>
      <c r="D85" t="s">
        <v>233</v>
      </c>
      <c r="E85" t="s">
        <v>298</v>
      </c>
      <c r="F85" t="s">
        <v>395</v>
      </c>
      <c r="G85" t="s">
        <v>489</v>
      </c>
      <c r="H85" t="s">
        <v>598</v>
      </c>
      <c r="I85" t="s">
        <v>662</v>
      </c>
      <c r="J85" s="2">
        <v>0</v>
      </c>
      <c r="K85" s="2">
        <v>2115000</v>
      </c>
      <c r="L85" t="s">
        <v>723</v>
      </c>
      <c r="M85" t="s">
        <v>798</v>
      </c>
    </row>
    <row r="86" spans="1:13">
      <c r="A86" t="s">
        <v>22</v>
      </c>
      <c r="B86" s="1">
        <f>HYPERLINK("https://cordis.europa.eu/project/id/645668", "645668")</f>
        <v>0</v>
      </c>
      <c r="C86" t="s">
        <v>108</v>
      </c>
      <c r="D86" t="s">
        <v>234</v>
      </c>
      <c r="E86" t="s">
        <v>318</v>
      </c>
      <c r="F86" t="s">
        <v>405</v>
      </c>
      <c r="G86" t="s">
        <v>501</v>
      </c>
      <c r="H86" t="s">
        <v>598</v>
      </c>
      <c r="I86" t="s">
        <v>666</v>
      </c>
      <c r="J86" s="2">
        <v>0</v>
      </c>
      <c r="K86" s="2">
        <v>391500</v>
      </c>
      <c r="L86" t="s">
        <v>723</v>
      </c>
      <c r="M86" t="s">
        <v>799</v>
      </c>
    </row>
    <row r="87" spans="1:13">
      <c r="A87" t="s">
        <v>22</v>
      </c>
      <c r="B87" s="1">
        <f>HYPERLINK("https://cordis.europa.eu/project/id/642241", "642241")</f>
        <v>0</v>
      </c>
      <c r="C87" t="s">
        <v>109</v>
      </c>
      <c r="D87" t="s">
        <v>235</v>
      </c>
      <c r="E87" t="s">
        <v>319</v>
      </c>
      <c r="F87" t="s">
        <v>405</v>
      </c>
      <c r="G87" t="s">
        <v>453</v>
      </c>
      <c r="H87" t="s">
        <v>600</v>
      </c>
      <c r="I87" t="s">
        <v>658</v>
      </c>
      <c r="J87" s="2">
        <v>0</v>
      </c>
      <c r="K87" s="2">
        <v>3874278.6</v>
      </c>
      <c r="L87" t="s">
        <v>723</v>
      </c>
      <c r="M87" t="s">
        <v>800</v>
      </c>
    </row>
    <row r="88" spans="1:13">
      <c r="A88" t="s">
        <v>22</v>
      </c>
      <c r="B88" s="1">
        <f>HYPERLINK("https://cordis.europa.eu/project/id/101000224", "101000224")</f>
        <v>0</v>
      </c>
      <c r="C88" t="s">
        <v>110</v>
      </c>
      <c r="D88" t="s">
        <v>236</v>
      </c>
      <c r="E88" t="s">
        <v>320</v>
      </c>
      <c r="F88" t="s">
        <v>416</v>
      </c>
      <c r="G88" t="s">
        <v>472</v>
      </c>
      <c r="H88" t="s">
        <v>599</v>
      </c>
      <c r="I88" t="s">
        <v>669</v>
      </c>
      <c r="J88" s="2">
        <v>0</v>
      </c>
      <c r="K88" s="2">
        <v>4978240.52</v>
      </c>
      <c r="L88" t="s">
        <v>723</v>
      </c>
      <c r="M88" t="s">
        <v>801</v>
      </c>
    </row>
    <row r="89" spans="1:13">
      <c r="A89" t="s">
        <v>22</v>
      </c>
      <c r="B89" s="1">
        <f>HYPERLINK("https://cordis.europa.eu/project/id/825731", "825731")</f>
        <v>0</v>
      </c>
      <c r="C89" t="s">
        <v>111</v>
      </c>
      <c r="D89" t="s">
        <v>237</v>
      </c>
      <c r="E89" t="s">
        <v>321</v>
      </c>
      <c r="F89" t="s">
        <v>391</v>
      </c>
      <c r="G89" t="s">
        <v>483</v>
      </c>
      <c r="H89" t="s">
        <v>599</v>
      </c>
      <c r="I89" t="s">
        <v>670</v>
      </c>
      <c r="J89" s="2">
        <v>0</v>
      </c>
      <c r="K89" s="2">
        <v>4017817.5</v>
      </c>
      <c r="L89" t="s">
        <v>723</v>
      </c>
      <c r="M89" t="s">
        <v>802</v>
      </c>
    </row>
    <row r="90" spans="1:13">
      <c r="A90" t="s">
        <v>22</v>
      </c>
      <c r="B90" s="1">
        <f>HYPERLINK("https://cordis.europa.eu/project/id/824077", "824077")</f>
        <v>0</v>
      </c>
      <c r="C90" t="s">
        <v>112</v>
      </c>
      <c r="D90" t="s">
        <v>238</v>
      </c>
      <c r="E90" t="s">
        <v>322</v>
      </c>
      <c r="F90" t="s">
        <v>417</v>
      </c>
      <c r="G90" t="s">
        <v>485</v>
      </c>
      <c r="H90" t="s">
        <v>599</v>
      </c>
      <c r="I90" t="s">
        <v>671</v>
      </c>
      <c r="J90" s="2">
        <v>466922.5</v>
      </c>
      <c r="K90" s="2">
        <v>9999360.580000002</v>
      </c>
      <c r="L90" t="s">
        <v>723</v>
      </c>
      <c r="M90" t="s">
        <v>803</v>
      </c>
    </row>
    <row r="91" spans="1:13">
      <c r="A91" t="s">
        <v>22</v>
      </c>
      <c r="B91" s="1">
        <f>HYPERLINK("https://cordis.europa.eu/project/id/764908", "764908")</f>
        <v>0</v>
      </c>
      <c r="C91" t="s">
        <v>113</v>
      </c>
      <c r="D91" t="s">
        <v>239</v>
      </c>
      <c r="E91" t="s">
        <v>323</v>
      </c>
      <c r="F91" t="s">
        <v>385</v>
      </c>
      <c r="G91" t="s">
        <v>502</v>
      </c>
      <c r="H91" t="s">
        <v>602</v>
      </c>
      <c r="I91" t="s">
        <v>672</v>
      </c>
      <c r="J91" s="2">
        <v>0</v>
      </c>
      <c r="K91" s="2">
        <v>3870806.62</v>
      </c>
      <c r="L91" t="s">
        <v>723</v>
      </c>
      <c r="M91" t="s">
        <v>804</v>
      </c>
    </row>
    <row r="92" spans="1:13">
      <c r="A92" t="s">
        <v>22</v>
      </c>
      <c r="B92" s="1">
        <f>HYPERLINK("https://cordis.europa.eu/project/id/691037", "691037")</f>
        <v>0</v>
      </c>
      <c r="C92" t="s">
        <v>114</v>
      </c>
      <c r="D92" t="s">
        <v>240</v>
      </c>
      <c r="E92" t="s">
        <v>324</v>
      </c>
      <c r="F92" t="s">
        <v>403</v>
      </c>
      <c r="G92" t="s">
        <v>491</v>
      </c>
      <c r="H92" t="s">
        <v>598</v>
      </c>
      <c r="I92" t="s">
        <v>662</v>
      </c>
      <c r="J92" s="2">
        <v>0</v>
      </c>
      <c r="K92" s="2">
        <v>144000</v>
      </c>
      <c r="L92" t="s">
        <v>723</v>
      </c>
      <c r="M92" t="s">
        <v>805</v>
      </c>
    </row>
    <row r="93" spans="1:13">
      <c r="A93" t="s">
        <v>22</v>
      </c>
      <c r="B93" s="1">
        <f>HYPERLINK("https://cordis.europa.eu/project/id/862957", "862957")</f>
        <v>0</v>
      </c>
      <c r="C93" t="s">
        <v>115</v>
      </c>
      <c r="D93" t="s">
        <v>241</v>
      </c>
      <c r="E93" t="s">
        <v>325</v>
      </c>
      <c r="F93" t="s">
        <v>394</v>
      </c>
      <c r="G93" t="s">
        <v>473</v>
      </c>
      <c r="H93" t="s">
        <v>601</v>
      </c>
      <c r="I93" t="s">
        <v>673</v>
      </c>
      <c r="J93" s="2">
        <v>0</v>
      </c>
      <c r="K93" s="2">
        <v>8179214.26</v>
      </c>
      <c r="L93" t="s">
        <v>723</v>
      </c>
      <c r="M93" t="s">
        <v>806</v>
      </c>
    </row>
    <row r="94" spans="1:13">
      <c r="A94" t="s">
        <v>22</v>
      </c>
      <c r="B94" s="1">
        <f>HYPERLINK("https://cordis.europa.eu/project/id/870245", "870245")</f>
        <v>0</v>
      </c>
      <c r="C94" t="s">
        <v>116</v>
      </c>
      <c r="D94" t="s">
        <v>242</v>
      </c>
      <c r="E94" t="s">
        <v>286</v>
      </c>
      <c r="F94" t="s">
        <v>418</v>
      </c>
      <c r="G94" t="s">
        <v>503</v>
      </c>
      <c r="H94" t="s">
        <v>598</v>
      </c>
      <c r="I94" t="s">
        <v>651</v>
      </c>
      <c r="J94" s="2">
        <v>0</v>
      </c>
      <c r="K94" s="2">
        <v>2254000</v>
      </c>
      <c r="L94" t="s">
        <v>723</v>
      </c>
      <c r="M94" t="s">
        <v>807</v>
      </c>
    </row>
    <row r="95" spans="1:13">
      <c r="A95" t="s">
        <v>22</v>
      </c>
      <c r="B95" s="1">
        <f>HYPERLINK("https://cordis.europa.eu/project/id/734690", "734690")</f>
        <v>0</v>
      </c>
      <c r="C95" t="s">
        <v>117</v>
      </c>
      <c r="D95" t="s">
        <v>243</v>
      </c>
      <c r="E95" t="s">
        <v>280</v>
      </c>
      <c r="F95" t="s">
        <v>389</v>
      </c>
      <c r="G95" t="s">
        <v>482</v>
      </c>
      <c r="H95" t="s">
        <v>598</v>
      </c>
      <c r="I95" t="s">
        <v>660</v>
      </c>
      <c r="J95" s="2">
        <v>0</v>
      </c>
      <c r="K95" s="2">
        <v>571500</v>
      </c>
      <c r="L95" t="s">
        <v>723</v>
      </c>
      <c r="M95" t="s">
        <v>808</v>
      </c>
    </row>
    <row r="96" spans="1:13">
      <c r="A96" t="s">
        <v>22</v>
      </c>
      <c r="B96" s="1">
        <f>HYPERLINK("https://cordis.europa.eu/project/id/691070", "691070")</f>
        <v>0</v>
      </c>
      <c r="C96" t="s">
        <v>118</v>
      </c>
      <c r="D96" t="s">
        <v>244</v>
      </c>
      <c r="E96" t="s">
        <v>326</v>
      </c>
      <c r="F96" t="s">
        <v>403</v>
      </c>
      <c r="G96" t="s">
        <v>491</v>
      </c>
      <c r="H96" t="s">
        <v>598</v>
      </c>
      <c r="I96" t="s">
        <v>662</v>
      </c>
      <c r="J96" s="2">
        <v>0</v>
      </c>
      <c r="K96" s="2">
        <v>387000</v>
      </c>
      <c r="L96" t="s">
        <v>723</v>
      </c>
      <c r="M96" t="s">
        <v>809</v>
      </c>
    </row>
    <row r="97" spans="1:13">
      <c r="A97" t="s">
        <v>22</v>
      </c>
      <c r="B97" s="1">
        <f>HYPERLINK("https://cordis.europa.eu/project/id/731016", "731016")</f>
        <v>0</v>
      </c>
      <c r="C97" t="s">
        <v>119</v>
      </c>
      <c r="D97" t="s">
        <v>245</v>
      </c>
      <c r="E97" t="s">
        <v>327</v>
      </c>
      <c r="F97" t="s">
        <v>389</v>
      </c>
      <c r="G97" t="s">
        <v>491</v>
      </c>
      <c r="H97" t="s">
        <v>599</v>
      </c>
      <c r="I97" t="s">
        <v>674</v>
      </c>
      <c r="J97" s="2">
        <v>0</v>
      </c>
      <c r="K97" s="2">
        <v>2999995</v>
      </c>
      <c r="L97" t="s">
        <v>723</v>
      </c>
      <c r="M97" t="s">
        <v>810</v>
      </c>
    </row>
    <row r="98" spans="1:13">
      <c r="A98" t="s">
        <v>22</v>
      </c>
      <c r="B98" s="1">
        <f>HYPERLINK("https://cordis.europa.eu/project/id/818116", "818116")</f>
        <v>0</v>
      </c>
      <c r="C98" t="s">
        <v>120</v>
      </c>
      <c r="D98" t="s">
        <v>246</v>
      </c>
      <c r="E98" t="s">
        <v>328</v>
      </c>
      <c r="F98" t="s">
        <v>419</v>
      </c>
      <c r="G98" t="s">
        <v>504</v>
      </c>
      <c r="H98" t="s">
        <v>589</v>
      </c>
      <c r="I98" t="s">
        <v>675</v>
      </c>
      <c r="J98" s="2">
        <v>0</v>
      </c>
      <c r="K98" s="2">
        <v>3520466.25</v>
      </c>
      <c r="L98" t="s">
        <v>723</v>
      </c>
      <c r="M98" t="s">
        <v>811</v>
      </c>
    </row>
    <row r="99" spans="1:13">
      <c r="A99" t="s">
        <v>22</v>
      </c>
      <c r="B99" s="1">
        <f>HYPERLINK("https://cordis.europa.eu/project/id/774378", "774378")</f>
        <v>0</v>
      </c>
      <c r="C99" t="s">
        <v>121</v>
      </c>
      <c r="D99" t="s">
        <v>247</v>
      </c>
      <c r="E99" t="s">
        <v>329</v>
      </c>
      <c r="F99" t="s">
        <v>420</v>
      </c>
      <c r="G99" t="s">
        <v>505</v>
      </c>
      <c r="H99" t="s">
        <v>589</v>
      </c>
      <c r="I99" t="s">
        <v>676</v>
      </c>
      <c r="J99" s="2">
        <v>0</v>
      </c>
      <c r="K99" s="2">
        <v>2451771</v>
      </c>
      <c r="L99" t="s">
        <v>723</v>
      </c>
      <c r="M99" t="s">
        <v>812</v>
      </c>
    </row>
    <row r="100" spans="1:13">
      <c r="A100" t="s">
        <v>22</v>
      </c>
      <c r="B100" s="1">
        <f>HYPERLINK("https://cordis.europa.eu/project/id/101000213", "101000213")</f>
        <v>0</v>
      </c>
      <c r="C100" t="s">
        <v>122</v>
      </c>
      <c r="D100" t="s">
        <v>248</v>
      </c>
      <c r="E100" t="s">
        <v>330</v>
      </c>
      <c r="F100" t="s">
        <v>402</v>
      </c>
      <c r="G100" t="s">
        <v>486</v>
      </c>
      <c r="H100" t="s">
        <v>599</v>
      </c>
      <c r="I100" t="s">
        <v>669</v>
      </c>
      <c r="J100" s="2">
        <v>0</v>
      </c>
      <c r="K100" s="2">
        <v>9724763.75</v>
      </c>
      <c r="L100" t="s">
        <v>723</v>
      </c>
      <c r="M100" t="s">
        <v>813</v>
      </c>
    </row>
    <row r="101" spans="1:13">
      <c r="A101" t="s">
        <v>22</v>
      </c>
      <c r="B101" s="1">
        <f>HYPERLINK("https://cordis.europa.eu/project/id/676876", "676876")</f>
        <v>0</v>
      </c>
      <c r="C101" t="s">
        <v>123</v>
      </c>
      <c r="D101" t="s">
        <v>249</v>
      </c>
      <c r="E101" t="s">
        <v>331</v>
      </c>
      <c r="F101" t="s">
        <v>421</v>
      </c>
      <c r="G101" t="s">
        <v>506</v>
      </c>
      <c r="H101" t="s">
        <v>599</v>
      </c>
      <c r="I101" t="s">
        <v>677</v>
      </c>
      <c r="J101" s="2">
        <v>0</v>
      </c>
      <c r="K101" s="2">
        <v>6700000</v>
      </c>
      <c r="L101" t="s">
        <v>723</v>
      </c>
      <c r="M101" t="s">
        <v>814</v>
      </c>
    </row>
    <row r="102" spans="1:13">
      <c r="A102" t="s">
        <v>22</v>
      </c>
      <c r="B102" s="1">
        <f>HYPERLINK("https://cordis.europa.eu/project/id/772787", "772787")</f>
        <v>0</v>
      </c>
      <c r="C102" t="s">
        <v>124</v>
      </c>
      <c r="D102" t="s">
        <v>250</v>
      </c>
      <c r="E102" t="s">
        <v>332</v>
      </c>
      <c r="F102" t="s">
        <v>419</v>
      </c>
      <c r="G102" t="s">
        <v>507</v>
      </c>
      <c r="H102" t="s">
        <v>599</v>
      </c>
      <c r="I102" t="s">
        <v>678</v>
      </c>
      <c r="J102" s="2">
        <v>0</v>
      </c>
      <c r="K102" s="2">
        <v>6998911.25</v>
      </c>
      <c r="L102" t="s">
        <v>723</v>
      </c>
      <c r="M102" t="s">
        <v>815</v>
      </c>
    </row>
    <row r="103" spans="1:13">
      <c r="A103" t="s">
        <v>22</v>
      </c>
      <c r="B103" s="1">
        <f>HYPERLINK("https://cordis.europa.eu/project/id/774548", "774548")</f>
        <v>0</v>
      </c>
      <c r="C103" t="s">
        <v>125</v>
      </c>
      <c r="D103" t="s">
        <v>251</v>
      </c>
      <c r="E103" t="s">
        <v>333</v>
      </c>
      <c r="F103" t="s">
        <v>422</v>
      </c>
      <c r="G103" t="s">
        <v>508</v>
      </c>
      <c r="H103" t="s">
        <v>599</v>
      </c>
      <c r="I103" t="s">
        <v>678</v>
      </c>
      <c r="J103" s="2">
        <v>0</v>
      </c>
      <c r="K103" s="2">
        <v>9600862.879999999</v>
      </c>
      <c r="L103" t="s">
        <v>723</v>
      </c>
      <c r="M103" t="s">
        <v>816</v>
      </c>
    </row>
    <row r="104" spans="1:13">
      <c r="A104" t="s">
        <v>22</v>
      </c>
      <c r="B104" s="1">
        <f>HYPERLINK("https://cordis.europa.eu/project/id/696300", "696300")</f>
        <v>0</v>
      </c>
      <c r="C104" t="s">
        <v>126</v>
      </c>
      <c r="D104" t="s">
        <v>252</v>
      </c>
      <c r="E104" t="s">
        <v>334</v>
      </c>
      <c r="F104" t="s">
        <v>423</v>
      </c>
      <c r="G104" t="s">
        <v>509</v>
      </c>
      <c r="H104" t="s">
        <v>589</v>
      </c>
      <c r="I104" t="s">
        <v>679</v>
      </c>
      <c r="J104" s="2">
        <v>89880</v>
      </c>
      <c r="K104" s="2">
        <v>1998800.75</v>
      </c>
      <c r="L104" t="s">
        <v>723</v>
      </c>
      <c r="M104" t="s">
        <v>817</v>
      </c>
    </row>
    <row r="105" spans="1:13">
      <c r="A105" t="s">
        <v>22</v>
      </c>
      <c r="B105" s="1">
        <f>HYPERLINK("https://cordis.europa.eu/project/id/771271", "771271")</f>
        <v>0</v>
      </c>
      <c r="C105" t="s">
        <v>127</v>
      </c>
      <c r="D105" t="s">
        <v>253</v>
      </c>
      <c r="E105" t="s">
        <v>333</v>
      </c>
      <c r="F105" t="s">
        <v>424</v>
      </c>
      <c r="G105" t="s">
        <v>489</v>
      </c>
      <c r="H105" t="s">
        <v>599</v>
      </c>
      <c r="I105" t="s">
        <v>678</v>
      </c>
      <c r="J105" s="2">
        <v>0</v>
      </c>
      <c r="K105" s="2">
        <v>4999296.25</v>
      </c>
      <c r="L105" t="s">
        <v>723</v>
      </c>
      <c r="M105" t="s">
        <v>818</v>
      </c>
    </row>
    <row r="106" spans="1:13">
      <c r="A106" t="s">
        <v>22</v>
      </c>
      <c r="B106" s="1">
        <f>HYPERLINK("https://cordis.europa.eu/project/id/101021848", "101021848")</f>
        <v>0</v>
      </c>
      <c r="C106" t="s">
        <v>128</v>
      </c>
      <c r="D106" t="s">
        <v>254</v>
      </c>
      <c r="E106" t="s">
        <v>335</v>
      </c>
      <c r="F106" t="s">
        <v>425</v>
      </c>
      <c r="G106" t="s">
        <v>472</v>
      </c>
      <c r="H106" t="s">
        <v>595</v>
      </c>
      <c r="I106" t="s">
        <v>665</v>
      </c>
      <c r="J106" s="2">
        <v>0</v>
      </c>
      <c r="K106" s="2">
        <v>269273.28</v>
      </c>
      <c r="L106" t="s">
        <v>723</v>
      </c>
      <c r="M106" t="s">
        <v>819</v>
      </c>
    </row>
    <row r="107" spans="1:13">
      <c r="A107" t="s">
        <v>23</v>
      </c>
      <c r="B107" s="1">
        <f>HYPERLINK("https://cordis.europa.eu/project/id/101107336", "101107336")</f>
        <v>0</v>
      </c>
      <c r="C107" t="s">
        <v>129</v>
      </c>
      <c r="D107" t="s">
        <v>255</v>
      </c>
      <c r="E107" t="s">
        <v>336</v>
      </c>
      <c r="F107" t="s">
        <v>426</v>
      </c>
      <c r="G107" t="s">
        <v>510</v>
      </c>
      <c r="H107" t="s">
        <v>603</v>
      </c>
      <c r="I107" t="s">
        <v>680</v>
      </c>
      <c r="J107" s="2">
        <v>0</v>
      </c>
      <c r="K107" s="2">
        <v>257235.36</v>
      </c>
      <c r="L107" t="s">
        <v>723</v>
      </c>
      <c r="M107" t="s">
        <v>820</v>
      </c>
    </row>
    <row r="108" spans="1:13">
      <c r="A108" t="s">
        <v>23</v>
      </c>
      <c r="B108" s="1">
        <f>HYPERLINK("https://cordis.europa.eu/project/id/101145612", "101145612")</f>
        <v>0</v>
      </c>
      <c r="C108" t="s">
        <v>130</v>
      </c>
      <c r="D108" t="s">
        <v>256</v>
      </c>
      <c r="E108" t="s">
        <v>337</v>
      </c>
      <c r="F108" t="s">
        <v>427</v>
      </c>
      <c r="G108" t="s">
        <v>511</v>
      </c>
      <c r="H108" t="s">
        <v>604</v>
      </c>
      <c r="I108" t="s">
        <v>681</v>
      </c>
      <c r="J108" s="2">
        <v>94446.25</v>
      </c>
      <c r="K108" s="2">
        <v>2337586.25</v>
      </c>
      <c r="L108" t="s">
        <v>723</v>
      </c>
      <c r="M108" t="s">
        <v>821</v>
      </c>
    </row>
    <row r="109" spans="1:13">
      <c r="A109" t="s">
        <v>23</v>
      </c>
      <c r="B109" s="1">
        <f>HYPERLINK("https://cordis.europa.eu/project/id/101152621", "101152621")</f>
        <v>0</v>
      </c>
      <c r="C109" t="s">
        <v>131</v>
      </c>
      <c r="D109" t="s">
        <v>257</v>
      </c>
      <c r="E109" t="s">
        <v>338</v>
      </c>
      <c r="F109" t="s">
        <v>428</v>
      </c>
      <c r="G109" t="s">
        <v>512</v>
      </c>
      <c r="H109" t="s">
        <v>603</v>
      </c>
      <c r="I109" t="s">
        <v>682</v>
      </c>
      <c r="J109" s="2">
        <v>0</v>
      </c>
      <c r="K109" s="2">
        <v>257235.36</v>
      </c>
      <c r="L109" t="s">
        <v>723</v>
      </c>
      <c r="M109" t="s">
        <v>758</v>
      </c>
    </row>
    <row r="110" spans="1:13">
      <c r="A110" t="s">
        <v>23</v>
      </c>
      <c r="B110" s="1">
        <f>HYPERLINK("https://cordis.europa.eu/project/id/101107488", "101107488")</f>
        <v>0</v>
      </c>
      <c r="C110" t="s">
        <v>132</v>
      </c>
      <c r="D110" t="s">
        <v>258</v>
      </c>
      <c r="E110" t="s">
        <v>339</v>
      </c>
      <c r="F110" t="s">
        <v>429</v>
      </c>
      <c r="G110" t="s">
        <v>513</v>
      </c>
      <c r="H110" t="s">
        <v>603</v>
      </c>
      <c r="I110" t="s">
        <v>680</v>
      </c>
      <c r="J110" s="2">
        <v>0</v>
      </c>
      <c r="K110" s="2">
        <v>272536.32</v>
      </c>
      <c r="L110" t="s">
        <v>723</v>
      </c>
      <c r="M110" t="s">
        <v>764</v>
      </c>
    </row>
    <row r="111" spans="1:13">
      <c r="A111" t="s">
        <v>23</v>
      </c>
      <c r="B111" s="1">
        <f>HYPERLINK("https://cordis.europa.eu/project/id/101105332", "101105332")</f>
        <v>0</v>
      </c>
      <c r="C111" t="s">
        <v>133</v>
      </c>
      <c r="D111" t="s">
        <v>259</v>
      </c>
      <c r="E111" t="s">
        <v>340</v>
      </c>
      <c r="F111" t="s">
        <v>430</v>
      </c>
      <c r="G111" t="s">
        <v>514</v>
      </c>
      <c r="H111" t="s">
        <v>603</v>
      </c>
      <c r="I111" t="s">
        <v>680</v>
      </c>
      <c r="J111" s="2">
        <v>0</v>
      </c>
      <c r="K111" s="2">
        <v>271743.84</v>
      </c>
      <c r="L111" t="s">
        <v>723</v>
      </c>
      <c r="M111" t="s">
        <v>822</v>
      </c>
    </row>
    <row r="112" spans="1:13">
      <c r="A112" t="s">
        <v>23</v>
      </c>
      <c r="B112" s="1">
        <f>HYPERLINK("https://cordis.europa.eu/project/id/101147385", "101147385")</f>
        <v>0</v>
      </c>
      <c r="C112" t="s">
        <v>134</v>
      </c>
      <c r="D112" t="s">
        <v>260</v>
      </c>
      <c r="E112" t="s">
        <v>341</v>
      </c>
      <c r="F112" t="s">
        <v>426</v>
      </c>
      <c r="G112" t="s">
        <v>515</v>
      </c>
      <c r="H112" t="s">
        <v>605</v>
      </c>
      <c r="I112" t="s">
        <v>683</v>
      </c>
      <c r="J112" s="2">
        <v>1006187.5</v>
      </c>
      <c r="K112" s="2">
        <v>4479124</v>
      </c>
      <c r="L112" t="s">
        <v>723</v>
      </c>
      <c r="M112" t="s">
        <v>823</v>
      </c>
    </row>
    <row r="113" spans="1:13">
      <c r="A113" t="s">
        <v>23</v>
      </c>
      <c r="B113" s="1">
        <f>HYPERLINK("https://cordis.europa.eu/project/id/101066639", "101066639")</f>
        <v>0</v>
      </c>
      <c r="C113" t="s">
        <v>135</v>
      </c>
      <c r="D113" t="s">
        <v>261</v>
      </c>
      <c r="E113" t="s">
        <v>342</v>
      </c>
      <c r="F113" t="s">
        <v>431</v>
      </c>
      <c r="G113" t="s">
        <v>479</v>
      </c>
      <c r="H113" t="s">
        <v>606</v>
      </c>
      <c r="I113" t="s">
        <v>684</v>
      </c>
      <c r="J113" s="2">
        <v>0</v>
      </c>
      <c r="K113" s="2">
        <v>189687.36</v>
      </c>
      <c r="L113" t="s">
        <v>723</v>
      </c>
      <c r="M113" t="s">
        <v>824</v>
      </c>
    </row>
    <row r="114" spans="1:13">
      <c r="A114" t="s">
        <v>23</v>
      </c>
      <c r="B114" s="1">
        <f>HYPERLINK("https://cordis.europa.eu/project/id/101130467", "101130467")</f>
        <v>0</v>
      </c>
      <c r="C114" t="s">
        <v>136</v>
      </c>
      <c r="D114" t="s">
        <v>262</v>
      </c>
      <c r="E114" t="s">
        <v>343</v>
      </c>
      <c r="F114" t="s">
        <v>432</v>
      </c>
      <c r="G114" t="s">
        <v>511</v>
      </c>
      <c r="H114" t="s">
        <v>607</v>
      </c>
      <c r="I114" t="s">
        <v>685</v>
      </c>
      <c r="J114" s="2">
        <v>171000</v>
      </c>
      <c r="K114" s="2">
        <v>2884500</v>
      </c>
      <c r="L114" t="s">
        <v>723</v>
      </c>
      <c r="M114" t="s">
        <v>825</v>
      </c>
    </row>
    <row r="115" spans="1:13">
      <c r="A115" t="s">
        <v>23</v>
      </c>
      <c r="B115" s="1">
        <f>HYPERLINK("https://cordis.europa.eu/project/id/101134750", "101134750")</f>
        <v>0</v>
      </c>
      <c r="C115" t="s">
        <v>137</v>
      </c>
      <c r="D115" t="s">
        <v>263</v>
      </c>
      <c r="E115" t="s">
        <v>344</v>
      </c>
      <c r="F115" t="s">
        <v>432</v>
      </c>
      <c r="G115" t="s">
        <v>516</v>
      </c>
      <c r="H115" t="s">
        <v>608</v>
      </c>
      <c r="I115" t="s">
        <v>686</v>
      </c>
      <c r="J115" s="2">
        <v>286937.5</v>
      </c>
      <c r="K115" s="2">
        <v>4998037.5</v>
      </c>
      <c r="L115" t="s">
        <v>723</v>
      </c>
      <c r="M115" t="s">
        <v>826</v>
      </c>
    </row>
    <row r="116" spans="1:13">
      <c r="A116" t="s">
        <v>23</v>
      </c>
      <c r="B116" s="1">
        <f>HYPERLINK("https://cordis.europa.eu/project/id/101119552", "101119552")</f>
        <v>0</v>
      </c>
      <c r="C116" t="s">
        <v>138</v>
      </c>
      <c r="D116" t="s">
        <v>264</v>
      </c>
      <c r="E116" t="s">
        <v>345</v>
      </c>
      <c r="F116" t="s">
        <v>432</v>
      </c>
      <c r="G116" t="s">
        <v>516</v>
      </c>
      <c r="H116" t="s">
        <v>609</v>
      </c>
      <c r="I116" t="s">
        <v>687</v>
      </c>
      <c r="J116" s="2">
        <v>0</v>
      </c>
      <c r="K116" s="2">
        <v>2504779.2</v>
      </c>
      <c r="L116" t="s">
        <v>723</v>
      </c>
      <c r="M116" t="s">
        <v>827</v>
      </c>
    </row>
    <row r="117" spans="1:13">
      <c r="A117" t="s">
        <v>23</v>
      </c>
      <c r="B117" s="1">
        <f>HYPERLINK("https://cordis.europa.eu/project/id/101132352", "101132352")</f>
        <v>0</v>
      </c>
      <c r="C117" t="s">
        <v>139</v>
      </c>
      <c r="D117" t="s">
        <v>265</v>
      </c>
      <c r="E117" t="s">
        <v>346</v>
      </c>
      <c r="F117" t="s">
        <v>432</v>
      </c>
      <c r="G117" t="s">
        <v>517</v>
      </c>
      <c r="H117" t="s">
        <v>608</v>
      </c>
      <c r="I117" t="s">
        <v>688</v>
      </c>
      <c r="J117" s="2">
        <v>141968.75</v>
      </c>
      <c r="K117" s="2">
        <v>2999968.75</v>
      </c>
      <c r="L117" t="s">
        <v>723</v>
      </c>
      <c r="M117" t="s">
        <v>828</v>
      </c>
    </row>
    <row r="118" spans="1:13">
      <c r="A118" t="s">
        <v>23</v>
      </c>
      <c r="B118" s="1">
        <f>HYPERLINK("https://cordis.europa.eu/project/id/101086206", "101086206")</f>
        <v>0</v>
      </c>
      <c r="C118" t="s">
        <v>140</v>
      </c>
      <c r="D118" t="s">
        <v>266</v>
      </c>
      <c r="E118" t="s">
        <v>347</v>
      </c>
      <c r="F118" t="s">
        <v>433</v>
      </c>
      <c r="G118" t="s">
        <v>518</v>
      </c>
      <c r="H118" t="s">
        <v>610</v>
      </c>
      <c r="I118" t="s">
        <v>689</v>
      </c>
      <c r="J118" s="2">
        <v>0</v>
      </c>
      <c r="K118" s="2">
        <v>998200</v>
      </c>
      <c r="L118" t="s">
        <v>723</v>
      </c>
      <c r="M118" t="s">
        <v>829</v>
      </c>
    </row>
    <row r="119" spans="1:13">
      <c r="A119" t="s">
        <v>23</v>
      </c>
      <c r="B119" s="1">
        <f>HYPERLINK("https://cordis.europa.eu/project/id/101126658", "101126658")</f>
        <v>0</v>
      </c>
      <c r="C119" t="s">
        <v>141</v>
      </c>
      <c r="D119" t="s">
        <v>267</v>
      </c>
      <c r="E119" t="s">
        <v>348</v>
      </c>
      <c r="F119" t="s">
        <v>434</v>
      </c>
      <c r="G119" t="s">
        <v>519</v>
      </c>
      <c r="H119" t="s">
        <v>611</v>
      </c>
      <c r="I119" t="s">
        <v>690</v>
      </c>
      <c r="J119" s="2">
        <v>0</v>
      </c>
      <c r="K119" s="2">
        <v>1050720</v>
      </c>
      <c r="L119" t="s">
        <v>723</v>
      </c>
      <c r="M119" t="s">
        <v>830</v>
      </c>
    </row>
    <row r="120" spans="1:13">
      <c r="A120" t="s">
        <v>23</v>
      </c>
      <c r="B120" s="1">
        <f>HYPERLINK("https://cordis.europa.eu/project/id/101058393", "101058393")</f>
        <v>0</v>
      </c>
      <c r="C120" t="s">
        <v>142</v>
      </c>
      <c r="D120" t="s">
        <v>268</v>
      </c>
      <c r="E120" t="s">
        <v>349</v>
      </c>
      <c r="F120" t="s">
        <v>397</v>
      </c>
      <c r="G120" t="s">
        <v>520</v>
      </c>
      <c r="H120" t="s">
        <v>607</v>
      </c>
      <c r="I120" t="s">
        <v>691</v>
      </c>
      <c r="J120" s="2">
        <v>150000</v>
      </c>
      <c r="K120" s="2">
        <v>1883841.25</v>
      </c>
      <c r="L120" t="s">
        <v>723</v>
      </c>
      <c r="M120" t="s">
        <v>831</v>
      </c>
    </row>
    <row r="121" spans="1:13">
      <c r="A121" t="s">
        <v>23</v>
      </c>
      <c r="B121" s="1">
        <f>HYPERLINK("https://cordis.europa.eu/project/id/101132694", "101132694")</f>
        <v>0</v>
      </c>
      <c r="C121" t="s">
        <v>143</v>
      </c>
      <c r="D121" t="s">
        <v>269</v>
      </c>
      <c r="E121" t="s">
        <v>350</v>
      </c>
      <c r="F121" t="s">
        <v>432</v>
      </c>
      <c r="G121" t="s">
        <v>516</v>
      </c>
      <c r="H121" t="s">
        <v>608</v>
      </c>
      <c r="I121" t="s">
        <v>692</v>
      </c>
      <c r="J121" s="2">
        <v>145031.25</v>
      </c>
      <c r="K121" s="2">
        <v>2106591.25</v>
      </c>
      <c r="L121" t="s">
        <v>723</v>
      </c>
      <c r="M121" t="s">
        <v>832</v>
      </c>
    </row>
    <row r="122" spans="1:13">
      <c r="A122" t="s">
        <v>23</v>
      </c>
      <c r="B122" s="1">
        <f>HYPERLINK("https://cordis.europa.eu/project/id/101148550", "101148550")</f>
        <v>0</v>
      </c>
      <c r="C122" t="s">
        <v>144</v>
      </c>
      <c r="D122" t="s">
        <v>270</v>
      </c>
      <c r="E122" t="s">
        <v>351</v>
      </c>
      <c r="F122" t="s">
        <v>435</v>
      </c>
      <c r="G122" t="s">
        <v>521</v>
      </c>
      <c r="H122" t="s">
        <v>603</v>
      </c>
      <c r="I122" t="s">
        <v>682</v>
      </c>
      <c r="J122" s="2">
        <v>0</v>
      </c>
      <c r="K122" s="2">
        <v>274426.08</v>
      </c>
      <c r="L122" t="s">
        <v>723</v>
      </c>
      <c r="M122" t="s">
        <v>833</v>
      </c>
    </row>
    <row r="123" spans="1:13">
      <c r="A123" t="s">
        <v>23</v>
      </c>
      <c r="B123" s="1">
        <f>HYPERLINK("https://cordis.europa.eu/project/id/101081280", "101081280")</f>
        <v>0</v>
      </c>
      <c r="C123" t="s">
        <v>145</v>
      </c>
      <c r="D123" t="s">
        <v>271</v>
      </c>
      <c r="E123" t="s">
        <v>352</v>
      </c>
      <c r="F123" t="s">
        <v>436</v>
      </c>
      <c r="G123" t="s">
        <v>522</v>
      </c>
      <c r="H123" t="s">
        <v>612</v>
      </c>
      <c r="I123" t="s">
        <v>693</v>
      </c>
      <c r="J123" s="2">
        <v>0</v>
      </c>
      <c r="K123" s="2">
        <v>3360000</v>
      </c>
      <c r="L123" t="s">
        <v>723</v>
      </c>
      <c r="M123" t="s">
        <v>834</v>
      </c>
    </row>
    <row r="124" spans="1:13">
      <c r="A124" t="s">
        <v>23</v>
      </c>
      <c r="B124" s="1">
        <f>HYPERLINK("https://cordis.europa.eu/project/id/101136728", "101136728")</f>
        <v>0</v>
      </c>
      <c r="C124" t="s">
        <v>146</v>
      </c>
      <c r="D124" t="s">
        <v>272</v>
      </c>
      <c r="E124" t="s">
        <v>353</v>
      </c>
      <c r="F124" t="s">
        <v>432</v>
      </c>
      <c r="G124" t="s">
        <v>523</v>
      </c>
      <c r="H124" t="s">
        <v>608</v>
      </c>
      <c r="I124" t="s">
        <v>694</v>
      </c>
      <c r="J124" s="2">
        <v>1679000</v>
      </c>
      <c r="K124" s="2">
        <v>8743516.25</v>
      </c>
      <c r="L124" t="s">
        <v>723</v>
      </c>
      <c r="M124" t="s">
        <v>835</v>
      </c>
    </row>
    <row r="125" spans="1:13">
      <c r="A125" t="s">
        <v>23</v>
      </c>
      <c r="B125" s="1">
        <f>HYPERLINK("https://cordis.europa.eu/project/id/101131418", "101131418")</f>
        <v>0</v>
      </c>
      <c r="C125" t="s">
        <v>147</v>
      </c>
      <c r="D125" t="s">
        <v>273</v>
      </c>
      <c r="E125" t="s">
        <v>354</v>
      </c>
      <c r="F125" t="s">
        <v>432</v>
      </c>
      <c r="G125" t="s">
        <v>516</v>
      </c>
      <c r="H125" t="s">
        <v>610</v>
      </c>
      <c r="I125" t="s">
        <v>695</v>
      </c>
      <c r="J125" s="2">
        <v>0</v>
      </c>
      <c r="K125" s="2">
        <v>404800</v>
      </c>
      <c r="L125" t="s">
        <v>723</v>
      </c>
      <c r="M125" t="s">
        <v>836</v>
      </c>
    </row>
    <row r="126" spans="1:13">
      <c r="A126" t="s">
        <v>23</v>
      </c>
      <c r="B126" s="1">
        <f>HYPERLINK("https://cordis.europa.eu/project/id/101081329", "101081329")</f>
        <v>0</v>
      </c>
      <c r="C126" t="s">
        <v>148</v>
      </c>
      <c r="D126" t="s">
        <v>274</v>
      </c>
      <c r="E126" t="s">
        <v>355</v>
      </c>
      <c r="F126" t="s">
        <v>437</v>
      </c>
      <c r="G126" t="s">
        <v>524</v>
      </c>
      <c r="H126" t="s">
        <v>605</v>
      </c>
      <c r="I126" t="s">
        <v>696</v>
      </c>
      <c r="J126" s="2">
        <v>0</v>
      </c>
      <c r="K126" s="2">
        <v>5533252.74</v>
      </c>
      <c r="L126" t="s">
        <v>723</v>
      </c>
      <c r="M126" t="s">
        <v>837</v>
      </c>
    </row>
    <row r="127" spans="1:13">
      <c r="A127" t="s">
        <v>23</v>
      </c>
      <c r="B127" s="1">
        <f>HYPERLINK("https://cordis.europa.eu/project/id/101043986", "101043986")</f>
        <v>0</v>
      </c>
      <c r="C127" t="s">
        <v>149</v>
      </c>
      <c r="D127" t="s">
        <v>275</v>
      </c>
      <c r="E127" t="s">
        <v>356</v>
      </c>
      <c r="F127" t="s">
        <v>433</v>
      </c>
      <c r="G127" t="s">
        <v>525</v>
      </c>
      <c r="H127" t="s">
        <v>613</v>
      </c>
      <c r="I127" t="s">
        <v>697</v>
      </c>
      <c r="J127" s="2">
        <v>198000</v>
      </c>
      <c r="K127" s="2">
        <v>2051921</v>
      </c>
      <c r="L127" t="s">
        <v>723</v>
      </c>
      <c r="M127" t="s">
        <v>758</v>
      </c>
    </row>
  </sheetData>
  <autoFilter ref="A1:M127"/>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2"/>
  <sheetViews>
    <sheetView workbookViewId="0"/>
  </sheetViews>
  <sheetFormatPr defaultRowHeight="15"/>
  <cols>
    <col min="1" max="1" width="7.7109375" customWidth="1"/>
    <col min="2" max="2" width="14.7109375" customWidth="1"/>
    <col min="3" max="3" width="54.7109375" customWidth="1"/>
    <col min="4" max="5" width="7.7109375" customWidth="1"/>
    <col min="6" max="6" width="12.7109375" style="2" customWidth="1"/>
    <col min="7" max="8" width="7.7109375" customWidth="1"/>
    <col min="9" max="9" width="12.7109375" style="2" customWidth="1"/>
    <col min="10" max="11" width="7.7109375" customWidth="1"/>
    <col min="12" max="12" width="12.7109375" style="2" customWidth="1"/>
    <col min="13" max="14" width="7.7109375" customWidth="1"/>
    <col min="15" max="15" width="12.7109375" style="2" customWidth="1"/>
  </cols>
  <sheetData>
    <row r="1" spans="1:15">
      <c r="A1" s="3" t="s">
        <v>7</v>
      </c>
      <c r="B1" s="3" t="s">
        <v>8</v>
      </c>
      <c r="C1" s="3" t="s">
        <v>838</v>
      </c>
      <c r="D1" s="3" t="s">
        <v>707</v>
      </c>
      <c r="E1" s="3" t="s">
        <v>708</v>
      </c>
      <c r="F1" s="3" t="s">
        <v>839</v>
      </c>
      <c r="G1" s="3" t="s">
        <v>710</v>
      </c>
      <c r="H1" s="3" t="s">
        <v>711</v>
      </c>
      <c r="I1" s="3" t="s">
        <v>840</v>
      </c>
      <c r="J1" s="3" t="s">
        <v>713</v>
      </c>
      <c r="K1" s="3" t="s">
        <v>714</v>
      </c>
      <c r="L1" s="3" t="s">
        <v>841</v>
      </c>
      <c r="M1" s="3" t="s">
        <v>842</v>
      </c>
      <c r="N1" s="3" t="s">
        <v>843</v>
      </c>
      <c r="O1" s="3" t="s">
        <v>844</v>
      </c>
    </row>
    <row r="2" spans="1:15">
      <c r="A2" t="s">
        <v>526</v>
      </c>
      <c r="B2" t="s">
        <v>527</v>
      </c>
      <c r="C2" t="s">
        <v>845</v>
      </c>
      <c r="D2">
        <v>35</v>
      </c>
      <c r="E2">
        <v>22</v>
      </c>
      <c r="F2" s="2">
        <v>3885680.2</v>
      </c>
      <c r="G2">
        <v>70</v>
      </c>
      <c r="H2">
        <v>13</v>
      </c>
      <c r="I2" s="2">
        <v>2636419</v>
      </c>
      <c r="J2">
        <v>21</v>
      </c>
      <c r="K2">
        <v>13</v>
      </c>
      <c r="L2" s="2">
        <v>3872571.25</v>
      </c>
      <c r="M2">
        <v>126</v>
      </c>
      <c r="N2">
        <v>48</v>
      </c>
      <c r="O2" s="2">
        <v>10394670.45</v>
      </c>
    </row>
  </sheetData>
  <autoFilter ref="A1:O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FP_participation</vt:lpstr>
      <vt:lpstr>Orgs_summary</vt:lpstr>
      <vt:lpstr>FP_projects</vt:lpstr>
      <vt:lpstr>Countries_summary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2024-06-11T00:41:15Z</dcterms:created>
  <dcterms:modified xsi:type="dcterms:W3CDTF">2024-06-11T00:41:15Z</dcterms:modified>
</cp:coreProperties>
</file>