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Sheet1!$A$1:$Q$1903</definedName>
  </definedNames>
  <calcPr calcId="124519" fullCalcOnLoad="1"/>
</workbook>
</file>

<file path=xl/sharedStrings.xml><?xml version="1.0" encoding="utf-8"?>
<sst xmlns="http://schemas.openxmlformats.org/spreadsheetml/2006/main" count="24738" uniqueCount="2816">
  <si>
    <t>ccm2Id</t>
  </si>
  <si>
    <t>callYear</t>
  </si>
  <si>
    <t>clusterCode</t>
  </si>
  <si>
    <t>clusterName</t>
  </si>
  <si>
    <t>destination</t>
  </si>
  <si>
    <t>destCode</t>
  </si>
  <si>
    <t>pubDate</t>
  </si>
  <si>
    <t>openDate</t>
  </si>
  <si>
    <t>closeDate</t>
  </si>
  <si>
    <t>s2Date</t>
  </si>
  <si>
    <t>status</t>
  </si>
  <si>
    <t>process</t>
  </si>
  <si>
    <t>actionType</t>
  </si>
  <si>
    <t>callId</t>
  </si>
  <si>
    <t>callTitle</t>
  </si>
  <si>
    <t>topicId</t>
  </si>
  <si>
    <t>topicTitle</t>
  </si>
  <si>
    <t>HORIZON-CL2</t>
  </si>
  <si>
    <t>HORIZON-CL3</t>
  </si>
  <si>
    <t>HORIZON-CL4</t>
  </si>
  <si>
    <t>HORIZON-CL5</t>
  </si>
  <si>
    <t>HORIZON-CL6</t>
  </si>
  <si>
    <t>HORIZON-ER-JU</t>
  </si>
  <si>
    <t>HORIZON-JU-ER</t>
  </si>
  <si>
    <t>HORIZON-EUROHPC-JU</t>
  </si>
  <si>
    <t>HORIZON-EUSPA</t>
  </si>
  <si>
    <t>HORIZON-HLTH</t>
  </si>
  <si>
    <t>HORIZON-JTI-CLEANH2</t>
  </si>
  <si>
    <t>HORIZON-JU-CBE</t>
  </si>
  <si>
    <t>HORIZON-JU-Clean-Aviation</t>
  </si>
  <si>
    <t>HORIZON-JU-Chips</t>
  </si>
  <si>
    <t>HORIZON-JU-GH-EDCTP3</t>
  </si>
  <si>
    <t>HORIZON-JU-IHI</t>
  </si>
  <si>
    <t>HORIZON-JU-SNS</t>
  </si>
  <si>
    <t>HORIZON-KDT-JU</t>
  </si>
  <si>
    <t>HORIZON-MISS</t>
  </si>
  <si>
    <t>HORIZON-SESAR</t>
  </si>
  <si>
    <t>2. Culture, Creativity and Inclusive Society</t>
  </si>
  <si>
    <t>3. Civil Security for Society</t>
  </si>
  <si>
    <t>4. Digital, Industry and Space</t>
  </si>
  <si>
    <t>5. Climate, Energy and Mobility</t>
  </si>
  <si>
    <t>6. Food, Bioeconomy, Natural Resources, Agriculture and Environment</t>
  </si>
  <si>
    <t>Europe's Rail Joint Undertaking</t>
  </si>
  <si>
    <t>European High Performance Computing Joint Undertaking</t>
  </si>
  <si>
    <t>European Union Agency for the Space Programme</t>
  </si>
  <si>
    <t>1. Health</t>
  </si>
  <si>
    <t>Clean Hydrogen Joint Technology Initiatives</t>
  </si>
  <si>
    <t>Circular Bio-based Europe Joint Undertaking</t>
  </si>
  <si>
    <t>Clean Aviation Joint Undertaking</t>
  </si>
  <si>
    <t>Chips Joint Undertaking</t>
  </si>
  <si>
    <t>Global Health - European and Developing Countries Clinical Trials Partnership Joint Undertaking</t>
  </si>
  <si>
    <t>Innovative Health Initiative Joint Undertaking</t>
  </si>
  <si>
    <t>Smart Networks and Services Joint Undertaking</t>
  </si>
  <si>
    <t>Key Digital Technologies Joint Undertaking</t>
  </si>
  <si>
    <t>Missions</t>
  </si>
  <si>
    <t>Single European Sky ATM (Air Traffic Management) Research Joint Undertaking</t>
  </si>
  <si>
    <t>Democracy and Governance</t>
  </si>
  <si>
    <t>Cultural Heritage</t>
  </si>
  <si>
    <t>Culture, creativity and inclusive society</t>
  </si>
  <si>
    <t>Social and Economic Transformations</t>
  </si>
  <si>
    <t>Protection and Security</t>
  </si>
  <si>
    <t>Cybersecurity</t>
  </si>
  <si>
    <t>Disaster-Resilient Societies</t>
  </si>
  <si>
    <t>Advanced Computing and Big Data</t>
  </si>
  <si>
    <t>Digital, Industry and Space</t>
  </si>
  <si>
    <t>Artificial Intelligence and Robotics</t>
  </si>
  <si>
    <t>Next Generation Internet</t>
  </si>
  <si>
    <t>Manufacturing Technologies</t>
  </si>
  <si>
    <t>Circular Industries</t>
  </si>
  <si>
    <t>Advanced Materials</t>
  </si>
  <si>
    <t>Space, including Earth Observation</t>
  </si>
  <si>
    <t>Climate Science and Solutions</t>
  </si>
  <si>
    <t>Seas, Oceans and Inland Waters</t>
  </si>
  <si>
    <t>Environmental Observation</t>
  </si>
  <si>
    <t>Agriculture, Forestry and Rural Areas</t>
  </si>
  <si>
    <t>Low-Carbon and Clean Industries</t>
  </si>
  <si>
    <t>Energy Storage</t>
  </si>
  <si>
    <t>Climate, Energy and Mobility</t>
  </si>
  <si>
    <t>Communities and Cities</t>
  </si>
  <si>
    <t>Energy Systems and Grids</t>
  </si>
  <si>
    <t>Energy Supply</t>
  </si>
  <si>
    <t>Buildings and Industrial Facilities in Energy Transition</t>
  </si>
  <si>
    <t>Clean, Safe and Accessible Transport and Mobility</t>
  </si>
  <si>
    <t>Industrial Competitiveness in Transport</t>
  </si>
  <si>
    <t>Biodiversity and Natural Resources</t>
  </si>
  <si>
    <t>Food, Bioeconomy Natural Resources, Agriculture and Environment</t>
  </si>
  <si>
    <t>Bio-based Innovation Systems in the EU Bioeconomy</t>
  </si>
  <si>
    <t>Food Systems</t>
  </si>
  <si>
    <t>Smart Mobility</t>
  </si>
  <si>
    <t>Health Care Systems</t>
  </si>
  <si>
    <t>Infectious Diseases, including poverty-related and neglected diseases</t>
  </si>
  <si>
    <t>Non-Communicable and Rare Diseases</t>
  </si>
  <si>
    <t>Tools, Technologies and Digital Solutions for Health and Care, including personalised medicine</t>
  </si>
  <si>
    <t>Health</t>
  </si>
  <si>
    <t>Innovative Health Initiative</t>
  </si>
  <si>
    <t>DEMOCRACY-01</t>
  </si>
  <si>
    <t>HERITAGE-01</t>
  </si>
  <si>
    <t>HERITAGE-02</t>
  </si>
  <si>
    <t>TRANSFORMATIONS-01</t>
  </si>
  <si>
    <t>DEMOCRACY-02</t>
  </si>
  <si>
    <t>TRANSFORMATIONS-02</t>
  </si>
  <si>
    <t>HERITAGE-ECCCH-01</t>
  </si>
  <si>
    <t>BM-01</t>
  </si>
  <si>
    <t>CS-01</t>
  </si>
  <si>
    <t>DRS-01</t>
  </si>
  <si>
    <t>FCT-01</t>
  </si>
  <si>
    <t>INFRA-01</t>
  </si>
  <si>
    <t>SSRI-01</t>
  </si>
  <si>
    <t>DATA-01</t>
  </si>
  <si>
    <t>DIGITAL-EMERGING-01</t>
  </si>
  <si>
    <t>DIGITAL-EMERGING-02</t>
  </si>
  <si>
    <t>HUMAN-01</t>
  </si>
  <si>
    <t>RESILIENCE-01</t>
  </si>
  <si>
    <t>RESILIENCE-02</t>
  </si>
  <si>
    <t>SPACE-01</t>
  </si>
  <si>
    <t>TWIN-TRANSITION-01</t>
  </si>
  <si>
    <t>HUMAN-02</t>
  </si>
  <si>
    <t>RESILIENCE-02-PCP</t>
  </si>
  <si>
    <t>DIGITAL-EMERGING-01-CNECT</t>
  </si>
  <si>
    <t>HUMAN-01-CNECT</t>
  </si>
  <si>
    <t>RESILIENCE-01-TWO-STAGE</t>
  </si>
  <si>
    <t>TWIN-TRANSITION-01-TWO-STAGE</t>
  </si>
  <si>
    <t>HUMAN-03</t>
  </si>
  <si>
    <t>D1-01</t>
  </si>
  <si>
    <t>D2-01</t>
  </si>
  <si>
    <t>D3-01</t>
  </si>
  <si>
    <t>D3-02</t>
  </si>
  <si>
    <t>D3-03</t>
  </si>
  <si>
    <t>D4-01</t>
  </si>
  <si>
    <t>D4-02</t>
  </si>
  <si>
    <t>D5-01</t>
  </si>
  <si>
    <t>D6-01</t>
  </si>
  <si>
    <t>D1-01-two-stage</t>
  </si>
  <si>
    <t>D1-02</t>
  </si>
  <si>
    <t>D6-02</t>
  </si>
  <si>
    <t>D2-02</t>
  </si>
  <si>
    <t>BIODIV-01</t>
  </si>
  <si>
    <t>BIODIV-02</t>
  </si>
  <si>
    <t>CIRCBIO-01</t>
  </si>
  <si>
    <t>CLIMATE-01</t>
  </si>
  <si>
    <t>COMMUNITIES-01</t>
  </si>
  <si>
    <t>FARM2FORK-01</t>
  </si>
  <si>
    <t>GOVERNANCE-01</t>
  </si>
  <si>
    <t>ZEROPOLLUTION-01</t>
  </si>
  <si>
    <t>BIODIV-02-two-stage</t>
  </si>
  <si>
    <t>CIRCBIO-02-two-stage</t>
  </si>
  <si>
    <t>COMMUNITIES-02-two-stage</t>
  </si>
  <si>
    <t>FARM2FORK-02-two-stage</t>
  </si>
  <si>
    <t>CIRCBIO-02</t>
  </si>
  <si>
    <t>GOVERNANCE-02</t>
  </si>
  <si>
    <t>ZEROPOLLUTION-02</t>
  </si>
  <si>
    <t>CLIMATE-02</t>
  </si>
  <si>
    <t>COMMUNITIES-02</t>
  </si>
  <si>
    <t>FARM2FORK-02</t>
  </si>
  <si>
    <t>FARM2FORK-03</t>
  </si>
  <si>
    <t>02</t>
  </si>
  <si>
    <t>01</t>
  </si>
  <si>
    <t>COE-01</t>
  </si>
  <si>
    <t>ALG-02</t>
  </si>
  <si>
    <t>INCO-04</t>
  </si>
  <si>
    <t>TECH-03</t>
  </si>
  <si>
    <t>COE-03</t>
  </si>
  <si>
    <t>ENERGY-04</t>
  </si>
  <si>
    <t>INCO-06</t>
  </si>
  <si>
    <t>INTER-02</t>
  </si>
  <si>
    <t>QEC-05</t>
  </si>
  <si>
    <t>DARE-SGA-04</t>
  </si>
  <si>
    <t>SPACE</t>
  </si>
  <si>
    <t>MARITIME-PRIZE</t>
  </si>
  <si>
    <t>SPACE-PRS-2</t>
  </si>
  <si>
    <t>SPACE-PRS</t>
  </si>
  <si>
    <t>CARE-05</t>
  </si>
  <si>
    <t>CORONA-01</t>
  </si>
  <si>
    <t>DISEASE-04</t>
  </si>
  <si>
    <t>ENVHLTH-02</t>
  </si>
  <si>
    <t>ENVHLTH-03</t>
  </si>
  <si>
    <t>IND-07</t>
  </si>
  <si>
    <t>STAYHLTH-01</t>
  </si>
  <si>
    <t>TOOL-06</t>
  </si>
  <si>
    <t>CARE-08</t>
  </si>
  <si>
    <t>CARE-10</t>
  </si>
  <si>
    <t>DISEASE-03</t>
  </si>
  <si>
    <t>DISEASE-06-two-stage</t>
  </si>
  <si>
    <t>DISEASE-07</t>
  </si>
  <si>
    <t>ENVHLTH-04</t>
  </si>
  <si>
    <t>IND-13</t>
  </si>
  <si>
    <t>STAYHLTH-01-two-stage</t>
  </si>
  <si>
    <t>STAYHLTH-02</t>
  </si>
  <si>
    <t>TOOL-11</t>
  </si>
  <si>
    <t>TOOL-12-two-stage</t>
  </si>
  <si>
    <t>CARE-04</t>
  </si>
  <si>
    <t>IND-06</t>
  </si>
  <si>
    <t>TOOL-05</t>
  </si>
  <si>
    <t>CARE-04-two-stage</t>
  </si>
  <si>
    <t>CARE-14</t>
  </si>
  <si>
    <t>DISEASE-03-two-stage</t>
  </si>
  <si>
    <t>DISEASE-08</t>
  </si>
  <si>
    <t>DISEASE-09</t>
  </si>
  <si>
    <t>DISEASE-12</t>
  </si>
  <si>
    <t>DISEASE-13</t>
  </si>
  <si>
    <t>DISEASE-17</t>
  </si>
  <si>
    <t>ENVHLTH-02-two-stage</t>
  </si>
  <si>
    <t>TOOL-05-two-stage</t>
  </si>
  <si>
    <t>1</t>
  </si>
  <si>
    <t>2</t>
  </si>
  <si>
    <t>RIA-CPL</t>
  </si>
  <si>
    <t>1-IA</t>
  </si>
  <si>
    <t>2-RIA</t>
  </si>
  <si>
    <t>3-RIA</t>
  </si>
  <si>
    <t>02-two-stage</t>
  </si>
  <si>
    <t>01-two-stage</t>
  </si>
  <si>
    <t>Mpox</t>
  </si>
  <si>
    <t>01-single-stage</t>
  </si>
  <si>
    <t>03-single-stage</t>
  </si>
  <si>
    <t>04-two-stage</t>
  </si>
  <si>
    <t>05</t>
  </si>
  <si>
    <t>06-two-stage</t>
  </si>
  <si>
    <t>07-single-stage</t>
  </si>
  <si>
    <t>3-CSA</t>
  </si>
  <si>
    <t>3-CSA-IA</t>
  </si>
  <si>
    <t>CANCER-02</t>
  </si>
  <si>
    <t>CIT-01</t>
  </si>
  <si>
    <t>CIT-02</t>
  </si>
  <si>
    <t>CLIMA-01</t>
  </si>
  <si>
    <t>CLIMA-02</t>
  </si>
  <si>
    <t>COOR-01</t>
  </si>
  <si>
    <t>NEB-01</t>
  </si>
  <si>
    <t>OCEAN-01</t>
  </si>
  <si>
    <t>OCEAN-02</t>
  </si>
  <si>
    <t>OCEAN-03</t>
  </si>
  <si>
    <t>OCEAN-04</t>
  </si>
  <si>
    <t>OCEAN-05</t>
  </si>
  <si>
    <t>SOIL-01</t>
  </si>
  <si>
    <t>SOIL-02</t>
  </si>
  <si>
    <t>UNCAN-01</t>
  </si>
  <si>
    <t>CANCER-01</t>
  </si>
  <si>
    <t>NCP-01</t>
  </si>
  <si>
    <t>OCEANCLIMA-01</t>
  </si>
  <si>
    <t>SOCIALCAT-01</t>
  </si>
  <si>
    <t>CLIMA-CITIES-01</t>
  </si>
  <si>
    <t>CLIMA-OCEAN-SOIL-01</t>
  </si>
  <si>
    <t>CROSS-01</t>
  </si>
  <si>
    <t>CROSS-02</t>
  </si>
  <si>
    <t>DES-ER-01</t>
  </si>
  <si>
    <t>DES-IR-01</t>
  </si>
  <si>
    <t>DES-ER-02</t>
  </si>
  <si>
    <t>2022-05-11</t>
  </si>
  <si>
    <t>2021-06-16</t>
  </si>
  <si>
    <t>2022-12-07</t>
  </si>
  <si>
    <t>2024-04-18</t>
  </si>
  <si>
    <t>2021-12-16</t>
  </si>
  <si>
    <t>2023-04-03</t>
  </si>
  <si>
    <t>2022-09-13</t>
  </si>
  <si>
    <t>2022-03-10</t>
  </si>
  <si>
    <t>2023-09-29</t>
  </si>
  <si>
    <t>2024-01-17</t>
  </si>
  <si>
    <t>2022-01-05</t>
  </si>
  <si>
    <t>2022-04-05</t>
  </si>
  <si>
    <t>2022-12-21</t>
  </si>
  <si>
    <t>2022-12-16</t>
  </si>
  <si>
    <t>2023-03-08</t>
  </si>
  <si>
    <t>2023-09-20</t>
  </si>
  <si>
    <t>2023-11-07</t>
  </si>
  <si>
    <t>2024-02-06</t>
  </si>
  <si>
    <t>2023-08-01</t>
  </si>
  <si>
    <t>2024-05-29</t>
  </si>
  <si>
    <t>2021-10-27</t>
  </si>
  <si>
    <t>2022-06-30</t>
  </si>
  <si>
    <t>2022-10-26</t>
  </si>
  <si>
    <t>2023-10-24</t>
  </si>
  <si>
    <t>2024-04-16</t>
  </si>
  <si>
    <t>2023-12-14</t>
  </si>
  <si>
    <t>2021-04-06</t>
  </si>
  <si>
    <t>2022-03-01</t>
  </si>
  <si>
    <t>2023-01-17</t>
  </si>
  <si>
    <t>2022-06-22</t>
  </si>
  <si>
    <t>2023-06-06</t>
  </si>
  <si>
    <t>2023-04-26</t>
  </si>
  <si>
    <t>2024-04-11</t>
  </si>
  <si>
    <t>2022-03-23</t>
  </si>
  <si>
    <t>2023-02-09</t>
  </si>
  <si>
    <t>2023-12-01</t>
  </si>
  <si>
    <t>2023-04-14</t>
  </si>
  <si>
    <t>2024-04-30</t>
  </si>
  <si>
    <t>2022-06-28</t>
  </si>
  <si>
    <t>2022-12-13</t>
  </si>
  <si>
    <t>2023-07-27</t>
  </si>
  <si>
    <t>2024-01-16</t>
  </si>
  <si>
    <t>2022-01-13</t>
  </si>
  <si>
    <t>2022-12-15</t>
  </si>
  <si>
    <t>2023-12-05</t>
  </si>
  <si>
    <t>2022-05-03</t>
  </si>
  <si>
    <t>2023-02-07</t>
  </si>
  <si>
    <t>2022-04-07</t>
  </si>
  <si>
    <t>2023-06-29</t>
  </si>
  <si>
    <t>2021-06-22</t>
  </si>
  <si>
    <t>2022-01-20</t>
  </si>
  <si>
    <t>2022-05-12</t>
  </si>
  <si>
    <t>2022-12-14</t>
  </si>
  <si>
    <t>2023-01-10</t>
  </si>
  <si>
    <t>2023-10-04</t>
  </si>
  <si>
    <t>2024-06-18</t>
  </si>
  <si>
    <t>2021-06-30</t>
  </si>
  <si>
    <t>2024-06-27</t>
  </si>
  <si>
    <t>2021-11-02</t>
  </si>
  <si>
    <t>2021-09-16</t>
  </si>
  <si>
    <t>2021-11-23</t>
  </si>
  <si>
    <t>2021-12-21</t>
  </si>
  <si>
    <t>2022-06-16</t>
  </si>
  <si>
    <t>2021-10-12</t>
  </si>
  <si>
    <t>2022-12-08</t>
  </si>
  <si>
    <t>2022-12-22</t>
  </si>
  <si>
    <t>2023-11-15</t>
  </si>
  <si>
    <t>2024-04-23</t>
  </si>
  <si>
    <t>2023-09-19</t>
  </si>
  <si>
    <t>2023-11-21</t>
  </si>
  <si>
    <t>2021-06-24</t>
  </si>
  <si>
    <t>2021-09-02</t>
  </si>
  <si>
    <t>2022-04-28</t>
  </si>
  <si>
    <t>2021-10-14</t>
  </si>
  <si>
    <t>2022-05-26</t>
  </si>
  <si>
    <t>2022-09-06</t>
  </si>
  <si>
    <t>2021-12-02</t>
  </si>
  <si>
    <t>2023-05-04</t>
  </si>
  <si>
    <t>2023-09-12</t>
  </si>
  <si>
    <t>2023-12-07</t>
  </si>
  <si>
    <t>2024-05-07</t>
  </si>
  <si>
    <t>2024-09-17</t>
  </si>
  <si>
    <t>2021-10-28</t>
  </si>
  <si>
    <t>2023-05-25</t>
  </si>
  <si>
    <t>2023-10-17</t>
  </si>
  <si>
    <t>2024-05-08</t>
  </si>
  <si>
    <t>2024-05-02</t>
  </si>
  <si>
    <t>2024-01-25</t>
  </si>
  <si>
    <t>2022-01-27</t>
  </si>
  <si>
    <t>2022-04-20</t>
  </si>
  <si>
    <t>2023-02-02</t>
  </si>
  <si>
    <t>2023-01-26</t>
  </si>
  <si>
    <t>2022-07-05</t>
  </si>
  <si>
    <t>2022-11-03</t>
  </si>
  <si>
    <t>2023-10-26</t>
  </si>
  <si>
    <t>2024-07-09</t>
  </si>
  <si>
    <t>2021-04-15</t>
  </si>
  <si>
    <t>2021-10-06</t>
  </si>
  <si>
    <t>2022-01-12</t>
  </si>
  <si>
    <t>2023-01-12</t>
  </si>
  <si>
    <t>2023-03-30</t>
  </si>
  <si>
    <t>2024-04-25</t>
  </si>
  <si>
    <t>2022-03-31</t>
  </si>
  <si>
    <t>2023-01-31</t>
  </si>
  <si>
    <t>2024-01-18</t>
  </si>
  <si>
    <t>2023-07-06</t>
  </si>
  <si>
    <t>2024-04-24</t>
  </si>
  <si>
    <t>2022-05-04</t>
  </si>
  <si>
    <t>2023-03-09</t>
  </si>
  <si>
    <t>2024-02-01</t>
  </si>
  <si>
    <t>2023-05-10</t>
  </si>
  <si>
    <t>2023-06-27</t>
  </si>
  <si>
    <t>2024-05-14</t>
  </si>
  <si>
    <t>2022-01-18</t>
  </si>
  <si>
    <t>2021-12-22</t>
  </si>
  <si>
    <t>2022-01-11</t>
  </si>
  <si>
    <t>2021-09-28</t>
  </si>
  <si>
    <t>2022-05-24</t>
  </si>
  <si>
    <t>2023-04-04</t>
  </si>
  <si>
    <t>2024-05-16</t>
  </si>
  <si>
    <t>2024-05-15</t>
  </si>
  <si>
    <t>2021-10-07</t>
  </si>
  <si>
    <t>2022-09-21</t>
  </si>
  <si>
    <t>2023-03-14</t>
  </si>
  <si>
    <t>2023-09-21</t>
  </si>
  <si>
    <t>2024-02-07</t>
  </si>
  <si>
    <t>2025-01-22</t>
  </si>
  <si>
    <t>2021-10-21</t>
  </si>
  <si>
    <t>2022-11-23</t>
  </si>
  <si>
    <t>2022-11-16</t>
  </si>
  <si>
    <t>2023-11-23</t>
  </si>
  <si>
    <t>2024-11-20</t>
  </si>
  <si>
    <t>2021-09-23</t>
  </si>
  <si>
    <t>2022-01-25</t>
  </si>
  <si>
    <t>2022-02-16</t>
  </si>
  <si>
    <t>2022-03-30</t>
  </si>
  <si>
    <t>2023-03-29</t>
  </si>
  <si>
    <t>2023-04-20</t>
  </si>
  <si>
    <t>2023-03-07</t>
  </si>
  <si>
    <t>2023-03-28</t>
  </si>
  <si>
    <t>2024-03-19</t>
  </si>
  <si>
    <t>2024-09-18</t>
  </si>
  <si>
    <t>2024-09-10</t>
  </si>
  <si>
    <t>2024-03-21</t>
  </si>
  <si>
    <t>2021-09-14</t>
  </si>
  <si>
    <t>2021-10-19</t>
  </si>
  <si>
    <t>2021-10-20</t>
  </si>
  <si>
    <t>2022-02-23</t>
  </si>
  <si>
    <t>2022-02-10</t>
  </si>
  <si>
    <t>2022-04-26</t>
  </si>
  <si>
    <t>2022-10-27</t>
  </si>
  <si>
    <t>2023-01-24</t>
  </si>
  <si>
    <t>2023-04-18</t>
  </si>
  <si>
    <t>2023-09-05</t>
  </si>
  <si>
    <t>2023-10-10</t>
  </si>
  <si>
    <t>2024-03-05</t>
  </si>
  <si>
    <t>2024-09-05</t>
  </si>
  <si>
    <t>2025-01-21</t>
  </si>
  <si>
    <t>2021-07-22</t>
  </si>
  <si>
    <t>2022-02-15</t>
  </si>
  <si>
    <t>2023-04-12</t>
  </si>
  <si>
    <t>2023-03-23</t>
  </si>
  <si>
    <t>2024-02-22</t>
  </si>
  <si>
    <t>2024-09-24</t>
  </si>
  <si>
    <t>2024-02-28</t>
  </si>
  <si>
    <t>2024-06-25</t>
  </si>
  <si>
    <t>2024-02-21</t>
  </si>
  <si>
    <t>2022-06-23</t>
  </si>
  <si>
    <t>2024-06-05</t>
  </si>
  <si>
    <t>2022-04-06</t>
  </si>
  <si>
    <t>2023-08-31</t>
  </si>
  <si>
    <t>2023-06-08</t>
  </si>
  <si>
    <t>2024-01-09</t>
  </si>
  <si>
    <t>2024-06-06</t>
  </si>
  <si>
    <t>2024-01-31</t>
  </si>
  <si>
    <t>2024-08-29</t>
  </si>
  <si>
    <t>2023-05-03</t>
  </si>
  <si>
    <t>2024-02-20</t>
  </si>
  <si>
    <t>2024-02-14</t>
  </si>
  <si>
    <t>2021-09-21</t>
  </si>
  <si>
    <t>2021-05-20</t>
  </si>
  <si>
    <t>2022-04-21</t>
  </si>
  <si>
    <t>2022-02-01</t>
  </si>
  <si>
    <t>2023-04-13</t>
  </si>
  <si>
    <t>2024-11-26</t>
  </si>
  <si>
    <t>2024-09-25</t>
  </si>
  <si>
    <t>2024-05-30</t>
  </si>
  <si>
    <t>2022-05-31</t>
  </si>
  <si>
    <t>2022-09-20</t>
  </si>
  <si>
    <t>2024-04-17</t>
  </si>
  <si>
    <t>2022-09-22</t>
  </si>
  <si>
    <t>2023-05-11</t>
  </si>
  <si>
    <t>2024-02-29</t>
  </si>
  <si>
    <t>2022-08-30</t>
  </si>
  <si>
    <t>2023-07-04</t>
  </si>
  <si>
    <t>2023-09-28</t>
  </si>
  <si>
    <t>2024-04-04</t>
  </si>
  <si>
    <t>2023-03-15</t>
  </si>
  <si>
    <t>2023-11-08</t>
  </si>
  <si>
    <t>2024-05-22</t>
  </si>
  <si>
    <t>2023-04-25</t>
  </si>
  <si>
    <t>2022-04-27</t>
  </si>
  <si>
    <t>2022-04-12</t>
  </si>
  <si>
    <t>2022-03-24</t>
  </si>
  <si>
    <t>2022-09-07</t>
  </si>
  <si>
    <t>2022-09-27</t>
  </si>
  <si>
    <t>2022-11-22</t>
  </si>
  <si>
    <t>2022-10-06</t>
  </si>
  <si>
    <t>2023-04-27</t>
  </si>
  <si>
    <t>2023-09-06</t>
  </si>
  <si>
    <t>2025-01-16</t>
  </si>
  <si>
    <t>2024-09-19</t>
  </si>
  <si>
    <t>2024-10-08</t>
  </si>
  <si>
    <t>2022-10-13</t>
  </si>
  <si>
    <t>2023-10-05</t>
  </si>
  <si>
    <t>2022-09-01</t>
  </si>
  <si>
    <t>2023-09-26</t>
  </si>
  <si>
    <t>2024-04-03</t>
  </si>
  <si>
    <t>2023-02-28</t>
  </si>
  <si>
    <t>2024-10-10</t>
  </si>
  <si>
    <t>Closed</t>
  </si>
  <si>
    <t>Open</t>
  </si>
  <si>
    <t>Forthcoming</t>
  </si>
  <si>
    <t>single-stage</t>
  </si>
  <si>
    <t>two-stage</t>
  </si>
  <si>
    <t>HORIZON-RIA</t>
  </si>
  <si>
    <t>HORIZON-CSA</t>
  </si>
  <si>
    <t>HORIZON-IA</t>
  </si>
  <si>
    <t>HORIZON-PCP</t>
  </si>
  <si>
    <t>HORIZON-FPA</t>
  </si>
  <si>
    <t>HORIZON-COFUND</t>
  </si>
  <si>
    <t>HORIZON-JU-RIA</t>
  </si>
  <si>
    <t>HORIZON-JU-IA</t>
  </si>
  <si>
    <t>HORIZON-JU-CSA</t>
  </si>
  <si>
    <t>HORIZON-IPr</t>
  </si>
  <si>
    <t>HORIZON-PPI</t>
  </si>
  <si>
    <t>HORIZON-CL2-2021-DEMOCRACY-01</t>
  </si>
  <si>
    <t>HORIZON-CL2-2021-HERITAGE-01</t>
  </si>
  <si>
    <t>HORIZON-CL2-2021-HERITAGE-02</t>
  </si>
  <si>
    <t>HORIZON-CL2-2021-TRANSFORMATIONS-01</t>
  </si>
  <si>
    <t>HORIZON-CL2-2022-DEMOCRACY-01</t>
  </si>
  <si>
    <t>HORIZON-CL2-2022-DEMOCRACY-02</t>
  </si>
  <si>
    <t>HORIZON-CL2-2022-HERITAGE-01</t>
  </si>
  <si>
    <t>HORIZON-CL2-2022-HERITAGE-02</t>
  </si>
  <si>
    <t>HORIZON-CL2-2022-TRANSFORMATIONS-01</t>
  </si>
  <si>
    <t>HORIZON-CL2-2022-TRANSFORMATIONS-02</t>
  </si>
  <si>
    <t>HORIZON-CL2-2023-DEMOCRACY-01</t>
  </si>
  <si>
    <t>HORIZON-CL2-2023-HERITAGE-01</t>
  </si>
  <si>
    <t>HORIZON-CL2-2023-HERITAGE-ECCCH-01</t>
  </si>
  <si>
    <t>HORIZON-CL2-2023-TRANSFORMATIONS-01</t>
  </si>
  <si>
    <t>HORIZON-CL2-2024-DEMOCRACY-01</t>
  </si>
  <si>
    <t>HORIZON-CL2-2024-HERITAGE-01</t>
  </si>
  <si>
    <t>HORIZON-CL2-2024-HERITAGE-ECCCH-01</t>
  </si>
  <si>
    <t>HORIZON-CL2-2024-TRANSFORMATIONS-01</t>
  </si>
  <si>
    <t>HORIZON-CL3-2021-BM-01</t>
  </si>
  <si>
    <t>HORIZON-CL3-2021-CS-01</t>
  </si>
  <si>
    <t>HORIZON-CL3-2021-DRS-01</t>
  </si>
  <si>
    <t>HORIZON-CL3-2021-FCT-01</t>
  </si>
  <si>
    <t>HORIZON-CL3-2021-INFRA-01</t>
  </si>
  <si>
    <t>HORIZON-CL3-2021-SSRI-01</t>
  </si>
  <si>
    <t>HORIZON-CL3-2022-BM-01</t>
  </si>
  <si>
    <t>HORIZON-CL3-2022-CS-01</t>
  </si>
  <si>
    <t>HORIZON-CL3-2022-DRS-01</t>
  </si>
  <si>
    <t>HORIZON-CL3-2022-FCT-01</t>
  </si>
  <si>
    <t>HORIZON-CL3-2022-INFRA-01</t>
  </si>
  <si>
    <t>HORIZON-CL3-2022-SSRI-01</t>
  </si>
  <si>
    <t>HORIZON-CL3-2023-BM-01</t>
  </si>
  <si>
    <t>HORIZON-CL3-2023-CS-01</t>
  </si>
  <si>
    <t>HORIZON-CL3-2023-DRS-01</t>
  </si>
  <si>
    <t>HORIZON-CL3-2023-FCT-01</t>
  </si>
  <si>
    <t>HORIZON-CL3-2023-INFRA-01</t>
  </si>
  <si>
    <t>HORIZON-CL3-2023-SSRI-01</t>
  </si>
  <si>
    <t>HORIZON-CL3-2024-BM-01</t>
  </si>
  <si>
    <t>HORIZON-CL3-2024-CS-01</t>
  </si>
  <si>
    <t>HORIZON-CL3-2024-DRS-01</t>
  </si>
  <si>
    <t>HORIZON-CL3-2024-FCT-01</t>
  </si>
  <si>
    <t>HORIZON-CL3-2024-INFRA-01</t>
  </si>
  <si>
    <t>HORIZON-CL3-2024-SSRI-01</t>
  </si>
  <si>
    <t>HORIZON-CL4-2021-DATA-01</t>
  </si>
  <si>
    <t>HORIZON-CL4-2021-DIGITAL-EMERGING-01</t>
  </si>
  <si>
    <t>HORIZON-CL4-2021-DIGITAL-EMERGING-02</t>
  </si>
  <si>
    <t>HORIZON-CL4-2021-HUMAN-01</t>
  </si>
  <si>
    <t>HORIZON-CL4-2021-RESILIENCE-01</t>
  </si>
  <si>
    <t>HORIZON-CL4-2021-RESILIENCE-02</t>
  </si>
  <si>
    <t>HORIZON-CL4-2021-SPACE-01</t>
  </si>
  <si>
    <t>HORIZON-CL4-2021-TWIN-TRANSITION-01</t>
  </si>
  <si>
    <t>HORIZON-CL4-2022-DATA-01</t>
  </si>
  <si>
    <t>HORIZON-CL4-2022-DIGITAL-EMERGING-01</t>
  </si>
  <si>
    <t>HORIZON-CL4-2022-DIGITAL-EMERGING-02</t>
  </si>
  <si>
    <t>HORIZON-CL4-2022-HUMAN-01</t>
  </si>
  <si>
    <t>HORIZON-CL4-2022-HUMAN-02</t>
  </si>
  <si>
    <t>HORIZON-CL4-2022-RESILIENCE-01</t>
  </si>
  <si>
    <t>HORIZON-CL4-2022-RESILIENCE-02-PCP</t>
  </si>
  <si>
    <t>HORIZON-CL4-2022-SPACE-01</t>
  </si>
  <si>
    <t>HORIZON-CL4-2022-TWIN-TRANSITION-01</t>
  </si>
  <si>
    <t>HORIZON-CL4-2023-DATA-01</t>
  </si>
  <si>
    <t>HORIZON-CL4-2023-DIGITAL-EMERGING-01</t>
  </si>
  <si>
    <t>HORIZON-CL4-2023-DIGITAL-EMERGING-01-CNECT</t>
  </si>
  <si>
    <t>HORIZON-CL4-2023-HUMAN-01-CNECT</t>
  </si>
  <si>
    <t>HORIZON-CL4-2023-HUMAN-01</t>
  </si>
  <si>
    <t>HORIZON-CL4-2023-RESILIENCE-01</t>
  </si>
  <si>
    <t>HORIZON-CL4-2023-RESILIENCE-01-TWO-STAGE</t>
  </si>
  <si>
    <t>HORIZON-CL4-2023-SPACE-01</t>
  </si>
  <si>
    <t>HORIZON-CL4-2023-TWIN-TRANSITION-01</t>
  </si>
  <si>
    <t>HORIZON-CL4-2023-TWIN-TRANSITION-01-TWO-STAGE</t>
  </si>
  <si>
    <t>HORIZON-CL4-2024-DATA-01</t>
  </si>
  <si>
    <t>HORIZON-CL4-2024-DIGITAL-EMERGING-01</t>
  </si>
  <si>
    <t>HORIZON-CL4-2024-DIGITAL-EMERGING-01-CNECT</t>
  </si>
  <si>
    <t>HORIZON-CL4-2024-DIGITAL-EMERGING-02</t>
  </si>
  <si>
    <t>HORIZON-CL4-2024-HUMAN-01</t>
  </si>
  <si>
    <t>HORIZON-CL4-2024-HUMAN-02</t>
  </si>
  <si>
    <t>HORIZON-CL4-2024-HUMAN-03</t>
  </si>
  <si>
    <t>HORIZON-CL4-2024-RESILIENCE-01</t>
  </si>
  <si>
    <t>HORIZON-CL4-2024-RESILIENCE-01-TWO-STAGE</t>
  </si>
  <si>
    <t>HORIZON-CL4-2024-SPACE-01</t>
  </si>
  <si>
    <t>HORIZON-CL4-2024-TWIN-TRANSITION-01-TWO-STAGE</t>
  </si>
  <si>
    <t>HORIZON-CL4-2024-TWIN-TRANSITION-01</t>
  </si>
  <si>
    <t>HORIZON-CL5-2021-D1-01</t>
  </si>
  <si>
    <t>HORIZON-CL5-2021-D2-01</t>
  </si>
  <si>
    <t>HORIZON-CL5-2021-D3-01</t>
  </si>
  <si>
    <t>HORIZON-CL5-2021-D3-02</t>
  </si>
  <si>
    <t>HORIZON-CL5-2021-D3-03</t>
  </si>
  <si>
    <t>HORIZON-CL5-2021-D4-01</t>
  </si>
  <si>
    <t>HORIZON-CL5-2021-D4-02</t>
  </si>
  <si>
    <t>HORIZON-CL5-2021-D5-01</t>
  </si>
  <si>
    <t>HORIZON-CL5-2021-D6-01</t>
  </si>
  <si>
    <t>HORIZON-CL5-2022-D1-01-two-stage</t>
  </si>
  <si>
    <t>HORIZON-CL5-2022-D1-02</t>
  </si>
  <si>
    <t>HORIZON-CL5-2022-D2-01</t>
  </si>
  <si>
    <t>HORIZON-CL5-2022-D3-01</t>
  </si>
  <si>
    <t>HORIZON-CL5-2022-D3-02</t>
  </si>
  <si>
    <t>HORIZON-CL5-2022-D3-03</t>
  </si>
  <si>
    <t>HORIZON-CL5-2022-D4-01</t>
  </si>
  <si>
    <t>HORIZON-CL5-2022-D4-02</t>
  </si>
  <si>
    <t>HORIZON-CL5-2022-D5-01</t>
  </si>
  <si>
    <t>HORIZON-CL5-2022-D6-01</t>
  </si>
  <si>
    <t>HORIZON-CL5-2022-D6-02</t>
  </si>
  <si>
    <t>HORIZON-CL5-2023-D1-01</t>
  </si>
  <si>
    <t>HORIZON-CL5-2023-D1-02</t>
  </si>
  <si>
    <t>HORIZON-CL5-2023-D2-01</t>
  </si>
  <si>
    <t>HORIZON-CL5-2023-D2-02</t>
  </si>
  <si>
    <t>HORIZON-CL5-2023-D3-01</t>
  </si>
  <si>
    <t>HORIZON-CL5-2023-D3-02</t>
  </si>
  <si>
    <t>HORIZON-CL5-2023-D3-03</t>
  </si>
  <si>
    <t>HORIZON-CL5-2023-D4-01</t>
  </si>
  <si>
    <t>HORIZON-CL5-2023-D4-02</t>
  </si>
  <si>
    <t>HORIZON-CL5-2023-D5-01</t>
  </si>
  <si>
    <t>HORIZON-CL5-2023-D6-01</t>
  </si>
  <si>
    <t>HORIZON-CL5-2024-D1-01</t>
  </si>
  <si>
    <t>HORIZON-CL5-2024-D2-01</t>
  </si>
  <si>
    <t>HORIZON-CL5-2024-D2-02</t>
  </si>
  <si>
    <t>HORIZON-CL5-2024-D3-01</t>
  </si>
  <si>
    <t>HORIZON-CL5-2024-D3-02</t>
  </si>
  <si>
    <t>HORIZON-CL5-2024-D4-01</t>
  </si>
  <si>
    <t>HORIZON-CL5-2024-D4-02</t>
  </si>
  <si>
    <t>HORIZON-CL5-2024-D5-01</t>
  </si>
  <si>
    <t>HORIZON-CL5-2024-D6-01</t>
  </si>
  <si>
    <t>HORIZON-CL6-2021-BIODIV-01</t>
  </si>
  <si>
    <t>HORIZON-CL6-2021-BIODIV-02</t>
  </si>
  <si>
    <t>HORIZON-CL6-2021-CIRCBIO-01</t>
  </si>
  <si>
    <t>HORIZON-CL6-2021-CLIMATE-01</t>
  </si>
  <si>
    <t>HORIZON-CL6-2021-COMMUNITIES-01</t>
  </si>
  <si>
    <t>HORIZON-CL6-2021-FARM2FORK-01</t>
  </si>
  <si>
    <t>HORIZON-CL6-2021-GOVERNANCE-01</t>
  </si>
  <si>
    <t>HORIZON-CL6-2021-ZEROPOLLUTION-01</t>
  </si>
  <si>
    <t>HORIZON-CL6-2022-BIODIV-01</t>
  </si>
  <si>
    <t>HORIZON-CL6-2022-BIODIV-02-two-stage</t>
  </si>
  <si>
    <t>HORIZON-CL6-2022-CIRCBIO-01</t>
  </si>
  <si>
    <t>HORIZON-CL6-2022-CIRCBIO-02-two-stage</t>
  </si>
  <si>
    <t>HORIZON-CL6-2022-CLIMATE-01</t>
  </si>
  <si>
    <t>HORIZON-CL6-2022-COMMUNITIES-01</t>
  </si>
  <si>
    <t>HORIZON-CL6-2022-COMMUNITIES-02-two-stage</t>
  </si>
  <si>
    <t>HORIZON-CL6-2022-FARM2FORK-01</t>
  </si>
  <si>
    <t>HORIZON-CL6-2022-FARM2FORK-02-two-stage</t>
  </si>
  <si>
    <t>HORIZON-CL6-2022-GOVERNANCE-01</t>
  </si>
  <si>
    <t>HORIZON-CL6-2022-ZEROPOLLUTION-01</t>
  </si>
  <si>
    <t>HORIZON-CL6-2023-BIODIV-01</t>
  </si>
  <si>
    <t>HORIZON-CL6-2023-CLIMATE-01</t>
  </si>
  <si>
    <t>HORIZON-CL6-2023-COMMUNITIES-01</t>
  </si>
  <si>
    <t>HORIZON-CL6-2023-CIRCBIO-01</t>
  </si>
  <si>
    <t>HORIZON-CL6-2023-CIRCBIO-02</t>
  </si>
  <si>
    <t>HORIZON-CL6-2023-FARM2FORK-01</t>
  </si>
  <si>
    <t>HORIZON-CL6-2023-GOVERNANCE-01</t>
  </si>
  <si>
    <t>HORIZON-CL6-2023-GOVERNANCE-02</t>
  </si>
  <si>
    <t>HORIZON-CL6-2023-ZEROPOLLUTION-01</t>
  </si>
  <si>
    <t>HORIZON-CL6-2023-ZEROPOLLUTION-02</t>
  </si>
  <si>
    <t>HORIZON-CL6-2024-BIODIV-01</t>
  </si>
  <si>
    <t>HORIZON-CL6-2024-BIODIV-02</t>
  </si>
  <si>
    <t>HORIZON-CL6-2024-CLIMATE-01</t>
  </si>
  <si>
    <t>HORIZON-CL6-2024-CLIMATE-02</t>
  </si>
  <si>
    <t>HORIZON-CL6-2024-COMMUNITIES-01</t>
  </si>
  <si>
    <t>HORIZON-CL6-2024-COMMUNITIES-02</t>
  </si>
  <si>
    <t>HORIZON-CL6-2024-CIRCBIO-01</t>
  </si>
  <si>
    <t>HORIZON-CL6-2024-CIRCBIO-02</t>
  </si>
  <si>
    <t>HORIZON-CL6-2024-FARM2FORK-01</t>
  </si>
  <si>
    <t>HORIZON-CL6-2024-FARM2FORK-02</t>
  </si>
  <si>
    <t>HORIZON-CL6-2024-FARM2FORK-03</t>
  </si>
  <si>
    <t>HORIZON-CL6-2024-GOVERNANCE-01</t>
  </si>
  <si>
    <t>HORIZON-CL6-2024-GOVERNANCE-02</t>
  </si>
  <si>
    <t>HORIZON-CL6-2024-ZEROPOLLUTION-01</t>
  </si>
  <si>
    <t>HORIZON-CL6-2024-ZEROPOLLUTION-02</t>
  </si>
  <si>
    <t>HORIZON-ER-JU-2022-02</t>
  </si>
  <si>
    <t>HORIZON-ER-JU-2022-01</t>
  </si>
  <si>
    <t>HORIZON-JU-ER-2023-01</t>
  </si>
  <si>
    <t>HORIZON-ER-JU-2024-01</t>
  </si>
  <si>
    <t>HORIZON-EUROHPC-JU-2021-COE-01</t>
  </si>
  <si>
    <t>HORIZON-EUROHPC-JU-2022-ALG-02</t>
  </si>
  <si>
    <t>HORIZON-EUROHPC-JU-2022-INCO-04</t>
  </si>
  <si>
    <t>HORIZON-EUROHPC-JU-2022-TECH-03</t>
  </si>
  <si>
    <t>HORIZON-EUROHPC-JU-2023-COE-01</t>
  </si>
  <si>
    <t>HORIZON-EUROHPC-JU-2023-COE-03</t>
  </si>
  <si>
    <t>HORIZON-EUROHPC-JU-2023-ENERGY-04</t>
  </si>
  <si>
    <t>HORIZON-EUROHPC-JU-2023-INCO-06</t>
  </si>
  <si>
    <t>HORIZON-EUROHPC-JU-2023-INTER-02</t>
  </si>
  <si>
    <t>HORIZON-EUROHPC-JU-2023-QEC-05</t>
  </si>
  <si>
    <t>HORIZON-EUROHPC-JU-2024-DARE-SGA-04</t>
  </si>
  <si>
    <t>HORIZON-EUSPA-2021-SPACE</t>
  </si>
  <si>
    <t>HORIZON-EUSPA-2022-MARITIME-PRIZE</t>
  </si>
  <si>
    <t>HORIZON-EUSPA-2022-SPACE</t>
  </si>
  <si>
    <t>HORIZON-EUSPA-2023-SPACE</t>
  </si>
  <si>
    <t>HORIZON-EUSPA-2023-SPACE-PRS-2</t>
  </si>
  <si>
    <t>HORIZON-EUSPA-2023-SPACE-PRS</t>
  </si>
  <si>
    <t>HORIZON-HLTH-2021-CARE-05</t>
  </si>
  <si>
    <t>HORIZON-HLTH-2021-CORONA-01</t>
  </si>
  <si>
    <t>HORIZON-HLTH-2021-DISEASE-04</t>
  </si>
  <si>
    <t>HORIZON-HLTH-2021-ENVHLTH-02</t>
  </si>
  <si>
    <t>HORIZON-HLTH-2021-ENVHLTH-03</t>
  </si>
  <si>
    <t>HORIZON-HLTH-2021-IND-07</t>
  </si>
  <si>
    <t>HORIZON-HLTH-2021-STAYHLTH-01</t>
  </si>
  <si>
    <t>HORIZON-HLTH-2021-TOOL-06</t>
  </si>
  <si>
    <t>HORIZON-HLTH-2022-CARE-08</t>
  </si>
  <si>
    <t>HORIZON-HLTH-2022-CARE-10</t>
  </si>
  <si>
    <t>HORIZON-HLTH-2022-DISEASE-03</t>
  </si>
  <si>
    <t>HORIZON-HLTH-2022-DISEASE-06-two-stage</t>
  </si>
  <si>
    <t>HORIZON-HLTH-2022-DISEASE-07</t>
  </si>
  <si>
    <t>HORIZON-HLTH-2022-ENVHLTH-04</t>
  </si>
  <si>
    <t>HORIZON-HLTH-2022-IND-13</t>
  </si>
  <si>
    <t>HORIZON-HLTH-2022-STAYHLTH-01-two-stage</t>
  </si>
  <si>
    <t>HORIZON-HLTH-2022-STAYHLTH-02</t>
  </si>
  <si>
    <t>HORIZON-HLTH-2022-TOOL-11</t>
  </si>
  <si>
    <t>HORIZON-HLTH-2022-TOOL-12-two-stage</t>
  </si>
  <si>
    <t>HORIZON-HLTH-2023-CARE-04</t>
  </si>
  <si>
    <t>HORIZON-HLTH-2023-CARE-08</t>
  </si>
  <si>
    <t>HORIZON-HLTH-2023-DISEASE-03</t>
  </si>
  <si>
    <t>HORIZON-HLTH-2023-DISEASE-07</t>
  </si>
  <si>
    <t>HORIZON-HLTH-2023-ENVHLTH-02</t>
  </si>
  <si>
    <t>HORIZON-HLTH-2023-IND-06</t>
  </si>
  <si>
    <t>HORIZON-HLTH-2023-STAYHLTH-01</t>
  </si>
  <si>
    <t>HORIZON-HLTH-2023-TOOL-05</t>
  </si>
  <si>
    <t>HORIZON-HLTH-2024-CARE-04-two-stage</t>
  </si>
  <si>
    <t>HORIZON-HLTH-2024-CARE-14</t>
  </si>
  <si>
    <t>HORIZON-HLTH-2024-DISEASE-03-two-stage</t>
  </si>
  <si>
    <t>HORIZON-HLTH-2024-DISEASE-08</t>
  </si>
  <si>
    <t>HORIZON-HLTH-2024-DISEASE-09</t>
  </si>
  <si>
    <t>HORIZON-HLTH-2024-DISEASE-12</t>
  </si>
  <si>
    <t>HORIZON-HLTH-2024-DISEASE-13</t>
  </si>
  <si>
    <t>HORIZON-HLTH-2024-DISEASE-17</t>
  </si>
  <si>
    <t>HORIZON-HLTH-2024-ENVHLTH-02-two-stage</t>
  </si>
  <si>
    <t>HORIZON-HLTH-2024-IND-06</t>
  </si>
  <si>
    <t>HORIZON-HLTH-2024-STAYHLTH-01-two-stage</t>
  </si>
  <si>
    <t>HORIZON-HLTH-2024-TOOL-05-two-stage</t>
  </si>
  <si>
    <t>HORIZON-HLTH-2024-TOOL-11</t>
  </si>
  <si>
    <t>HORIZON-JTI-CLEANH2-2022-1</t>
  </si>
  <si>
    <t>HORIZON-JTI-CLEANH2-2022-2</t>
  </si>
  <si>
    <t>HORIZON-JTI-CLEANH2-2023-1</t>
  </si>
  <si>
    <t>HORIZON-JTI-CLEANH2-2024</t>
  </si>
  <si>
    <t>HORIZON-JU-CBE-2022</t>
  </si>
  <si>
    <t>HORIZON-JU-CBE-2023-2</t>
  </si>
  <si>
    <t>HORIZON-JU-CBE-2023</t>
  </si>
  <si>
    <t>HORIZON-JU-CBE-2024</t>
  </si>
  <si>
    <t>HORIZON-JU-Clean-Aviation-2022-01</t>
  </si>
  <si>
    <t>HORIZON-JU-Clean-Aviation-2023-01</t>
  </si>
  <si>
    <t>HORIZON-JU-Chips-2023-RIA-CPL</t>
  </si>
  <si>
    <t>HORIZON-JU-Chips-2024-1-IA</t>
  </si>
  <si>
    <t>HORIZON-JU-Chips-2024-2-RIA</t>
  </si>
  <si>
    <t>HORIZON-JU-Chips-2024-3-RIA</t>
  </si>
  <si>
    <t>HORIZON-JU-GH-EDCTP3-2022-01</t>
  </si>
  <si>
    <t>HORIZON-JU-GH-EDCTP3-2023-01</t>
  </si>
  <si>
    <t>HORIZON-JU-GH-EDCTP3-2023-02-two-stage</t>
  </si>
  <si>
    <t>HORIZON-JU-GH-EDCTP3-2024-01-two-stage</t>
  </si>
  <si>
    <t>HORIZON-JU-GH-EDCTP3-2024-02-two-stage</t>
  </si>
  <si>
    <t>HORIZON-JU-GH-EDCTP3-2024-Mpox</t>
  </si>
  <si>
    <t>HORIZON-JU-IHI-2022-01-single-stage</t>
  </si>
  <si>
    <t>HORIZON-JU-IHI-2022-02-two-stage</t>
  </si>
  <si>
    <t>HORIZON-JU-IHI-2022-03-single-stage</t>
  </si>
  <si>
    <t>HORIZON-JU-IHI-2023-04-two-stage</t>
  </si>
  <si>
    <t>HORIZON-JU-IHI-2023-05</t>
  </si>
  <si>
    <t>HORIZON-JU-IHI-2024-06-two-stage</t>
  </si>
  <si>
    <t>HORIZON-JU-IHI-2024-07-single-stage</t>
  </si>
  <si>
    <t>HORIZON-JU-SNS-2022</t>
  </si>
  <si>
    <t>HORIZON-JU-SNS-2023</t>
  </si>
  <si>
    <t>HORIZON-JU-SNS-2024</t>
  </si>
  <si>
    <t>HORIZON-KDT-JU-2021-1-IA</t>
  </si>
  <si>
    <t>HORIZON-KDT-JU-2021-2-RIA</t>
  </si>
  <si>
    <t>HORIZON-KDT-JU-2021-3-CSA</t>
  </si>
  <si>
    <t>HORIZON-KDT-JU-2022-1-IA</t>
  </si>
  <si>
    <t>HORIZON-KDT-JU-2022-2-RIA</t>
  </si>
  <si>
    <t>HORIZON-KDT-JU-2023-1-IA</t>
  </si>
  <si>
    <t>HORIZON-KDT-JU-2023-2-RIA</t>
  </si>
  <si>
    <t>HORIZON-KDT-JU-2023-3-CSA-IA</t>
  </si>
  <si>
    <t>HORIZON-MISS-2021-CANCER-02</t>
  </si>
  <si>
    <t>HORIZON-MISS-2021-CIT-01</t>
  </si>
  <si>
    <t>HORIZON-MISS-2021-CIT-02</t>
  </si>
  <si>
    <t>HORIZON-MISS-2021-CLIMA-01</t>
  </si>
  <si>
    <t>HORIZON-MISS-2021-CLIMA-02</t>
  </si>
  <si>
    <t>HORIZON-MISS-2021-COOR-01</t>
  </si>
  <si>
    <t>HORIZON-MISS-2021-NEB-01</t>
  </si>
  <si>
    <t>HORIZON-MISS-2021-OCEAN-01</t>
  </si>
  <si>
    <t>HORIZON-MISS-2021-OCEAN-02</t>
  </si>
  <si>
    <t>HORIZON-MISS-2021-OCEAN-03</t>
  </si>
  <si>
    <t>HORIZON-MISS-2021-OCEAN-04</t>
  </si>
  <si>
    <t>HORIZON-MISS-2021-OCEAN-05</t>
  </si>
  <si>
    <t>HORIZON-MISS-2021-SOIL-01</t>
  </si>
  <si>
    <t>HORIZON-MISS-2021-SOIL-02</t>
  </si>
  <si>
    <t>HORIZON-MISS-2021-UNCAN-01</t>
  </si>
  <si>
    <t>HORIZON-MISS-2022-CANCER-01</t>
  </si>
  <si>
    <t>HORIZON-MISS-2022-CIT-01</t>
  </si>
  <si>
    <t>HORIZON-MISS-2022-CLIMA-01</t>
  </si>
  <si>
    <t>HORIZON-MISS-2022-NCP-01</t>
  </si>
  <si>
    <t>HORIZON-MISS-2022-OCEAN-01</t>
  </si>
  <si>
    <t>HORIZON-MISS-2022-OCEANCLIMA-01</t>
  </si>
  <si>
    <t>HORIZON-MISS-2022-SOCIALCAT-01</t>
  </si>
  <si>
    <t>HORIZON-MISS-2022-SOIL-01</t>
  </si>
  <si>
    <t>HORIZON-MISS-2023-CANCER-01</t>
  </si>
  <si>
    <t>HORIZON-MISS-2023-CIT-01</t>
  </si>
  <si>
    <t>HORIZON-MISS-2023-CIT-02</t>
  </si>
  <si>
    <t>HORIZON-MISS-2023-CLIMA-01</t>
  </si>
  <si>
    <t>HORIZON-MISS-2023-CLIMA-CITIES-01</t>
  </si>
  <si>
    <t>HORIZON-MISS-2023-CLIMA-OCEAN-SOIL-01</t>
  </si>
  <si>
    <t>HORIZON-MISS-2023-OCEAN-01</t>
  </si>
  <si>
    <t>HORIZON-MISS-2023-SOIL-01</t>
  </si>
  <si>
    <t>HORIZON-MISS-2024-CANCER-01</t>
  </si>
  <si>
    <t>HORIZON-MISS-2024-CIT-01</t>
  </si>
  <si>
    <t>HORIZON-MISS-2024-CIT-02</t>
  </si>
  <si>
    <t>HORIZON-MISS-2024-CLIMA-01</t>
  </si>
  <si>
    <t>HORIZON-MISS-2024-CROSS-01</t>
  </si>
  <si>
    <t>HORIZON-MISS-2024-CROSS-02</t>
  </si>
  <si>
    <t>HORIZON-MISS-2024-NEB-01</t>
  </si>
  <si>
    <t>HORIZON-MISS-2024-OCEAN-01</t>
  </si>
  <si>
    <t>HORIZON-MISS-2024-OCEAN-02</t>
  </si>
  <si>
    <t>HORIZON-MISS-2024-SOIL-01</t>
  </si>
  <si>
    <t>HORIZON-SESAR-2022-DES-ER-01</t>
  </si>
  <si>
    <t>HORIZON-SESAR-2022-DES-IR-01</t>
  </si>
  <si>
    <t>HORIZON-SESAR-2023-DES-ER-02</t>
  </si>
  <si>
    <t>Protecting and nurturing democracies</t>
  </si>
  <si>
    <t>Research and innovation on cultural heritage and CCIs - 2021</t>
  </si>
  <si>
    <t>Engagement with stakeholders</t>
  </si>
  <si>
    <t>Inclusiveness in times of change</t>
  </si>
  <si>
    <t>Reshaping democracies</t>
  </si>
  <si>
    <t>Reshaping democracies II</t>
  </si>
  <si>
    <t>Research and innovation on cultural heritage and CCIs - 2022</t>
  </si>
  <si>
    <t>Research and innovation on cultural heritage and CCIs II- 2022</t>
  </si>
  <si>
    <t>A sustainable future for Europe</t>
  </si>
  <si>
    <t>A sustainable future for Europe II</t>
  </si>
  <si>
    <t>Standing up for democracy</t>
  </si>
  <si>
    <t>Research and innovation on cultural heritage and CCIs - 2023</t>
  </si>
  <si>
    <t>A European Collaborative Cloud for Cultural Heritage - 2023</t>
  </si>
  <si>
    <t>Past, present and future of democracies</t>
  </si>
  <si>
    <t>Research and innovation on cultural heritage and CCIs - 2024</t>
  </si>
  <si>
    <t>A European Collaborative Cloud for Cultural Heritage - 2024</t>
  </si>
  <si>
    <t>Border Management 2021</t>
  </si>
  <si>
    <t>Increased cybersecurity 2021</t>
  </si>
  <si>
    <t>Disaster-Resilient Society 2021</t>
  </si>
  <si>
    <t>Fighting Crime and Terrorism 2021</t>
  </si>
  <si>
    <t>Resilient Infrastructure 2021</t>
  </si>
  <si>
    <t>Support to Security Research and Innovation 2021</t>
  </si>
  <si>
    <t>Border Management 2022</t>
  </si>
  <si>
    <t>Increased cybersecurity 2022</t>
  </si>
  <si>
    <t>Disaster-Resilient Society 2022</t>
  </si>
  <si>
    <t>Fighting Crime and Terrorism 2022</t>
  </si>
  <si>
    <t>Resilient Infrastructure 2022</t>
  </si>
  <si>
    <t>Strengthened Security Research and Innovation 2022</t>
  </si>
  <si>
    <t>Border Management 2023</t>
  </si>
  <si>
    <t>Increased Cybersecurity 2023</t>
  </si>
  <si>
    <t>Disaster-Resilient Society 2023</t>
  </si>
  <si>
    <t>Fighting Crime and Terrorism 2023</t>
  </si>
  <si>
    <t>Resilient Infrastructure 2023</t>
  </si>
  <si>
    <t>Support to Security Research and Innovation 2023</t>
  </si>
  <si>
    <t>Border Management 2024</t>
  </si>
  <si>
    <t>Increased Cybersecurity 2024</t>
  </si>
  <si>
    <t>Disaster-Resilient Society 2024</t>
  </si>
  <si>
    <t>Fighting Crime and Terrorism 2024</t>
  </si>
  <si>
    <t>Resilient Infrastructure 2024</t>
  </si>
  <si>
    <t>Support to Security Research and Innovation 2024</t>
  </si>
  <si>
    <t>WORLD LEADING DATA AND COMPUTING TECHNOLOGIES 2021</t>
  </si>
  <si>
    <t>Digital and emerging technologies for competitiveness and fit for the green deal</t>
  </si>
  <si>
    <t>A HUMAN-CENTRED AND ETHICAL DEVELOPMENT OF DIGITAL AND INDUSTRIAL TECHNOLOGIES 2021</t>
  </si>
  <si>
    <t>A DIGITISED, RESOURCE-EFFICIENT AND RESILIENT INDUSTRY 2021</t>
  </si>
  <si>
    <t>STRATEGIC AUTONOMY IN DEVELOPING, DEPLOYING AND USING GLOBAL SPACE-BASED INFRASTRUCTURES, SERVICES, APPLICATIONS AND DATA 2021</t>
  </si>
  <si>
    <t>TWIN GREEN AND DIGITAL TRANSITION 2021</t>
  </si>
  <si>
    <t>WORLD LEADING DATA AND COMPUTING TECHNOLOGIES 2022</t>
  </si>
  <si>
    <t>A HUMAN-CENTRED AND ETHICAL DEVELOPMENT OF DIGITAL AND INDUSTRIAL TECHNOLOGIES 2022</t>
  </si>
  <si>
    <t>A DIGITISED, RESOURCE-EFFICIENT AND RESILIENT INDUSTRY 2022</t>
  </si>
  <si>
    <t>A DIGITISED, RESOURCE-EFFICIENT AND RESILIENT INDUSTRY 2021 (PCP)</t>
  </si>
  <si>
    <t>STRATEGIC AUTONOMY IN DEVELOPING, DEPLOYING AND USING GLOBAL SPACE-BASED INFRASTRUCTURES, SERVICES, APPLICATIONS AND DATA 2022</t>
  </si>
  <si>
    <t>CLIMATE NEUTRAL, CIRCULAR AND DIGITISED PRODUCTION 2022</t>
  </si>
  <si>
    <t>World leading data and computing technologies</t>
  </si>
  <si>
    <t>Digital and emerging technologies for competitiveness and fit for the Green Deal</t>
  </si>
  <si>
    <t>A human-centred and ethical development of digital and industrial technologies</t>
  </si>
  <si>
    <t>RESILIENT VALUE CHAINS 2023</t>
  </si>
  <si>
    <t>RESILIENT VALUE CHAINS 2023 TWO STAGE</t>
  </si>
  <si>
    <t>STRATEGIC AUTONOMY IN DEVELOPING, DEPLOYING AND USING GLOBAL SPACE-BASED INFRASTRUCTURES, SERVICES, APPLICATIONS AND DATA 2023</t>
  </si>
  <si>
    <t>TWIN GREEN AND DIGITAL TRANSITION 2023</t>
  </si>
  <si>
    <t>TWIN GREEN AND DIGITAL TRANSITION 2023 TWO STAGE</t>
  </si>
  <si>
    <t>Coordination and Support</t>
  </si>
  <si>
    <t>RESILIENT VALUE CHAINS 2024</t>
  </si>
  <si>
    <t>RESILIENT VALUE CHAINS 2024 TWO STAGE</t>
  </si>
  <si>
    <t>STRATEGIC AUTONOMY IN DEVELOPING, DEPLOYING AND USING GLOBAL SPACE-BASED INFRASTRUCTURES, SERVICES, APPLICATIONS AND DATA 2024</t>
  </si>
  <si>
    <t>TWIN GREEN AND DIGITAL TRANSITION 2024 TWO STAGE</t>
  </si>
  <si>
    <t>TWIN GREEN AND DIGITAL TRANSITION 2024</t>
  </si>
  <si>
    <t>Climate sciences and responses</t>
  </si>
  <si>
    <t>Cross-sectoral solutions for the climate transition</t>
  </si>
  <si>
    <t>Sustainable, secure and competitive energy supply</t>
  </si>
  <si>
    <t>Efficient, sustainable and inclusive energy use</t>
  </si>
  <si>
    <t>Clean and competitive solutions for all transport modes</t>
  </si>
  <si>
    <t>Safe, Resilient Transport and Smart Mobility services for passengers and goods</t>
  </si>
  <si>
    <t>Biodiversity and ecosystem services</t>
  </si>
  <si>
    <t>Circular economy and bioeconomy sectors</t>
  </si>
  <si>
    <t>Land, ocean and water for climate action</t>
  </si>
  <si>
    <t>Resilient, inclusive, healthy and green rural, coastal and urban communities</t>
  </si>
  <si>
    <t>Fair, healthy and environmentally-friendly food systems from primary production to consumption</t>
  </si>
  <si>
    <t>Innovative governance, environmental observations and digital solutions in support of the Green Deal</t>
  </si>
  <si>
    <t>Clean environment and zero pollution</t>
  </si>
  <si>
    <t>Innovative governance, environmental observations and  digital solutions in support of the Green Deal</t>
  </si>
  <si>
    <t>Land, oceans and water for climate action</t>
  </si>
  <si>
    <t>Innovative governance, environmental observations and digital solutions in  support of the Green Deal</t>
  </si>
  <si>
    <t>EU-RAIL JU Call Proposals 2022-02</t>
  </si>
  <si>
    <t>EU-RAIL JU Call Proposals 2022-01</t>
  </si>
  <si>
    <t>EU-RAIL JU Call Proposals 2023-01</t>
  </si>
  <si>
    <t>EU-RAIL JU Call Proposals 2024-01</t>
  </si>
  <si>
    <t>CENTRES OF EXCELLENCE FOR HPC APPLICATIONS</t>
  </si>
  <si>
    <t>New algorithms for applications on European exascale supercomputers</t>
  </si>
  <si>
    <t>EuroHPC International Cooperation</t>
  </si>
  <si>
    <t>Framework Partnership Agreement (FPA) for developing a large-scale European initiative for High Performance Computing (HPC) ecosystem based on RISC-V</t>
  </si>
  <si>
    <t>Call on Centres Of Excellence For Exascale HPC Applications</t>
  </si>
  <si>
    <t>Energy Efficient Technologies in HPC</t>
  </si>
  <si>
    <t>Innovation Action in Low Latency and High Bandwidth Interconnects</t>
  </si>
  <si>
    <t>European Quantum Excellence Centres (QECs) in applications for science and industry</t>
  </si>
  <si>
    <t>Specific Grant Agreement (SGA) for Developing large-scale European High Performance Computing (HPC) technologies based on RISC-V</t>
  </si>
  <si>
    <t>STRATEGIC AUTONOMY IN DEVELOPING, DEPLOYING AND USING GLOBAL SPACE-BASED INFRASTRUCTURES, SERVICES, APPLICATIONS AND DATA 2021 - APPLICATIONS</t>
  </si>
  <si>
    <t>EIC Horizon and CASSINI Prize for digital space applications</t>
  </si>
  <si>
    <t>Strategic autonomy in developing, deploying and using global space-based infrastructures, services, applications and data 2022 - applications</t>
  </si>
  <si>
    <t>STRATEGIC AUTONOMY IN DEVELOPING, DEPLOYING AND USING GLOBAL SPACE-BASED INFRASTRUCTURES, SERVICES, APPLICATIONS AND DATA 2023 - APPLICATIONS</t>
  </si>
  <si>
    <t>Galileo Public Regulated Service Use Cases</t>
  </si>
  <si>
    <t>Ensuring access to innovative, sustainable and high-quality health care (2021)</t>
  </si>
  <si>
    <t>COVID19 - HERA Incubator</t>
  </si>
  <si>
    <t>Tackling diseases (2021)</t>
  </si>
  <si>
    <t>Environment and health (2021)</t>
  </si>
  <si>
    <t>Partnerships in Health (2021)</t>
  </si>
  <si>
    <t>A competitive health-related industry (2021)</t>
  </si>
  <si>
    <t>Staying Healthy (2021)</t>
  </si>
  <si>
    <t>Tools and technologies for a healthy society (2021)</t>
  </si>
  <si>
    <t>Ensuring access to innovative, sustainable and high-quality health care (Single Stage - 2022)</t>
  </si>
  <si>
    <t>Partnerships in Health (2022)</t>
  </si>
  <si>
    <t>Tackling diseases (Two Stage - 2022)</t>
  </si>
  <si>
    <t>Tackling diseases (Single Stage - 2022)</t>
  </si>
  <si>
    <t>Environment and health (Single Stage - 2022)</t>
  </si>
  <si>
    <t>A competitive health-related industry (2022)</t>
  </si>
  <si>
    <t>Staying healthy (Two stage - 2022)</t>
  </si>
  <si>
    <t>Staying healthy (Single stage, 2022)</t>
  </si>
  <si>
    <t>Tools and technologies for a healthy society (Single Stage - 2022)</t>
  </si>
  <si>
    <t>Tools and technologies for a healthy society (two-stages - 2022)</t>
  </si>
  <si>
    <t>Ensuring access to innovative, sustainable and high-quality health care (Single stage - 2023)</t>
  </si>
  <si>
    <t>Partnerships in Health (2023)</t>
  </si>
  <si>
    <t>Tackling diseases (Single stage - 2023)</t>
  </si>
  <si>
    <t>Environment and health (Single stage - 2023)</t>
  </si>
  <si>
    <t>A competitive health-related industry (Single stage - 2023)</t>
  </si>
  <si>
    <t>Staying Healthy (Single stage - 2023)</t>
  </si>
  <si>
    <t>Tools and technologies for a healthy society (Single stage - 2023)</t>
  </si>
  <si>
    <t>Ensuring access to innovative, sustainable and high-quality health care (Two stage - 2024)</t>
  </si>
  <si>
    <t>Ensuring access to innovative, sustainable and high-quality health care (Single stage - 2024)</t>
  </si>
  <si>
    <t>Tackling diseases (Two stage - 2024)</t>
  </si>
  <si>
    <t>Tackling diseases (Single stage - 2024)</t>
  </si>
  <si>
    <t>Partnerships in Health (2024)</t>
  </si>
  <si>
    <t>Environment and health (Two stage - 2024)</t>
  </si>
  <si>
    <t>A competitive health-related industry (Single stage - 2024)</t>
  </si>
  <si>
    <t>Staying Healthy (Two stage - 2024)</t>
  </si>
  <si>
    <t>Tools and technologies for a healthy society (Two stage - 2024)</t>
  </si>
  <si>
    <t>Tools and technologies for a healthy society (Single stage - 2024)</t>
  </si>
  <si>
    <t>HORIZON-JTI-CLEANH2-2022</t>
  </si>
  <si>
    <t>Clean Aviation CfP 01</t>
  </si>
  <si>
    <t>Clean Aviation CfP 02</t>
  </si>
  <si>
    <t>Call for proposals for Set-up, integration and process development</t>
  </si>
  <si>
    <t>Research and Innovation actions supporting the global health EDCTP3 Joint Undertaking</t>
  </si>
  <si>
    <t>Research and Innovation actions supporting the Global Health EDCTP3 Joint Undertaking</t>
  </si>
  <si>
    <t>Coordination and Support actions supporting the Global Health EDCTP3 Joint Undertaking</t>
  </si>
  <si>
    <t>Mobilisation of Emergency funding for Mpox outbreak research response</t>
  </si>
  <si>
    <t>Innovative Health Initiative JU Call 4</t>
  </si>
  <si>
    <t>Innovative Health Initiative JU Call 5</t>
  </si>
  <si>
    <t>Innovative Health Initiative JU Call 6</t>
  </si>
  <si>
    <t>Innovative Health Initiative JU Call 7</t>
  </si>
  <si>
    <t>KDT-JU-2021-3-CSA - A Pan-European chip infrastructure for design innovation</t>
  </si>
  <si>
    <t>Research and Innovation actions supporting the implementation of the Mission on Cancer</t>
  </si>
  <si>
    <t>Supporting the transition towards climate neutrality within cities</t>
  </si>
  <si>
    <t>Research and Innovation actions to support the implementation of the Climate-Neutral and Smart Cities Mission</t>
  </si>
  <si>
    <t>Better prepared regional and local authorities to adapt to climate change</t>
  </si>
  <si>
    <t>Research and Innovation actions in support of the implementation of the Adaptation to Climate Change Mission</t>
  </si>
  <si>
    <t>Coordination of complementary actions for missions</t>
  </si>
  <si>
    <t>Support the deployment of lighthouse demonstrators for the New European Bauhaus initiative in the context of Horizon Europe missions</t>
  </si>
  <si>
    <t>Preparation for deployment of ‘lighthouse demonstrators’ and solution scale ups and cross-cutting citizen and stakeholder involvement</t>
  </si>
  <si>
    <t>Protect and restore marine and fresh water ecosystems and biodiversity</t>
  </si>
  <si>
    <t>Prevent and eliminate pollution of our ocean, seas and waters</t>
  </si>
  <si>
    <t>Sustainable, carbon-neutral and circular Blue economy</t>
  </si>
  <si>
    <t>Mission Enabling activities: Digital knowledge system, public mobilisation and engagement, dynamic investment ecosystem</t>
  </si>
  <si>
    <t>Preparing the ground for healthy soils: building capacities for engagement, outreach and knowledge</t>
  </si>
  <si>
    <t>Research and Innovation and other actions to support the implementation of a mission in the area of  Soil health and Food</t>
  </si>
  <si>
    <t>Preparing UNCAN.eu, a European initiative to understand cancer</t>
  </si>
  <si>
    <t>Research and Innovation actions for support the implementation of the Climate-neutral and Smart Cities Mission</t>
  </si>
  <si>
    <t>National Contact Points Network</t>
  </si>
  <si>
    <t>Actions for the implementation of the Mission Restore our ocean and waters by 2030</t>
  </si>
  <si>
    <t>Joint Demonstration</t>
  </si>
  <si>
    <t>A European Social Innovation Catalyst Fund to Advance EU Mission Objectives by Replicating and Scaling-up Existing, Demonstrably Successful Social Innovations</t>
  </si>
  <si>
    <t>Research and Innovation actions to support the implementation of the Soil health and Food Mission</t>
  </si>
  <si>
    <t>Research and Innovation actions to support the implementation of the Climate-neutral and Smart Cities Mission</t>
  </si>
  <si>
    <t>Associating Ukrainian cities to the Climate-neutral and smart cities Mission</t>
  </si>
  <si>
    <t>Demonstration of climate resilience solutions in support of the implementation of the Adaptation to Climate Change Mission</t>
  </si>
  <si>
    <t>Demonstration of climate mitigation and resilience solutions in support of the implementation of the Adaptation to Climate Change and Cities Missions</t>
  </si>
  <si>
    <t>Demonstration of climate mitigation and resilience solutions in support of the implementation of the Adaptation to Climate Change, Restore our Ocean and Waters by 2030 and A Soil Deal for Europe Missions</t>
  </si>
  <si>
    <t>Research and Innovation and other actions to support the implementation of mission A Soil Deal for Europe</t>
  </si>
  <si>
    <t>Changing urban spaces and mindsets to accelerate the transition to climate neutrality</t>
  </si>
  <si>
    <t>Support for national, regional and local authorities</t>
  </si>
  <si>
    <t>Supporting the implementation of the EU Mission Adaptation to Climate Change</t>
  </si>
  <si>
    <t>Cross-cutting actions</t>
  </si>
  <si>
    <t>Cross-cutting actions (2)</t>
  </si>
  <si>
    <t>Transforming neighbourhoods, making them beautiful, sustainable, and inclusive</t>
  </si>
  <si>
    <t>Support to communities of actors for the Mission Restore our ocean and waters by 2030</t>
  </si>
  <si>
    <t>Research and Innovation and other actions to support the implementation of Mission 'A Soil Deal for Europe'</t>
  </si>
  <si>
    <t>Digital European Sky Exploratory Research 01</t>
  </si>
  <si>
    <t>Digital European Sky Industrial Research 01</t>
  </si>
  <si>
    <t>Digital European Sky Exploratory Research 02</t>
  </si>
  <si>
    <t>The future of liberal democracy in Europe</t>
  </si>
  <si>
    <t>Economic models and modern democracies</t>
  </si>
  <si>
    <t>Feminisms for a new age of democracy</t>
  </si>
  <si>
    <t>Democratic politics in the EU’s neighbourhood</t>
  </si>
  <si>
    <t>Politics and governance in a post-pandemic world</t>
  </si>
  <si>
    <t>Green technologies and materials for cultural heritage</t>
  </si>
  <si>
    <t>New ways of participatory management and sustainable financing of museums and other cultural institutions</t>
  </si>
  <si>
    <t>Cultural and creative industries as a driver of innovation and competitiveness</t>
  </si>
  <si>
    <t>Preserving and enhancing cultural heritage with advanced digital technologies</t>
  </si>
  <si>
    <t>Mobilising the network of National Contact Points in Cluster 2</t>
  </si>
  <si>
    <t>Coordination of European cultural heritage research and innovation among Member States</t>
  </si>
  <si>
    <t>Estimates of irregular migrants in Europe - stakeholder network</t>
  </si>
  <si>
    <t>Providing support in a changing world of work and social protection</t>
  </si>
  <si>
    <t>Determining key drivers of inequality trends</t>
  </si>
  <si>
    <t>Addressing poor learning outcomes in basic skills and early school leaving at national, regional and local level in Europe</t>
  </si>
  <si>
    <t>Integration of emerging new technologies into education and training</t>
  </si>
  <si>
    <t>Towards a new normal? Employment and social impacts of changing supply chains and declining trade intensities</t>
  </si>
  <si>
    <t>Upgrading Independent Knowledge on Contemporary China in Europe</t>
  </si>
  <si>
    <t>Artificial intelligence, big data and democracy</t>
  </si>
  <si>
    <t>The future of democracy and civic participation</t>
  </si>
  <si>
    <t>The impact of inequalities on democracy</t>
  </si>
  <si>
    <t>Education for democracy</t>
  </si>
  <si>
    <t>Evolution of political extremism and its influence on contemporary social and political dialogue</t>
  </si>
  <si>
    <t>Media for democracy – democratic media</t>
  </si>
  <si>
    <t>Politics and the impact of online social networks and new media</t>
  </si>
  <si>
    <t>Representative democracy in flux</t>
  </si>
  <si>
    <t>Global governance for a world in transition: Norms, institutions, actors</t>
  </si>
  <si>
    <t>Network for innovative solutions for the future of democracy</t>
  </si>
  <si>
    <t>Safeguarding endangered languages in Europe</t>
  </si>
  <si>
    <t>Europe’s cultural heritage and arts - promoting our values at home and abroad</t>
  </si>
  <si>
    <t>The role of perceptions, formed by traditions, values and beliefs, in shaping European societies and politics in the 21st century</t>
  </si>
  <si>
    <t>Traditional crafts for the future: a new approach</t>
  </si>
  <si>
    <t>Towards a competitive, fair and sustainable European music ecosystem</t>
  </si>
  <si>
    <t>Increase the potential of the international competitiveness of the European filmmaking industry</t>
  </si>
  <si>
    <t>Protection of artefacts and cultural goods from anthropogenic threats</t>
  </si>
  <si>
    <t>Effects of climate change and natural hazards on cultural heritage and remediation</t>
  </si>
  <si>
    <t>Games and culture shaping our society</t>
  </si>
  <si>
    <t>The New European Bauhaus – shaping a greener and fairer way of life in creative and inclusive societies through Architecture, Design and Arts</t>
  </si>
  <si>
    <t>A culture and creativity driven European innovation ecosystem – a collaborative platform</t>
  </si>
  <si>
    <t>Public policies and indicators for well-being and sustainable development</t>
  </si>
  <si>
    <t>The impact of spatial mobility on European demographics, society, welfare system and labour market</t>
  </si>
  <si>
    <t>Conditions of irregular migrants in Europe</t>
  </si>
  <si>
    <t>Decision-making processes of (aspiring) migrants</t>
  </si>
  <si>
    <t>Gender and social, economic and cultural empowerment</t>
  </si>
  <si>
    <t>Overcoming discrimination for an inclusive labour market</t>
  </si>
  <si>
    <t>Conditions for the successful development of skills matched to needs</t>
  </si>
  <si>
    <t>Strengthening racial, ethnic and religious equality</t>
  </si>
  <si>
    <t>Return and readmission of irregular migrants in the EU</t>
  </si>
  <si>
    <t>Socio-economic effects of ageing societies</t>
  </si>
  <si>
    <t>Knowledge platform and network for social impact assessment of green transition policies</t>
  </si>
  <si>
    <t>Detecting, analysing and countering foreign information manipulation and interference</t>
  </si>
  <si>
    <t>Developing a better understanding of information suppression by state authorities as an example of foreign information manipulation and interference</t>
  </si>
  <si>
    <t>New approaches for combatting corruption and other undue influences on political decision-making</t>
  </si>
  <si>
    <t>The emotional politics of democracies</t>
  </si>
  <si>
    <t>The climate imperative and its impact on democratic governance</t>
  </si>
  <si>
    <t>Democratic governance for times of disruptive changes to the social contract</t>
  </si>
  <si>
    <t>Intersectionality and equality in deliberative and participatory democratic spaces</t>
  </si>
  <si>
    <t>Political perspectives for the Eastern Neighbourhood and the Western Balkans</t>
  </si>
  <si>
    <t>Advanced technologies for remote monitoring of heritage monuments and artefacts</t>
  </si>
  <si>
    <t>Cultural and creative industries for a sustainable climate transition</t>
  </si>
  <si>
    <t>Re-visiting the digitisation of cultural heritage: What, how and why?</t>
  </si>
  <si>
    <t>Cultural heritage in transformation – facing change with confidence</t>
  </si>
  <si>
    <t>Fostering socio-economic development and job creation in rural and remote areas through cultural tourism</t>
  </si>
  <si>
    <t>A world leading European video game innovation system</t>
  </si>
  <si>
    <t>Promoting cultural literacy through arts education to foster social inclusion</t>
  </si>
  <si>
    <t>Cultural and creative approaches for gender-responsive STEAM education</t>
  </si>
  <si>
    <t>A European Collaborative Cloud for Cultural Heritage</t>
  </si>
  <si>
    <t>A European Collaborative Cloud for Cultural Heritage – Innovative tools for digitising cultural heritage objects</t>
  </si>
  <si>
    <t>Remote working arrangements and their economic, social and spatial effects</t>
  </si>
  <si>
    <t>Towards sustainable economic policy paradigms</t>
  </si>
  <si>
    <t>Global Shortages and Skill Partnerships</t>
  </si>
  <si>
    <t>Bridging the migration research to policy gap</t>
  </si>
  <si>
    <t>Efficiency and effectiveness of investment in high-quality education and training</t>
  </si>
  <si>
    <t>Mapping of longitudinal data and assessment of inequalities in education, training and learning achievements</t>
  </si>
  <si>
    <t>Tackling European skills and labour shortages</t>
  </si>
  <si>
    <t>Integrated care solutions leading to better quality, person-centred long-term care and overcoming territorial inequalities in their provision</t>
  </si>
  <si>
    <t>Addressing housing inequalities in a sustainable, inclusive and affordable way</t>
  </si>
  <si>
    <t>Tackling inequalities in the green and digital transitions</t>
  </si>
  <si>
    <t>Protest politics and cultures of opposition in democracy</t>
  </si>
  <si>
    <t>Multilevel governance in times of digital and climate transitions</t>
  </si>
  <si>
    <t>What is the long-term impact of rule of law and other European values on socio-economic outcomes?</t>
  </si>
  <si>
    <t>The interrelation between social, cultural and political identities, as well as the sense of belonging, and democracies</t>
  </si>
  <si>
    <t>Gender-roles in extremist movements and their impact on democracy</t>
  </si>
  <si>
    <t>Computational Social Science approaches in research on democracy</t>
  </si>
  <si>
    <t>Digital democracy</t>
  </si>
  <si>
    <t>Culture, the arts and cultural spaces for democratic participation and political expression, online and offline</t>
  </si>
  <si>
    <t>The role and functioning of public administrations in democratic systems</t>
  </si>
  <si>
    <t>Political participation in multilingual spaces</t>
  </si>
  <si>
    <t>Future scenarios and young visions for European democracy 2040</t>
  </si>
  <si>
    <t>Testing and implementation of research results fostering democracy and governance</t>
  </si>
  <si>
    <t>New European Bauhaus – Innovative solutions for greener and fairer ways of life through arts and culture, architecture and design for all</t>
  </si>
  <si>
    <t>Leverage the digital transition for competitive European cultural and creative industries</t>
  </si>
  <si>
    <t>Europe’s cultural heritage and arts – promoting our values at home and abroad</t>
  </si>
  <si>
    <t>Strategies to strengthen the European linguistic capital in a globalised world</t>
  </si>
  <si>
    <t>A European Collaborative Cloud for Cultural Heritage – Innovative tools for digitisation and analysis of dynamic processes, objects and complex combined data</t>
  </si>
  <si>
    <t>A European Collaborative Cloud for Cultural Heritage – Innovative tools for documenting, interlinking and organising data</t>
  </si>
  <si>
    <t>A European Collaborative Cloud for Cultural Heritage – Innovative tools for advanced data enrichment</t>
  </si>
  <si>
    <t>A European Collaborative Cloud for Cultural Heritage – Innovative tools for high-value interactions with visitors and heritage objects</t>
  </si>
  <si>
    <t>A European Collaborative Cloud for Cultural Heritage – Innovative tools for the study, conservation and restoration of heritage objects</t>
  </si>
  <si>
    <t>Policy recommendations from socio-economic impacts of loneliness in Europe</t>
  </si>
  <si>
    <t>Strengthen economic fairness and resilience of active labour market policies and address high unemployment</t>
  </si>
  <si>
    <t>Minimise costs and maximise benefits of job creation and job destruction</t>
  </si>
  <si>
    <t>Social services: economic and social returns and value added</t>
  </si>
  <si>
    <t>Social dialogue in the new world of work</t>
  </si>
  <si>
    <t>Beyond the horizon: A human-friendly deployment of artificial intelligence and related technologies</t>
  </si>
  <si>
    <t>Methodologies for teamworking of researchers – reinforcing transversal collaborative skills, behavioural and implementation sciences</t>
  </si>
  <si>
    <t>Arts and cultural awareness and expression in education and training</t>
  </si>
  <si>
    <t>The role of social economy in addressing social exclusion, providing quality jobs and greater sustainability</t>
  </si>
  <si>
    <t>Effective education and labour market transitions of young people</t>
  </si>
  <si>
    <t>Assessing and strengthening the complementarity between new technologies and human skills</t>
  </si>
  <si>
    <t>Enhanced security and management of borders, maritime environment, activities and transport, by increased surveillance capability, including high altitude, long endurance aerial support</t>
  </si>
  <si>
    <t>Increased safety, security, performance of the European Border and Coast Guard and of European customs authorities</t>
  </si>
  <si>
    <t>Improved border checks for travel facilitation across external borders and improved experiences for both passengers and border authorities’ staff</t>
  </si>
  <si>
    <t>Advanced detection of threats and illicit goods in postal and express courier flows</t>
  </si>
  <si>
    <t>Improved detection of concealed objects on, and within the body of, persons</t>
  </si>
  <si>
    <t>Dynamic business continuity and recovery methodologies based on models and prediction for multi-level Cybersecurity</t>
  </si>
  <si>
    <t>Improved security in open-source and open-specification hardware for connected devices</t>
  </si>
  <si>
    <t>AI for cybersecurity reinforcement</t>
  </si>
  <si>
    <t>Scalable privacy-preserving technologies for cross-border federated computation in Europe involving personal data</t>
  </si>
  <si>
    <t>Improved understanding of risk exposure and its public awareness in areas exposed to multi-hazards</t>
  </si>
  <si>
    <t>Integrated Disaster Risk Reduction for extreme climate events: from early warning systems to long term adaptation and resilience building</t>
  </si>
  <si>
    <t>Enhanced assessment of disaster risks, adaptive capabilities and scenario building based on available historical data and projections</t>
  </si>
  <si>
    <t>Developing a prioritisation mechanism for research programming in standardisation related to natural hazards and/or CBRN-E sectors</t>
  </si>
  <si>
    <t>Fast deployed mobile laboratories to enhance situational awareness for pandemics and emerging infectious diseases</t>
  </si>
  <si>
    <t>Terrorism and other forms of serious crime countered using travel intelligence</t>
  </si>
  <si>
    <t>Lawful interception using new and emerging technologies (5G &amp; beyond, quantum computing and encryption)</t>
  </si>
  <si>
    <t>Disinformation and fake news are combated and trust in the digital world is raised</t>
  </si>
  <si>
    <t>Improved access to fighting crime and terrorism research data</t>
  </si>
  <si>
    <t>Modern biometrics used in forensic science and by police</t>
  </si>
  <si>
    <t>Domestic and sexual violence are prevented and combated</t>
  </si>
  <si>
    <t>Improved preparedness on attacks to public spaces</t>
  </si>
  <si>
    <t>Fight against trafficking in cultural goods</t>
  </si>
  <si>
    <t>Fight against organised environmental crime</t>
  </si>
  <si>
    <t>Fight against firearms trafficking</t>
  </si>
  <si>
    <t>Prevention of child sexual exploitation</t>
  </si>
  <si>
    <t>Online identity theft is countered</t>
  </si>
  <si>
    <t>European infrastructures and their autonomy safeguarded against systemic risks</t>
  </si>
  <si>
    <t>Ensured infrastructure resilience in case of Pandemics</t>
  </si>
  <si>
    <t>A maturity assessment framework for security technologies</t>
  </si>
  <si>
    <t>Knowledge Networks for Security Research &amp; Innovation</t>
  </si>
  <si>
    <t>National Contact Points (NCPs) in the field of security and cybersecurity</t>
  </si>
  <si>
    <t>Demand-led innovation for situation awareness in civil protection</t>
  </si>
  <si>
    <t>Security research technologies driven by active civil society engagement: transdisciplinary methods for societal impact assessment and impact creation</t>
  </si>
  <si>
    <t>Improved underwater detection and control capabilities to protect maritime areas and sea harbours</t>
  </si>
  <si>
    <t>Enhanced security of, and combating the frauds on, identity management and identity and travel documents</t>
  </si>
  <si>
    <t>Better, more portable and quicker analysis and detection for customs</t>
  </si>
  <si>
    <t>OPEN TOPIC</t>
  </si>
  <si>
    <t>Improved monitoring of threats, intrusion detection and response in complex and heterogeneous digital systems and infrastructures</t>
  </si>
  <si>
    <t>Trustworthy methodologies, tools and data security “by design” for dynamic testing of potentially vulnerable, insecure hardware and software components</t>
  </si>
  <si>
    <t>Transition towards Quantum-Resistant Cryptography</t>
  </si>
  <si>
    <t>Development and validation of processes and tools used for agile certification of ICT products, ICT services and ICT processes</t>
  </si>
  <si>
    <t>Enhanced citizen preparedness in the event of a disaster or crisis-related emergency</t>
  </si>
  <si>
    <t>Enhanced preparedness and management of High-Impact Low-Probability or unexpected events</t>
  </si>
  <si>
    <t>Improved quality assurance / quality control of data used in decision-making related to risk management of natural hazards, accidents and CBRN events</t>
  </si>
  <si>
    <t>Better understanding of citizens’ behavioural and psychological reactions in the event of a disaster or crisis situation</t>
  </si>
  <si>
    <t>Improved impact forecasting and early warning systems supporting the rapid deployment of first responders in vulnerable areas</t>
  </si>
  <si>
    <t>Improved disaster risk pricing assessment</t>
  </si>
  <si>
    <t>Improved international cooperation addressing first responder capability gaps</t>
  </si>
  <si>
    <t>Enhanced situational awareness and preparedness of first responders and improved capacities to minimise time-to-react in urban areas in the case of CBRN-E-related events</t>
  </si>
  <si>
    <t>Enhanced capacities of first responders more efficient rescue operations, including decontamination of infrastructures in the case of a CBRN-E event</t>
  </si>
  <si>
    <t>Improved crime scene investigations related to transfer, persistence and background abundance</t>
  </si>
  <si>
    <t>Better understanding the influence of organisational cultures and human interactions in the forensic context as well as a common lexicon</t>
  </si>
  <si>
    <t>Enhanced fight against the abuse of online gaming culture by extremists</t>
  </si>
  <si>
    <t>Public spaces are protected while respecting privacy and avoiding mass surveillance</t>
  </si>
  <si>
    <t>Effective fight against corruption</t>
  </si>
  <si>
    <t>Effective fight against illicit drugs production and trafficking</t>
  </si>
  <si>
    <t>Effective fight against trafficking in human beings</t>
  </si>
  <si>
    <t>Nature-based Solutions integrated to protect local infrastructure</t>
  </si>
  <si>
    <t>Autonomous systems used for infrastructure protection</t>
  </si>
  <si>
    <t>Increased foresight capacity for security</t>
  </si>
  <si>
    <t>Knowledge Networks for security Research &amp; Innovation</t>
  </si>
  <si>
    <t>Stronger grounds for pre-commercial procurement of innovative security technologies</t>
  </si>
  <si>
    <t>Social innovations as enablers of security solutions and increased security perception</t>
  </si>
  <si>
    <t>Capabilities for border surveillance and situational awareness</t>
  </si>
  <si>
    <t>Identify, inspect, neutralise Unexploded Ordnance (UXO) at sea</t>
  </si>
  <si>
    <t>Beyond the state-of-the-art “biometrics on the move” for border checks</t>
  </si>
  <si>
    <t>Interoperability of systems and equipment at tactical level; between equipment and databases; and/or between databases of threats and materials</t>
  </si>
  <si>
    <t>Secure Computing Continuum (IoT, Edge, Cloud, Dataspaces)</t>
  </si>
  <si>
    <t>Privacy-preserving and identity management technologies</t>
  </si>
  <si>
    <t>Security of robust AI systems</t>
  </si>
  <si>
    <t>Improving social and societal preparedness for disaster response and health emergencies</t>
  </si>
  <si>
    <t>Design of crisis prevention and preparedness actions in case of digital breakdown (internet, electricity etc.)</t>
  </si>
  <si>
    <t>Operability and standardisation in response to biological toxin incidents</t>
  </si>
  <si>
    <t>Internationally coordinated networking of training centres for the validation and testing of CBRN-E tools and technologies in case of incidents, with consideration of human factors</t>
  </si>
  <si>
    <t>Robotics: Autonomous or semi-autonomous UGV systems to supplement skills for use in hazardous environments</t>
  </si>
  <si>
    <t>Increased technology solutions, institutional coordination and decision-support systems for first responders of last-kilometer emergency service delivery</t>
  </si>
  <si>
    <t>Processing of large, complex and unstructured datasets resulting from criminal investigations, while reconciling big data analysis and data protection</t>
  </si>
  <si>
    <t>A harmonized European forensics approach on drugs analysis</t>
  </si>
  <si>
    <t>New methods and technologies in service of community policing and transferable best practices</t>
  </si>
  <si>
    <t>Open Topic</t>
  </si>
  <si>
    <t>Crime as a service</t>
  </si>
  <si>
    <t>Enhancing tools and capabilities to fight advanced forms of cyber threats and cyber-dependent crimes</t>
  </si>
  <si>
    <t>Facilitating strategic cooperation to ensure the provision of essential services</t>
  </si>
  <si>
    <t>Supporting operators against cyber and non-cyber threats to reinforce the resilience of critical infrastructures</t>
  </si>
  <si>
    <t>Open grounds for pre-commercial procurement of innovative security technologies</t>
  </si>
  <si>
    <t>Accelerating uptake through open proposals for advanced SME innovation</t>
  </si>
  <si>
    <t>Interoperability for border and maritime surveillance and situational awareness</t>
  </si>
  <si>
    <t>Advanced user-friendly, compatible, secure identity and travel document management</t>
  </si>
  <si>
    <t>Integrated risk-based border control that mitigates public security risk, reduces false positives and strengthens privacy</t>
  </si>
  <si>
    <t>Detection and tracking of illegal and trafficked goods</t>
  </si>
  <si>
    <t>Approaches and tools for security in software and hardware development and assessment</t>
  </si>
  <si>
    <t>Post-quantum cryptography transition</t>
  </si>
  <si>
    <t>Prevention, detection, response and mitigation of chemical, biological and radiological threats to agricultural production, feed and food processing, distribution and consumption</t>
  </si>
  <si>
    <t>Harmonised / Standard protocols for the implementation of alert and impact forecasting systems as well as transnational emergency management in the areas of high-impact weather / climatic and geological disasters</t>
  </si>
  <si>
    <t>Hi-tech capacities for crisis response and recovery after a natural-technological (NaTech) disaster</t>
  </si>
  <si>
    <t>Cost-effective sustainable technologies and crisis management strategies for RN large-scale protection of population and infrastructures after a nuclear blast or nuclear facility incident</t>
  </si>
  <si>
    <t>Mitigating new threats and adapting investigation strategies in the era of Internet of Things</t>
  </si>
  <si>
    <t>Lawful evidence collection in online child sexual abuse investigations, including undercover</t>
  </si>
  <si>
    <t>Radicalisation and gender</t>
  </si>
  <si>
    <t>Combating hate speech online and offline</t>
  </si>
  <si>
    <t>CBRN-E detection capacities in small architecture</t>
  </si>
  <si>
    <t>Tracing of cryptocurrencies transactions related to criminal purposes</t>
  </si>
  <si>
    <t>Resilient and secure urban planning and new tools for EU territorial entities</t>
  </si>
  <si>
    <t>Advanced real-time data analysis used for infrastructure resilience</t>
  </si>
  <si>
    <t>Demand-led innovation through public procurement</t>
  </si>
  <si>
    <t>Technologies and solutions for compliance, privacy preservation, green and responsible data operations (AI, Data and Robotics Partnership) (RIA)</t>
  </si>
  <si>
    <t>Technologies for data management (AI, Data and Robotics Partnership) (IA)</t>
  </si>
  <si>
    <t>Future European platforms for the Edge: Meta Operating Systems (RIA)</t>
  </si>
  <si>
    <t>Coordination and Support of the ‘Cloud-Edge-IoT’ domain (CSA)</t>
  </si>
  <si>
    <t>Roadmap for next generation computing and systems technologies (CSA)</t>
  </si>
  <si>
    <t>Ultra-low-power, secure processors for edge computing (RIA)</t>
  </si>
  <si>
    <t>Open Source Hardware for ultra-low-power, secure processors (CSA)</t>
  </si>
  <si>
    <t>Advanced optical communication components (Photonics Partnership) (IA)</t>
  </si>
  <si>
    <t>Advanced Photonic Integrated Circuits (Photonics Partnership) (RIA)</t>
  </si>
  <si>
    <t>AI, Data and Robotics for the Green Deal (AI, Data and Robotics Partnership) (IA)</t>
  </si>
  <si>
    <t>AI, Data and Robotics at work (AI, Data and Robotics Partnership) (IA)</t>
  </si>
  <si>
    <t>Pushing the limit of robotics cognition (AI, Data and Robotics Partnership) (RIA)</t>
  </si>
  <si>
    <t>European Network of Excellence Centres in Robotics (RIA)</t>
  </si>
  <si>
    <t>Academia-Industry Forum on Emerging Enabling Technologies (CSA)</t>
  </si>
  <si>
    <t>Advanced spintronics: Unleashing spin in the next generation ICs (RIA)</t>
  </si>
  <si>
    <t>Next generation quantum sensing technologies (RIA)</t>
  </si>
  <si>
    <t>International cooperation with Canada (RIA)</t>
  </si>
  <si>
    <t>Coordination of European Smart Network actions (CSA)</t>
  </si>
  <si>
    <t>Development of technologies/devices for bio-intelligent manufacturing (RIA)</t>
  </si>
  <si>
    <t>Investing in new emerging quantum computing technologies (RIA)</t>
  </si>
  <si>
    <t>Functional electronics for green and circular economy (RIA)</t>
  </si>
  <si>
    <t>Support and coordination of the Quantum Technologies Flagship Initiative (CSA)</t>
  </si>
  <si>
    <t>Strengthening the quantum software ecosystem for quantum computing platforms (RIA)</t>
  </si>
  <si>
    <t>Framework Partnership Agreement for developing the first large-scale quantum computers (FPA)</t>
  </si>
  <si>
    <t>Basic Science for Quantum Technologies (RIA)</t>
  </si>
  <si>
    <t>Framework Partnership Agreement for developing large scale quantum simulation platform technologies (FPA)</t>
  </si>
  <si>
    <t>Framework Partnership Agreements in Quantum Communications (FPA)</t>
  </si>
  <si>
    <t>Quantum sensing technologies for market uptake (IA)</t>
  </si>
  <si>
    <t>Framework Partnership Agreements for open testing and experimentation and for pilot production capabilities for quantum technologies (FPA)</t>
  </si>
  <si>
    <t>Verifiable robustness, energy efficiency and transparency for Trustworthy AI: Scientific excellence boosting industrial competitiveness (AI, Data and Robotics Partnership) (RIA)</t>
  </si>
  <si>
    <t>European coordination, awareness, standardisation &amp; adoption of trustworthy European AI, Data and Robotics (AI, Data and Robotics Partnership) (CSA)</t>
  </si>
  <si>
    <t>European Network of AI Excellence Centres: Pillars of the European AI lighthouse (RIA)</t>
  </si>
  <si>
    <t>Trust &amp; data sovereignty on the Internet (RIA)</t>
  </si>
  <si>
    <t>Trustworthy open search and discovery (RIA)</t>
  </si>
  <si>
    <t>Innovation for Media, including eXtended Reality (IA)</t>
  </si>
  <si>
    <t>Next Generation Internet community-building and outreach (CSA)</t>
  </si>
  <si>
    <t>NGI International Collaboration - Transatlantic fellowship programme (CSA)</t>
  </si>
  <si>
    <t>NGI Tech Review (CSA)</t>
  </si>
  <si>
    <t>eXtended Reality Modelling (RIA)</t>
  </si>
  <si>
    <t>eXtended Reality for All – Haptics (RIA)</t>
  </si>
  <si>
    <t>Awareness raising on Intellectual property (IP) management for European R&amp;I (CSA)</t>
  </si>
  <si>
    <t>Fostering standardisation to boost European industry's competitiveness (CSA)</t>
  </si>
  <si>
    <t>Testing innovative solutions on local communities’ demand (CSA)</t>
  </si>
  <si>
    <t>Piloting a new industry-academia knowledge exchange focussing on companies’ needs (CSA)</t>
  </si>
  <si>
    <t>Art-driven use experiments and design (RIA)</t>
  </si>
  <si>
    <t>Tackling gender, race and other biases in AI (RIA)</t>
  </si>
  <si>
    <t>eXtended Collaborative Telepresence (IA)</t>
  </si>
  <si>
    <t>Workforce skills for industry 5.0 (RIA)</t>
  </si>
  <si>
    <t>AI to fight disinformation (RIA)</t>
  </si>
  <si>
    <t>eXtended Reality Ethics, Interoperability and Impact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</si>
  <si>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</si>
  <si>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</si>
  <si>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</si>
  <si>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Ensuring circularity of composite materials (Processes4Planet Partnership) (RIA)</t>
  </si>
  <si>
    <t>Identifying future availability of secondary raw materials (RIA)</t>
  </si>
  <si>
    <t>Developing climate-neutral and circular raw materials (IA)</t>
  </si>
  <si>
    <t>Building EU-Africa partnerships on sustainable raw materials value chains (CSA)</t>
  </si>
  <si>
    <t>Innovation for responsible EU sourcing of primary raw materials, the foundation of the Green Deal (RIA)</t>
  </si>
  <si>
    <t>Building innovative value chains from raw materials to sustainable products (IA)</t>
  </si>
  <si>
    <t>Establishing EU led international community on safe- and sustainable-by-design materials to support embedding sustainability criteria over the life cycle of products and processes (CSA)</t>
  </si>
  <si>
    <t>Promote Europe's availability, affordability, sustainability and security of supply of essential chemicals and materials (IA)</t>
  </si>
  <si>
    <t>Paving the way to an increased share of recycled plastics in added value products (RIA)</t>
  </si>
  <si>
    <t>Safe- and sustainable-by-design polymeric materials (RIA)</t>
  </si>
  <si>
    <t>Safe- and sustainable-by-design metallic coatings and engineered surfaces (RIA)</t>
  </si>
  <si>
    <t>Development of more energy efficient electrically heated catalytic reactors (IA)</t>
  </si>
  <si>
    <t>Creation of an innovation community for solar fuels and chemicals (CSA)</t>
  </si>
  <si>
    <t>Advanced materials for hydrogen storage (RIA)</t>
  </si>
  <si>
    <t>Antimicrobial, Antiviral, and Antifungal Nanocoatings (RIA)</t>
  </si>
  <si>
    <t>Biomaterials database for Health Applications (CSA)</t>
  </si>
  <si>
    <t>Sustainable Industry Commons (RIA)</t>
  </si>
  <si>
    <t>Innovation Radar, Tech Due Diligence and Venture Building for strategic digital technologies (CSA)</t>
  </si>
  <si>
    <t>Re-opening industrial sites preparatory action – Promoting a sustainable strategy for Europe’s industrial future (CSA)</t>
  </si>
  <si>
    <t>'Innovate to transform' support for SME's sustainability transition (CSA)</t>
  </si>
  <si>
    <t>European Technological and Social Innovation Factory (RIA)</t>
  </si>
  <si>
    <t>Social and affordable housing district demonstrator (IA)</t>
  </si>
  <si>
    <t>End-to-end satellite communication systems and associated services</t>
  </si>
  <si>
    <t>Future space ecosystems: on-orbit operations, new system concepts</t>
  </si>
  <si>
    <t>Reusability for European strategic space launchers - technologies and operation maturation including flight test demonstration</t>
  </si>
  <si>
    <t>Low cost high thrust propulsion for European strategic space launchers - technologies maturation including ground tests</t>
  </si>
  <si>
    <t>New space transportation solutions and services</t>
  </si>
  <si>
    <t>Copernicus Climate Change Service evolution</t>
  </si>
  <si>
    <t>Copernicus Atmosphere Monitoring Service evolution</t>
  </si>
  <si>
    <t>Copernicus Security and Emergency Services evolution</t>
  </si>
  <si>
    <t>Copernicus evolution for cross-services thematic domains</t>
  </si>
  <si>
    <t>Quantum technologies for space gravimetry</t>
  </si>
  <si>
    <t>Space technologies for European non-dependence and competitiveness</t>
  </si>
  <si>
    <t>AI enhanced robotics systems for smart manufacturing (AI, Data and Robotics - Made in Europe Partnerships) (IA)</t>
  </si>
  <si>
    <t>Zero-defect manufacturing towards zero-waste (Made in Europe Partnership) (IA)</t>
  </si>
  <si>
    <t>Laser-based technologies for green manufacturing (Photonics - Made in Europe Partnerships) (RIA)</t>
  </si>
  <si>
    <t>Manufacturing technologies for bio-based materials (Made in Europe Partnership) (RIA)</t>
  </si>
  <si>
    <t>Artificial Intelligence for sustainable, agile manufacturing (AI, Data and Robotics - Made in Europe Partnerships) (IA)</t>
  </si>
  <si>
    <t>Data-driven Distributed Industrial Environments (Made in Europe Partnership) (IA)</t>
  </si>
  <si>
    <t>Digital permits and compliance checks for buildings and infrastructure (IA)</t>
  </si>
  <si>
    <t>Automated tools for the valorisation of construction waste (RIA)</t>
  </si>
  <si>
    <t>Breakthrough technologies supporting technological sovereignty in construction (RIA)</t>
  </si>
  <si>
    <t>Deploying industrial-urban symbiosis solutions for the utilization of energy, water, industrial waste and by-products at regional scale (Processes4Planet Partnership)  (RIA)</t>
  </si>
  <si>
    <t>Hubs for Circularity European Community of Practice (ECoP) platform (Processes4Planet Partnership) (CSA)</t>
  </si>
  <si>
    <t>Plastic waste as a circular carbon feedstock for industry (Processes4Planet Partnership) (IA)</t>
  </si>
  <si>
    <t>Carbon Direct Avoidance in steel: Electricity and hydrogen-based metallurgy (Clean Steel Partnership) (IA)</t>
  </si>
  <si>
    <t>Improvement of the yield of the iron and steel making (Clean Steel Partnership)  (IA)</t>
  </si>
  <si>
    <t>Reducing environmental footprint, improving circularity in extractive and processing value chains (IA)</t>
  </si>
  <si>
    <t>Design and optimisation of energy flexible industrial processes (Processes4Planet Partnership) (IA)</t>
  </si>
  <si>
    <t>Adjustment of Steel process production to prepare for the transition towards climate neutrality (Clean Steel Partnership) (IA)</t>
  </si>
  <si>
    <t>Methods for exploiting data and knowledge for extremely precise outcomes (analysis, prediction, decision support), reducing complexity and presenting insights in understandable way (RIA)</t>
  </si>
  <si>
    <t>Cognitive Cloud: AI-enabled computing continuum from Cloud to Edge (RIA)</t>
  </si>
  <si>
    <t>Programming tools for decentralised intelligence and swarms (RIA)</t>
  </si>
  <si>
    <t>Technologies and solutions for data trading, monetizing, exchange and interoperability (AI, Data and Robotics Partnership) (IA)</t>
  </si>
  <si>
    <t>Extreme data mining, aggregation and analytics technologies and solutions (RIA)</t>
  </si>
  <si>
    <t>Advanced multi-sensing systems (Photonics Partnership) (RIA)</t>
  </si>
  <si>
    <t>Open source for cloud-based services (RIA)</t>
  </si>
  <si>
    <t>European Enabling technologies for Beyond 5G/6G RAN disaggregated architectures (RIA)</t>
  </si>
  <si>
    <t>Advanced characterisation methodologies to assess and predict the health and environmental risks of nanomaterials (RIA)</t>
  </si>
  <si>
    <t>International cooperation in semiconductors (CSA)</t>
  </si>
  <si>
    <t>Ultra low energy and secure networks (RIA)</t>
  </si>
  <si>
    <t>AI, Data and Robotics for Industry optimisation (including production and services) (AI, Data and Robotics Partnership) (IA)</t>
  </si>
  <si>
    <t>Pushing the limit of physical intelligence and performance (RIA)</t>
  </si>
  <si>
    <t>Increased robotics capabilities demonstrated in key sectors (AI, Data and Robotics Partnership) (IA)</t>
  </si>
  <si>
    <t>New generation of advanced electronic and photonic 2D materials-based devices, systems and sensors (RIA)</t>
  </si>
  <si>
    <t>2D materials-based devices and systems for energy storage and/or harvesting (RIA)</t>
  </si>
  <si>
    <t>2D materials-based devices and systems for biomedical applications (RIA)</t>
  </si>
  <si>
    <t>2D-material-based composites, coatings and foams (IA)</t>
  </si>
  <si>
    <t>Supporting the coordination of the Graphene Flagship projects (CSA)</t>
  </si>
  <si>
    <t>Internet architecture and decentralised technologies (RIA)</t>
  </si>
  <si>
    <t>Next Generation Safer Internet: Technologies to identify digital Child Sexual Abuse Material (CSAM) (RIA)</t>
  </si>
  <si>
    <t>NGI International Collaboration - USA and Canada (RIA)</t>
  </si>
  <si>
    <t>eXtended Reality Technologies (RIA)</t>
  </si>
  <si>
    <t>eXtended Reality Learning - Engage and Interact (IA)</t>
  </si>
  <si>
    <t>AI for human empowerment (AI, Data and Robotics Partnership) (RIA)</t>
  </si>
  <si>
    <t>European Network of AI Excellence Centres: Expanding the European AI lighthouse (RIA)</t>
  </si>
  <si>
    <t>Circular and low emission value chains through digitalisation (Processes4Planet Partnership) (RIA)</t>
  </si>
  <si>
    <t>Monitoring and supervising system for exploration and future exploitation activities in the deep sea (RIA)</t>
  </si>
  <si>
    <t>Streamlining cross-sectoral policy framework throughout the extractive life-cycle in environmentally protected areas (CSA)</t>
  </si>
  <si>
    <t>Developing digital platforms for the small scale extractive industry (IA)</t>
  </si>
  <si>
    <t>Technological solutions for tracking raw material flows in complex supply chains (RIA)</t>
  </si>
  <si>
    <t>Sustainable and innovative mine of the future (IA)</t>
  </si>
  <si>
    <t>Innovative solutions for efficient use and enhanced recovery of mineral and metal by-products from processing of raw materials (IA)</t>
  </si>
  <si>
    <t>Earth observation technologies for the mining life cycle in support of EU autonomy and transition to a climate-neutral economy (RIA)</t>
  </si>
  <si>
    <t>Innovative materials for advanced (nano)electronic components and systems (RIA)</t>
  </si>
  <si>
    <t>Advanced lightweight materials for energy efficient structures (RIA)</t>
  </si>
  <si>
    <t>Functional multi-material components and structures (RIA)</t>
  </si>
  <si>
    <t>Smart and multifunctional biomaterials for health innovations (RIA)</t>
  </si>
  <si>
    <t>Membranes for gas separations - membrane distillation (IA)</t>
  </si>
  <si>
    <t>Building and renovating by exploiting advanced materials for energy and resources efficient management (IA)</t>
  </si>
  <si>
    <t>Advanced materials modelling and characterisation (RIA)</t>
  </si>
  <si>
    <t>Climate Neutral and Circular Innovative Materials Technologies Open Innovation Test Beds (IA)</t>
  </si>
  <si>
    <t>Leveraging standardisation in Digital Technologies (CSA)</t>
  </si>
  <si>
    <t>Safe- and sustainable-by-design organic and hybrid coatings (RIA)</t>
  </si>
  <si>
    <t>Novel materials for supercapacitor energy storage (RIA)</t>
  </si>
  <si>
    <t>Optimised Industrial Systems and Lines through digitalisation (IA)</t>
  </si>
  <si>
    <t>Boosting green economic recovery and open strategic autonomy in Strategic Digital Technologies through pre-commercial procurement (PCP action)</t>
  </si>
  <si>
    <t>Future space ecosystems: on-orbit operations, preparation of orbital demonstration mission</t>
  </si>
  <si>
    <t>Technologies and generic building blocks for Electrical Propulsion</t>
  </si>
  <si>
    <t>End-to-end Earth observation systems and associated services</t>
  </si>
  <si>
    <t>Multi sites flexible industrial platform and standardised technology for improving interoperability of European access to space ground facilities</t>
  </si>
  <si>
    <t>Copernicus Marine Environment Monitoring Service evolution</t>
  </si>
  <si>
    <t>Copernicus Anthropogenic CO₂ Emissions Monitoring &amp; Verification Support (MVS) capacity</t>
  </si>
  <si>
    <t>Copernicus Land Monitoring Service evolution</t>
  </si>
  <si>
    <t>Space Weather</t>
  </si>
  <si>
    <t>Education and skills for the EU space sector</t>
  </si>
  <si>
    <t>Space science and exploration technologies</t>
  </si>
  <si>
    <t>Rapid reconfigurable production process chains (Made in Europe Partnership) (IA)</t>
  </si>
  <si>
    <t>Products with complex functional surfaces (Made in Europe Partnership) (RIA)</t>
  </si>
  <si>
    <t>Excellence in distributed control and modular manufacturing (Made in Europe Partnership) (RIA)</t>
  </si>
  <si>
    <t>Intelligent work piece handling in a full production line (Made in Europe Partnership) (RIA)</t>
  </si>
  <si>
    <t>ICT Innovation for Manufacturing Sustainability in SMEs (I4MS2) (Made in Europe Partnership) (IA)</t>
  </si>
  <si>
    <t>Digital tools to support the engineering of a Circular Economy (Made in Europe Partnership) (RIA)</t>
  </si>
  <si>
    <t>Demonstrate the use of Digital Logbook for buildings (IA)</t>
  </si>
  <si>
    <t>Circular flows for solid waste in urban environment (Processes4Planet Partnership) (IA)</t>
  </si>
  <si>
    <t>Valorisation of CO/CO2 streams into added-value products of market interest (Processes4Planet Partnership) (IA)</t>
  </si>
  <si>
    <t>Raw material preparation for clean steel production (Clean Steel Partnership) (IA)</t>
  </si>
  <si>
    <t>New electrochemical conversion routes for the production of chemicals and materials in process industries (Processes4Planet Partnership) (RIA)</t>
  </si>
  <si>
    <t>Modular and hybrid heating technologies in steel production (Clean Steel Partnership)  (IA)</t>
  </si>
  <si>
    <t>Integration of hydrogen for replacing fossil fuels in industrial applications (Processes4Planet Partnership)  (IA)</t>
  </si>
  <si>
    <t>Integration of data life cycle, architectures and standards for complex data cycles and/or human factors, language (AI, data and robotics partnership) (RIA)</t>
  </si>
  <si>
    <t>Cognitive Computing Continuum: Intelligence and automation for more efficient data processing (AI, data and robotics partnership) (RIA)</t>
  </si>
  <si>
    <t>Coordination and Support of Cognitive Computing Continuum research and policy (CSA)</t>
  </si>
  <si>
    <t>Collaboration with NSF on fundamental research on new concepts for distributed computing and swarm intelligence  (CSA)</t>
  </si>
  <si>
    <t>Novel paradigms and approaches, towards AI-driven autonomous robots (AI, data and robotics partnership) (RIA)</t>
  </si>
  <si>
    <t>Industrial leadership in AI, Data and Robotics – advanced human robot interaction (AI Data and Robotics Partnership) (IA)</t>
  </si>
  <si>
    <t>Low TRL research in micro-electronics and integration technologies for industrial solutions (RIA)</t>
  </si>
  <si>
    <t>Adaptive multi-scale modelling and characterisation suites from lab to production (RIA)</t>
  </si>
  <si>
    <t>Sustainable safe-by-design 2D materials technology (RIA)</t>
  </si>
  <si>
    <t>2D materials of tomorrow (RIA)</t>
  </si>
  <si>
    <t>Quantum Photonic Integrated Circuit technologies (RIA)</t>
  </si>
  <si>
    <t>Investing in alternative quantum computation and simulation platform technologies (RIA)</t>
  </si>
  <si>
    <t>Framework Partnership Agreement for developing large-scale quantum Computing platform technologies (FPA)</t>
  </si>
  <si>
    <t>Next generation quantum sensing and metrology technologies (RIA)</t>
  </si>
  <si>
    <t>Pervasive photonics - multi-technology integration for digital infrastructure, sensors and internet of things (Photonics partnership)(RIA)</t>
  </si>
  <si>
    <t>Versatile light sources and systems as tools for manufacturing and medical application (Photonics Partnership) (RIA)</t>
  </si>
  <si>
    <t>Photonic Strategies and Skills Development (CSA) (Photonics Partnership)</t>
  </si>
  <si>
    <t>Advanced imaging and sensing technologies (IA)(Photonics Partnership)</t>
  </si>
  <si>
    <t>Efficient trustworthy AI - making the best of data (AI, Data and Robotics Partnership) (RIA)</t>
  </si>
  <si>
    <t>Large Scale pilots on trustworthy AI data and robotics addressing key societal challenges (AI Data and Robotics Partnership) (IA)</t>
  </si>
  <si>
    <t>Natural Language Understanding and Interaction in Advanced Language Technologies (AI Data and Robotics Partnership) (RIA)</t>
  </si>
  <si>
    <t>Open innovation: Addressing Grand challenges in AI (AI Data and Robotics Partnership) (CSA)</t>
  </si>
  <si>
    <t>Through AI from Disinformation to Trust (IA)</t>
  </si>
  <si>
    <t>Next Generation Internet Fund (RIA)</t>
  </si>
  <si>
    <t>Pilots for the Next Generation Internet (IA)</t>
  </si>
  <si>
    <t>Next Generation Internet International Collaboration - USA (RIA)</t>
  </si>
  <si>
    <t>Next Generation Internet Commons Policy (CSA)</t>
  </si>
  <si>
    <t>Next Generation eXtended Reality (RIA)</t>
  </si>
  <si>
    <t>eXtended Reality for Industry 5.0 (IA)</t>
  </si>
  <si>
    <t>Supporting the emergence of an open human-centric Metaverse (CSA)</t>
  </si>
  <si>
    <t>Toolbox for efficient IP licensing for market uptake and societal value creation (CSA)</t>
  </si>
  <si>
    <t>Piloting communities of expert facilitators to improve industry-academia-public sector co-creation (CSA)</t>
  </si>
  <si>
    <t>Fostering knowledge valorisation through societal and cultural interactions (CSA)</t>
  </si>
  <si>
    <t>Pilots for an innovative human-centric industry (RIA)</t>
  </si>
  <si>
    <t>Drivers and success factors for progress towards Industry  5.0 (RIA)</t>
  </si>
  <si>
    <t>Localised and Urban Manufacturing, supporting creativity and the New European Bauhaus (RIA using FSTP)</t>
  </si>
  <si>
    <t>Green and digital skills and training needs for a just transition (CSA)</t>
  </si>
  <si>
    <t>Boosting industrial symbiosis by standardisation (CSA)</t>
  </si>
  <si>
    <t>Provide for a strong and sustainable pool of experts for European Standardisation: attract the students of university/HEI</t>
  </si>
  <si>
    <t>Pre-normative research and standardisation in industrial ecosystems (CSA)</t>
  </si>
  <si>
    <t>Support facility for digital standardisation and international cooperation in digital partnerships (CSA)</t>
  </si>
  <si>
    <t>Promoting EU standards globally (CSA)</t>
  </si>
  <si>
    <t>Digital Humanism - Putting people at the centre of the digital transformation (CSA)</t>
  </si>
  <si>
    <t>Art-driven digital innovation: Towards human compatible and ecologically conscious technology (CSA)</t>
  </si>
  <si>
    <t>International Hub for Digital Partnerships in the Indo-Pacific (CSA)</t>
  </si>
  <si>
    <t>R&amp;I cooperation with Sub-Saharan Africa (CSA)</t>
  </si>
  <si>
    <t>R&amp;I cooperation with Latin America (Mexico, Brazil, Argentina, and other countries in the BELLA network or members of RedClara) (CSA)</t>
  </si>
  <si>
    <t>Innovative technologies for sustainable and decarbonised extraction (RIA)</t>
  </si>
  <si>
    <t>Technologies for processing and refining of critical raw materials (IA)</t>
  </si>
  <si>
    <t>Recycling technologies for critical raw materials from EoL products (IA)</t>
  </si>
  <si>
    <t>Earth Observation platform, products and services for raw materials (IA)</t>
  </si>
  <si>
    <t>Expert network on Critical raw materials (CSA)</t>
  </si>
  <si>
    <t>Recyclability and resource efficiency of Rare Earth based magnets (IA)</t>
  </si>
  <si>
    <t>Innovative methods for safety and sustainability assessments of chemicals and materials (RIA)</t>
  </si>
  <si>
    <t>Integrated approach for impact assessment of safe and sustainable chemicals and materials (RIA)</t>
  </si>
  <si>
    <t>Computational models for the development of safe and sustainable by design chemicals and materials (RIA)</t>
  </si>
  <si>
    <t>Bioinspired and biomimetic materials for sustainable textiles (IA)</t>
  </si>
  <si>
    <t>Smart sensors for the Electronic Appliances market (RIA)</t>
  </si>
  <si>
    <t>Advanced (nano and bio-based) materials for sustainable agriculture (RIA)</t>
  </si>
  <si>
    <t>Advanced materials for magnets in applications for the New Energies Market (RIA)</t>
  </si>
  <si>
    <t>Coordination and knowledge sharing across materials development communities (CSA)</t>
  </si>
  <si>
    <t>Boosting generation and diffusion of advanced technologies in SMEs based on a supply chain model (CSA)</t>
  </si>
  <si>
    <t>Affordable Housing District Demonstrator  (IA)</t>
  </si>
  <si>
    <t>Future Space Ecosystem and Enabling Technologies</t>
  </si>
  <si>
    <t>Future Space Ecosystem: Management and Coordination Activity</t>
  </si>
  <si>
    <t>Low cost high thrust propulsion for European strategic space launchers - technologies maturation including ground system tests</t>
  </si>
  <si>
    <t>Modern, flexible and efficient European test, production and launch facilities</t>
  </si>
  <si>
    <t>Copernicus for Atmosphere and Climate Change, including CO2</t>
  </si>
  <si>
    <t>Copernicus for Emergency Management</t>
  </si>
  <si>
    <t>Copernicus in-situ component</t>
  </si>
  <si>
    <t>Copernicus for Marine Environment Monitoring</t>
  </si>
  <si>
    <t>Quantum Communication Technologies for space systems</t>
  </si>
  <si>
    <t>Quantum Space Gravimetry Phase-A Study</t>
  </si>
  <si>
    <t>Scientific exploitation of space data</t>
  </si>
  <si>
    <t>High-precision OR complex product manufacturing – potentially including the use of photonics (Made in Europe and Photonics Partnerships) (IA)</t>
  </si>
  <si>
    <t>Factory-level and value chain approaches for remanufacturing (Made in Europe Partnership) (IA)</t>
  </si>
  <si>
    <t>Achieving resiliency in value networks through modelling and Manufacturing as a Service (Made in Europe Partnership) (RIA)</t>
  </si>
  <si>
    <t>Foresight and technology transfer for Manufacturing as a Service (Made in Europe Partnership) (CSA)</t>
  </si>
  <si>
    <t>Intelligent data acquisition and analysis of materials and products in existing built works (RIA)</t>
  </si>
  <si>
    <t>Energy efficiency breakthroughs in the process industries (Processes4Planet partnership) (RIA)</t>
  </si>
  <si>
    <t>Electrification of high temperature heating systems (Processes4Planet Partnership) (IA)</t>
  </si>
  <si>
    <t>Modelling industry transition to climate neutrality, sustainability and circularity (Processes4Planet partnership) (RIA)</t>
  </si>
  <si>
    <t>Hubs for circularity for near zero emissions regions applying industrial symbiosis and cooperative approach to heavy industrialized clusters and surrounding ecosystems (Processes4Planet partnership) (IA)</t>
  </si>
  <si>
    <t>Sustainable and efficient industrial water consumption: through energy and solute recovery (Processes4Planet partnership) (RIA)</t>
  </si>
  <si>
    <t>Circular economy in process industries: Upcycling large volumes of secondary resources (Processes4Planet partnership) (RIA)</t>
  </si>
  <si>
    <t>Low carbon-dioxide emission technologies for melting iron-bearing feed materials OR smart carbon usage and improved energy &amp; resource efficiency via process integration (Clean Steel Partnership) (IA)</t>
  </si>
  <si>
    <t>Circular economy solutions for the valorisation of low-quality scrap streams, materials recirculation with high recycling rate, and residue valorisation for long term goal towards zero waste (Clean Steel Partnership) (RIA)</t>
  </si>
  <si>
    <t>AI-driven data operations and compliance technologies (AI, data and robotics partnership) (IA)</t>
  </si>
  <si>
    <t>Piloting emerging Smart IoT Platforms and decentralized intelligence (IA)</t>
  </si>
  <si>
    <t>Platform Building, standardisation and Up-scaling of the ‘Cloud-Edge-IoT’ Solutions (Horizontal Activities - CSA)</t>
  </si>
  <si>
    <t>Novel paradigms and approaches, towards AI-powered robots– step change in functionality (AI, data and robotics partnership) (RIA)</t>
  </si>
  <si>
    <t>Industrial leadership in AI, Data and Robotics boosting competitiveness and the green transition (AI Data and Robotics Partnership) (IA)[[https://www.europarl.europa.eu/RegData/etudes/STUD/2021/662906/IPOL_STU(2021)662906_EN.pdf]]</t>
  </si>
  <si>
    <t>Open Source for Cloud/Edge to support European Digital Autonomy (RIA)</t>
  </si>
  <si>
    <t>Fundamentals of Software Engineering (RIA)</t>
  </si>
  <si>
    <t>Public recognition scheme for Open Source (CSA)</t>
  </si>
  <si>
    <t>Pilot line(s) for 2D materials-based devices (RIA)</t>
  </si>
  <si>
    <t>Synergy with national and regional initiatives in Europe (CSA)</t>
  </si>
  <si>
    <t>Stimulating transnational research and development of next generation quantum technologies, including basic theories and components   (Cascading grant with FSTP)</t>
  </si>
  <si>
    <t>Quantum sensing and metrology for market uptake (IA)</t>
  </si>
  <si>
    <t>Smart photonics for joint communication &amp; sensing and access everywhere (Photonics Partnership) (RIA)</t>
  </si>
  <si>
    <t>Photonics Innovation Factory for Europe (Photonics Partnership) (IA)</t>
  </si>
  <si>
    <t>Developing and deploying a network of quantum gravimeters in Europe</t>
  </si>
  <si>
    <t>Stimulating transnational research and development of next generation quantum technologies, including basic theories and components (Cascading grant with FSTP)</t>
  </si>
  <si>
    <t>Explainable and Robust AI (AI Data and Robotics Partnership) (RIA)</t>
  </si>
  <si>
    <t>Collaborative intelligence – combining the best of machine and human (AI Data and Robotics Partnership) (RIA)</t>
  </si>
  <si>
    <t>Facilitate the engagement in global ICT standardisation development (CSA)</t>
  </si>
  <si>
    <t>Support for transnational activities of National Contact Points in the thematic areas of Digital, Industry and Space (CSA)</t>
  </si>
  <si>
    <t>Intellectual asset management support for public research organisations, academic institutions and their spin-offs (CSA)</t>
  </si>
  <si>
    <t>Synergy with national and regional initiatives in Europe on Innovative Materials (CSA)</t>
  </si>
  <si>
    <t>Advancing Large AI Models: Integration of New Data Modalities and Expansion of Capabilities (AI, Data and Robotics Partnership) (RIA)</t>
  </si>
  <si>
    <t>Exploration of critical raw materials in deep land deposits (RIA)</t>
  </si>
  <si>
    <t>Rare Earth and magnets innovation hubs (IA)</t>
  </si>
  <si>
    <t>Addressing due diligence requirements in raw materials supply chains. (CSA)</t>
  </si>
  <si>
    <t>Technologies for extraction and processing of critical raw materials (IA)</t>
  </si>
  <si>
    <t>Development of safe and sustainable by design alternatives (IA)</t>
  </si>
  <si>
    <t>Biodegradable polymers for sustainable packaging materials (IA)</t>
  </si>
  <si>
    <t>Advanced biomaterials for the Health Care (IA)</t>
  </si>
  <si>
    <t>Copernicus for Land and Water</t>
  </si>
  <si>
    <t>Copernicus for Security</t>
  </si>
  <si>
    <t>Quantum Space Gravimetry Phase-B study &amp; Technology Maturation</t>
  </si>
  <si>
    <t>Bio-intelligent manufacturing industries (Made in Europe Partnership) (RIA)</t>
  </si>
  <si>
    <t>Manufacturing as a Service: Technologies for customised, flexible, and decentralised production on demand (Made in Europe Partnership) (RIA)</t>
  </si>
  <si>
    <t>Technologies/solutions to support circularity for manufacturing (Made in Europe Partnership) (RIA)</t>
  </si>
  <si>
    <t>Enhanced assessment, intervention and repair of civil engineering infrastructure (RIA)</t>
  </si>
  <si>
    <t>Optimisation of thermal energy flows in the process industry (Processes4Planet partnership) (IA)</t>
  </si>
  <si>
    <t>Renewable hydrogen used as feedstock in innovative production routes (Processes4Planet Partnership) (RIA)</t>
  </si>
  <si>
    <t>Turning CO2 emissions from the process industry to feedstock (Processes4Planet partnership) (IA)</t>
  </si>
  <si>
    <t>Hubs for circularity for industrialised urban peripheral areas (Processes4Planet partnership) (IA)</t>
  </si>
  <si>
    <t>Breakthroughs to improve process industry resource efficiency (Processes4Planet partnership) (RIA)</t>
  </si>
  <si>
    <t>Digital transformation and ensuring a better use of industrial data, which can optimise steel supply chains (Clean Steel Partnership) (IA)</t>
  </si>
  <si>
    <t>CO2-neutral steel production with hydrogen, secondary carbon carriers and electricity OR innovative steel applications for low CO2 emissions (Clean Steel Partnership) (RIA)</t>
  </si>
  <si>
    <t>Improved understanding of greenhouse gas fluxes and radiative forcers, including carbon dioxide removal technologies</t>
  </si>
  <si>
    <t>Modelling the role of the circular economy for climate change mitigation</t>
  </si>
  <si>
    <t>Maximising the impact and synergy of European climate change research and innovation</t>
  </si>
  <si>
    <t>Enhanced integrated assessment in pursuit of global climate goals</t>
  </si>
  <si>
    <t>Better understanding of the interactions between climate change impacts and risks, mitigation and adaptation options</t>
  </si>
  <si>
    <t>Supporting and standardising climate services</t>
  </si>
  <si>
    <t>Improved economic methods for decision-making on climate and environmental policies</t>
  </si>
  <si>
    <t>Restoration of natural wetlands, peatlands and floodplains as a strategy for fast mitigation benefits; pathways, trade-offs and co-benefits</t>
  </si>
  <si>
    <t>The contribution of forest management to climate action: pathways, trade-offs and co-benefits</t>
  </si>
  <si>
    <t>Sustainable processing, refining and recycling of raw materials (Batteries Partnership)</t>
  </si>
  <si>
    <t>Advanced high-performance Generation 3b (high capacity / high voltage) Li-ion batteries supporting electro mobility and other applications (Batteries Partnership)</t>
  </si>
  <si>
    <t>Advanced high-performance Generation 4a, 4b (solid-state) Li-ion batteries supporting electro mobility and other applications (Batteries Partnership)</t>
  </si>
  <si>
    <t>Environmentally sustainable processing techniques applied to large scale electrode and cell component manufacturing for Li ion batteries (Batteries Partnership)</t>
  </si>
  <si>
    <t>Manufacturing technology development for solid-state batteries (SSB, Generations 4a - 4b batteries) (Batteries Partnership)</t>
  </si>
  <si>
    <t>Sustainable, safe and efficient recycling processes (Batteries Partnership)</t>
  </si>
  <si>
    <t>Support for establishment of R&amp;I ecosystem, developing strategic forward-looking orientations to ensure future skills development, knowledge and technological leadership for accelerated disruptive technology exploration and uptake (Batteries Partnership)</t>
  </si>
  <si>
    <t>Emerging technologies for a climate neutral Europe</t>
  </si>
  <si>
    <t>Methane cracking to usable hydrogen and carbon</t>
  </si>
  <si>
    <t>Technologies for non- CO2 greenhouse gases removal</t>
  </si>
  <si>
    <t>Direct atmospheric carbon capture and conversion</t>
  </si>
  <si>
    <t>Fostering a just transition in Europe</t>
  </si>
  <si>
    <t>Strengthening Social Sciences and Humanities (SSH) research communities in climate, energy and mobility disciplines</t>
  </si>
  <si>
    <t>Accelerating the climate transition in difficult contexts: transition super-labs (pilot)</t>
  </si>
  <si>
    <t>Fostering cooperation between Horizon Europe cluster 5 National Contact Points (NCPs)</t>
  </si>
  <si>
    <t>Co-Funded Partnership: Driving Urban Transitions to a sustainable future (DUT)</t>
  </si>
  <si>
    <t>Establish the grounds for a common European energy data space</t>
  </si>
  <si>
    <t>Laying down the basis for the demonstration of a Real Time Demonstrator of Multi-Vendor Multi-Terminal HVDC with Grid Forming Capability: Coordinated action</t>
  </si>
  <si>
    <t>Interoperability community</t>
  </si>
  <si>
    <t>Clean Energy Transition</t>
  </si>
  <si>
    <t>Demonstration of wave energy devices to increase experience in real sea condition</t>
  </si>
  <si>
    <t>Sustainability and educational aspects for renewable energy and renewable fuel technologies</t>
  </si>
  <si>
    <t>Market Uptake Measures of renewable energy systems</t>
  </si>
  <si>
    <t>Novel tandem, high efficiency Photovoltaic technologies targeting low cost production with earth abundant materials</t>
  </si>
  <si>
    <t>Energy Sector Integration: Integrating and combining energy systems to a cost-optimised and flexible energy system of systems</t>
  </si>
  <si>
    <t>Increasing energy system flexibility based on sector-integration services to consumers (that benefits system management by DSOs and TSOs)</t>
  </si>
  <si>
    <t>Reliability and resilience of the grid: Measures for vulnerabilities, failures, risks and privacy</t>
  </si>
  <si>
    <t>Electricity system reliability and resilience by design: High-Voltage, Direct Current (HVDC)-based systems and solutions</t>
  </si>
  <si>
    <t>Demonstration of superconducting systems and elpipes</t>
  </si>
  <si>
    <t>Demonstration of advanced Power Electronics for application in the energy sector</t>
  </si>
  <si>
    <t>Reinforcing digitalisation related know how of local energy ecosystems</t>
  </si>
  <si>
    <t>Integration of CCUS in hubs and clusters, including knowledge sharing activities</t>
  </si>
  <si>
    <t>Cost reduction of CO2 capture (new or improved technologies)</t>
  </si>
  <si>
    <t>Support to the activities of the European Geological Services</t>
  </si>
  <si>
    <t>Support to the activities of the ETIPs and technology areas of the SET Plan</t>
  </si>
  <si>
    <t>AU-EU Water Energy Food Nexus</t>
  </si>
  <si>
    <t>Next generation of renewable energy technologies</t>
  </si>
  <si>
    <t>Hybrid catalytic conversion of renewable energy to carbon-neutral fuels</t>
  </si>
  <si>
    <t>Physics and aerodynamics of atmospheric flow of wind for power production</t>
  </si>
  <si>
    <t>Wind energy in the natural and social environment</t>
  </si>
  <si>
    <t>Novel approaches to concentrated solar power (CSP)</t>
  </si>
  <si>
    <t>Stable high-performance Perovskite Photovoltaics</t>
  </si>
  <si>
    <t>Cost-effective micro-CHP and hybrid heating systems</t>
  </si>
  <si>
    <t>Carbon-negative sustainable biofuel production</t>
  </si>
  <si>
    <t>Innovative foundations, floating substructures and connection systems for floating PV and ocean energy devices</t>
  </si>
  <si>
    <t>Development of hydropower equipment for hidden hydropower</t>
  </si>
  <si>
    <t>Innovation on floating wind energy deployment optimized for deep waters and different sea basins (Mediterranean Sea, Black Sea, Baltic Sea, North-east Atlantic Ocean)</t>
  </si>
  <si>
    <t>Demonstration pilot lines for alternative and innovative PV technologies (Novel c-Si tandem, thin film tandem, bifacial, CPV, etc.)</t>
  </si>
  <si>
    <t>Demonstration of large-scale CHP technologies for a shift to the use of biogenic residues and wastes</t>
  </si>
  <si>
    <t>Solutions for more sustainable geothermal energy</t>
  </si>
  <si>
    <t>Innovative biomethane production as an energy carrier and a fuel</t>
  </si>
  <si>
    <t>Advanced energy performance assessment and certification</t>
  </si>
  <si>
    <t>Industrialisation of deep renovation workflows for energy-efficient buildings</t>
  </si>
  <si>
    <t>Advanced data-driven monitoring of building stock energy performance</t>
  </si>
  <si>
    <t>Full-scale demonstration of heat upgrade technologies with supply temperature in the range 90 - 160°C</t>
  </si>
  <si>
    <t>Industrial excess (waste) Heat-to-Power conversion based on organic Rankine cycles</t>
  </si>
  <si>
    <t>Demonstrating integrated technology solutions for buildings with performance guarantees (Built4People)</t>
  </si>
  <si>
    <t>Cost-effective, sustainable multi-functional and/or prefabricated holistic renovation packages, integrating RES and including re-used and recycled materials (Built4People)</t>
  </si>
  <si>
    <t>Strengthening European coordination and exchange for innovation uptake towards sustainability, quality, circularity and social inclusion in the built environment as a contribution to the new European Bauhaus (Built4People)</t>
  </si>
  <si>
    <t>Nextgen vehicles: Innovative zero emission BEV architectures for regional medium freight haulage (2ZERO)</t>
  </si>
  <si>
    <t>Nextgen EV components: Integration of advanced power electronics and associated controls (2ZERO)</t>
  </si>
  <si>
    <t>System approach to achieve optimised Smart EV Charging and V2G flexibility in mass-deployment conditions (2ZERO)</t>
  </si>
  <si>
    <t>LCA and design for sustainable circularity - holistic approach for zero-emission mobility solutions and related battery value chain (2ZERO &amp; Batteries Partnership)</t>
  </si>
  <si>
    <t>Greenhouse gas aviation emissions reduction technologies towards climate neutrality by 2050</t>
  </si>
  <si>
    <t>Next generation digital aircraft transformation in design, manufacturing, integration and maintenance</t>
  </si>
  <si>
    <t>Enabling the safe and efficient on-board storage and integration within ships of large quantities of ammonia and hydrogen fuels (ZEWT Partnership)</t>
  </si>
  <si>
    <t>Enabling the full integration of very high power fuel cells in ship design using co-generation and combined cycle solutions for increased efficiency with multiple fuels (ZEWT Partnership)</t>
  </si>
  <si>
    <t>CSA identifying waterborne sustainable fuel deployment scenarios (ZEWT Partnership)</t>
  </si>
  <si>
    <t>Innovative on-board energy saving solutions (ZEWT Partnership)</t>
  </si>
  <si>
    <t>Hyper powered vessel battery charging system (ZEWT Partnership)</t>
  </si>
  <si>
    <t>Assessing and preventing methane slip from LNG engines in all conditions within both existing and new vessels (ZEWT Partnership)</t>
  </si>
  <si>
    <t>Digital Twin models to enable green ship operations (ZEWT Partnership)</t>
  </si>
  <si>
    <t>Proving the feasibility of a large clean ammonia marine engine (ZEWT Partnership)</t>
  </si>
  <si>
    <t>Development and demonstration of cost affordable and adaptable retrofit solutions for tailpipe and brake polluting emissions</t>
  </si>
  <si>
    <t>Assessment of noise and particle emissions of L category vehicles from real driving conditions</t>
  </si>
  <si>
    <t>Support for dissemination events in the field of Transport Research</t>
  </si>
  <si>
    <t>More powerful and reliable on-board perception and decision-making technologies addressing complex environmental conditions (CCAM Partnership)</t>
  </si>
  <si>
    <t>Common approaches for the safety validation of CCAM systems (CCAM Partnership)</t>
  </si>
  <si>
    <t>Physical and Digital Infrastructure (PDI), connectivity and cooperation enabling and supporting CCAM (CCAM Partnership)</t>
  </si>
  <si>
    <t>Cyber secure and resilient CCAM (CCAM Partnership)</t>
  </si>
  <si>
    <t>Analysis of socio-economic and environmental impacts and assessment of societal, citizen and user aspects for needs based CCAM solutions (CCAM Partnership)</t>
  </si>
  <si>
    <t>Framework for better coordination of large-scale demonstration pilots in Europe and EU-wide knowledge base (CCAM Partnership)</t>
  </si>
  <si>
    <t>More efficient and effective multimodal freight transport nodes to increase flexibility, service visibility and reduce the average cost of freight transport</t>
  </si>
  <si>
    <t>New delivery methods and business/operating models to green the last mile and optimise road transport</t>
  </si>
  <si>
    <t>Climate resilient and environmentally sustainable transport infrastructure, with a focus on inland waterways</t>
  </si>
  <si>
    <t>Testing safe lightweight vehicles and improved safe human-technology interaction in the future traffic system</t>
  </si>
  <si>
    <t>Radical improvement of road safety in low and medium income countries in Africa</t>
  </si>
  <si>
    <t>Controlling infection on large passenger ships</t>
  </si>
  <si>
    <t>Safe automation and human factors in aviation – intelligent integration and assistance</t>
  </si>
  <si>
    <t>Carbon Dioxide Removal (CDR) approaches</t>
  </si>
  <si>
    <t>Socio-economic risks of climate change in Europe</t>
  </si>
  <si>
    <t>Social science for land-use strategies in the context of climate change and biodiversity challenges</t>
  </si>
  <si>
    <t>Verification and reconciliation of estimates of climate forcers</t>
  </si>
  <si>
    <t>Development of high-resolution Earth system models for global and regional climate change projections</t>
  </si>
  <si>
    <t>Improvement of Integrated Assessment Models in support of climate policies</t>
  </si>
  <si>
    <t>Supporting the formulation of adaptation strategies through improved climate predictions in Europe and beyond</t>
  </si>
  <si>
    <t>Let nature help do the job: Rewilding landscapes for carbon sequestration, climate adaptation and biodiversity support</t>
  </si>
  <si>
    <t>Sustainable processing and refining of battery grade graphite (Batteries Partnership)</t>
  </si>
  <si>
    <t>Interface and electron monitoring for the engineering of new and emerging battery technologies (Batteries Partnership)</t>
  </si>
  <si>
    <t>Furthering the development of a materials acceleration platform for sustainable batteries (combining AI, big data, autonomous synthesis robotics, high throughput testing) (Batteries Partnership)</t>
  </si>
  <si>
    <t>Towards creating an integrated manufacturing value chain in Europe: from machinery development to plant and site integrated design (Batteries Partnership)</t>
  </si>
  <si>
    <t>Next generation technologies for High-performance and safe-by-design battery systems for transport and mobile applications (Batteries Partnership)</t>
  </si>
  <si>
    <t>Embedding smart functionalities into battery cells (embedding sensing and self-healing functionalities to monitor and self-repair battery cells) (Batteries Partnership)</t>
  </si>
  <si>
    <t>Digitalisation of battery testing, from cell to system level, including lifetime assessment (Batteries Partnership)</t>
  </si>
  <si>
    <t>Coordination of large-scale initiative on future battery technologies (Batteries Partnership)</t>
  </si>
  <si>
    <t>Physics and data-based battery management for optimised battery utilisation (Batteries Partnership)</t>
  </si>
  <si>
    <t>Streamlined collection and reversed logistics, fully automated, safe and cost-efficient sorting, dismantling and second use before recycling (Batteries Partnership)</t>
  </si>
  <si>
    <t>CIVITAS 2030 – Coordination and support for EU funded urban mobility innovation</t>
  </si>
  <si>
    <t>Demonstration of cost-effective advanced biofuel technologies utilizing existing industrial plants</t>
  </si>
  <si>
    <t>Demonstration of innovative materials, supply cycles, recycling technologies to increase the overall circularity of wind energy technology and to reduce the primary use of critical raw materials</t>
  </si>
  <si>
    <t>Advanced manufacturing of Integrated PV</t>
  </si>
  <si>
    <t>Demonstrate the use of high temperature geothermal reservoirs to provide energy storage for the energy system</t>
  </si>
  <si>
    <t>Demonstration of innovative plug-and play solutions for system management and renewables storage in off-grid applications</t>
  </si>
  <si>
    <t>Novel Agro-Photovoltaic systems</t>
  </si>
  <si>
    <t>Demonstration of innovative rotor, blades and control systems for tidal energy devices</t>
  </si>
  <si>
    <t>Supporting the action of consumers in the energy market and guide them to act as prosumers, communities and other active forms of active participation in the energy activities</t>
  </si>
  <si>
    <t>Real Time Demonstrator of Multi-Vendor Multi-Terminal VSC-HVDC with Grid Forming Capability (in support of the offshore strategy)</t>
  </si>
  <si>
    <t>Interoperable solutions for flexibility services using distributed energy storage</t>
  </si>
  <si>
    <t>Demonstration of innovative forms of storage and their successful operation and integration into innovative energy systems and grid architectures</t>
  </si>
  <si>
    <t>Replicable solutions for a cross sector compliant energy ecosystem</t>
  </si>
  <si>
    <t>Energy system modelling, optimisation and planning tools</t>
  </si>
  <si>
    <t>Thermal energy storage solutions</t>
  </si>
  <si>
    <t>Decarbonising industry with CCUS</t>
  </si>
  <si>
    <t>Digital solutions for defining synergies in international renewable energy value chains</t>
  </si>
  <si>
    <t>AU-EU Energy System Modelling</t>
  </si>
  <si>
    <t>Innovative renewable energy carrier production for heating from renewable energies</t>
  </si>
  <si>
    <t>Technological interfaces between solar fuel technologies and other renewables</t>
  </si>
  <si>
    <t>Renewable energy carriers from variable renewable electricity surplus and carbon emissions from energy consuming sectors</t>
  </si>
  <si>
    <t>Direct renewable energy integration into process energy demands of the chemical industry</t>
  </si>
  <si>
    <t>Renewable energy incorporation in agriculture and forestry</t>
  </si>
  <si>
    <t>Demonstration of complete value chains for advanced biofuel and non-biological renewable fuel production</t>
  </si>
  <si>
    <t>Innovative components and/or sub-systems for CSP plants and/or concentrating solar thermal installations</t>
  </si>
  <si>
    <t>Best international practice for scaling up sustainable biofuels</t>
  </si>
  <si>
    <t>Efficient and circular artificial photosynthesis</t>
  </si>
  <si>
    <t>Integrated wind farm control</t>
  </si>
  <si>
    <t>Novel Thin Film (TF) technologies targeting high efficiencies</t>
  </si>
  <si>
    <t>Efficient and low-emission technologies for industrial use of combustion and gasification systems from low-value biogenic residues and wastes</t>
  </si>
  <si>
    <t>Development of algal and renewable fuels of non-biological origin</t>
  </si>
  <si>
    <t>Development of digital solutions for existing hydropower operation and maintenance</t>
  </si>
  <si>
    <t>Recycling end of life PV modules</t>
  </si>
  <si>
    <t>Demand response in energy-efficient residential buildings</t>
  </si>
  <si>
    <t>Renewable-intensive, energy positive homes</t>
  </si>
  <si>
    <t>Smarter buildings for better energy performance</t>
  </si>
  <si>
    <t>Development and pilot demonstration of heat upgrade technologies with supply temperature in the range 150-250°C</t>
  </si>
  <si>
    <t>Development of high temperature thermal storage for industrial applications</t>
  </si>
  <si>
    <t>Designs, materials and solutions to improve resilience, preparedness &amp; responsiveness of the built environment for climate adaptation (Built4People)</t>
  </si>
  <si>
    <t>Solutions for the sustainable, resilient, inclusive and accessible regeneration of neighbourhoods enabling low carbon footprint lifestyles and businesses (Built4People)</t>
  </si>
  <si>
    <t>Sustainable and resource-efficient solutions for an open, accessible, inclusive, resilient and low-emission cultural heritage: prevention, monitoring, management, maintenance, and renovation (Built4People)</t>
  </si>
  <si>
    <t>Smart-grid ready and smart-network ready buildings, acting as active utility nodes (Built4People)</t>
  </si>
  <si>
    <t>More sustainable buildings with reduced embodied energy / carbon, high life-cycle performance and reduced life-cycle costs (Built4People)</t>
  </si>
  <si>
    <t>Support to the activities of technology areas of the SET Plan: Action dedicated to energy efficiency in industry</t>
  </si>
  <si>
    <t>Exploiting electrical energy storage systems and better optimising large battery electric power within fully battery electric and hybrid ships (ZEWT Partnership)</t>
  </si>
  <si>
    <t>Innovative energy storage systems on-board vessels (ZEWT Partnership)</t>
  </si>
  <si>
    <t>Exploiting renewable energy for shipping, in particular focusing on the potential of wind energy (ZEWT Partnership)</t>
  </si>
  <si>
    <t>Transformation of the existing fleet towards greener operations through retrofitting (ZEWT Partnership)</t>
  </si>
  <si>
    <t>Seamless safe logistics through an autonomous waterborne freight feeder loop service</t>
  </si>
  <si>
    <t>Computational tools for shipbuilding</t>
  </si>
  <si>
    <t>Prevent smog episodes in Europe: Air quality impact of engine-emitted volatile, semi volatile and secondary particles</t>
  </si>
  <si>
    <t>Modular multi-powertrain zero-emission systems for HDV (BEV and FCEV) for efficient and economic operation (2ZERO)</t>
  </si>
  <si>
    <t>Nextgen EV components: High efficiency and low cost electric motors for circularity and low use of rare resources (2ZERO)</t>
  </si>
  <si>
    <t>New generation of full electric urban and peri-urban Bus Rapid Transit systems to strengthen climate-friendly mass transport (2ZERO)</t>
  </si>
  <si>
    <t>Stimulating Road Transport research and innovation dissemination and implementation in Europe and around the World</t>
  </si>
  <si>
    <t>Towards a silent and ultra-low local air pollution aircraft</t>
  </si>
  <si>
    <t>Digital aviation technologies for new aviation business models, services, emerging global threats and industrial competitiveness</t>
  </si>
  <si>
    <t>European Aviation Research Policy in support to EU policies and initiatives</t>
  </si>
  <si>
    <t>European demonstrators for integrated shared automated mobility solutions for people and goods (CCAM Partnership)</t>
  </si>
  <si>
    <t>Reliable occupant protection technologies and HMI solutions to ensure the safety of highly automated vehicles (CCAM Partnership)</t>
  </si>
  <si>
    <t>Human behavioural model to assess the performance of CCAM solutions compared to human driven vehicles (CCAM Partnership)</t>
  </si>
  <si>
    <t>Integrate CCAM services in fleet and traffic management systems (CCAM Partnership)</t>
  </si>
  <si>
    <t>Artificial Intelligence (AI): Explainable and trustworthy concepts, techniques and models for CCAM (CCAM Partnership)</t>
  </si>
  <si>
    <t>Predictive safety assessment framework and safer urban environment for vulnerable road users</t>
  </si>
  <si>
    <t>More resilient aircraft and increased survivability</t>
  </si>
  <si>
    <t>Safer navigation and tackling containership fires</t>
  </si>
  <si>
    <t>Logistics networks integration and harmonisation through operational connectivity to optimise freight flows and drive logistics to climate neutrality</t>
  </si>
  <si>
    <t>Urban logistics and planning: anticipating urban freight generation and demand including digitalisation of urban freight</t>
  </si>
  <si>
    <t>Smart enforcement for resilient, sustainable and more efficient transport operations</t>
  </si>
  <si>
    <t>Accelerating the deployment of new and shared mobility services for the next decade</t>
  </si>
  <si>
    <t>Advanced multimodal network and traffic management for seamless door-to-door mobility of passengers and freight transport</t>
  </si>
  <si>
    <t>Smart and efficient ways to construct, maintain and decommission with zero emissions from transport infrastructure</t>
  </si>
  <si>
    <t>New concepts and approaches for resilient and green freight transport and logistics networks against disruptive events (including pandemics)</t>
  </si>
  <si>
    <t>Further climate knowledge through advanced science and technologies for analysing Earth observation and Earth system model data</t>
  </si>
  <si>
    <t>Climate-related tipping points</t>
  </si>
  <si>
    <t>Climate impacts of a hydrogen economy</t>
  </si>
  <si>
    <t>Improved knowledge in cloud-aerosol interaction</t>
  </si>
  <si>
    <t>Science for successful, high-integrity voluntary climate initiatives</t>
  </si>
  <si>
    <t>Broadening the range of policy options in transition pathway analysis</t>
  </si>
  <si>
    <t>Modelling for local resilience - Developments in support of local adaptation assessments and plans</t>
  </si>
  <si>
    <t>Solar Radiation Modification: governance of research</t>
  </si>
  <si>
    <t>Behavioural change and governance for systemic transformations towards climate resilience</t>
  </si>
  <si>
    <t>Improving the evidence base regarding the impact of sustainability and climate change education and related learning outcomes</t>
  </si>
  <si>
    <t>Needs-based adaptation to climate change in Africa</t>
  </si>
  <si>
    <t>EU-China international cooperation on data and model development for pathways to carbon neutrality: focusing on decarbonisation, energy efficiency and socio-economic implications of the transition</t>
  </si>
  <si>
    <t>EU-China international cooperation on blue carbon</t>
  </si>
  <si>
    <t>Technologies for sustainable, cost-efficient and low carbon footprint downstream processing &amp; production of battery-grade materials (Batt4EU Partnership)</t>
  </si>
  <si>
    <t>New processes for upcoming recycling feeds (Batt4EU Partnership)</t>
  </si>
  <si>
    <t>Advanced digital twins for battery cell production lines (Batt4EU Partnership)</t>
  </si>
  <si>
    <t>Battery management system (BMS) and battery system design for stationary energy storage systems (ESS) to improve interoperability and facilitate the integration of second life batteries (Batt4EU Partnership)</t>
  </si>
  <si>
    <t>Hybrid electric energy storage solutions for grid support and charging infrastructure (Batt4EU Partnership)</t>
  </si>
  <si>
    <t>Open Pilot Line/Test Bed for hydrogen</t>
  </si>
  <si>
    <t>Support for the deployment of R&amp;I results for climate mitigation. Synergies with the ETS Innovation Fund</t>
  </si>
  <si>
    <t>Driving Urban Transition Co-funded Partnership</t>
  </si>
  <si>
    <t>Advanced materials and cells development enabling large-scale production of Gen4 solid-state batteries for mobility applications (Batt4EU Partnership)</t>
  </si>
  <si>
    <t>New Approaches to Develop Enhanced Safety Materials for Gen 3 Li-Ion Batteries for Mobility Applications (Batt4EU Partnership)</t>
  </si>
  <si>
    <t>Creating a digital passport to track battery materials, optimize battery performance and life, validate recycling, and promote a new business model based on data sharing (Batt4EU Partnership)</t>
  </si>
  <si>
    <t>Renewable Energy Valleys to increase energy security while accelerating the green transition in Europe</t>
  </si>
  <si>
    <t>PV integration in buildings and in infrastructure</t>
  </si>
  <si>
    <t>Floating PV Systems</t>
  </si>
  <si>
    <t>Solar Systems for Industrial Process Heat and Power</t>
  </si>
  <si>
    <t>Critical technologies for the offshore wind farm of the Future</t>
  </si>
  <si>
    <t>Demonstration of advanced biofuel technologies for aviation and/or shipping</t>
  </si>
  <si>
    <t>Demonstration of synthetic renewable fuel for aviation and/or shipping</t>
  </si>
  <si>
    <t>Demonstration of sustainable tidal energy farms</t>
  </si>
  <si>
    <t>Waste heat reutilisation from data centres</t>
  </si>
  <si>
    <t>Supporting the development of a digital twin to improve management, operations and resilience of the EU Electricity System in support to REPowerEU</t>
  </si>
  <si>
    <t>Demonstration of DC powered data centres, buildings, industries and ports</t>
  </si>
  <si>
    <t>Development of MVDC, HVDC and High-Power Transmission systems and components for a resilient grid</t>
  </si>
  <si>
    <t>Development of novel long-term electricity storage technologies</t>
  </si>
  <si>
    <t>Demonstration of innovative, large-scale, seasonal heat and/or cooling storage technologies for decarbonisation and security of supply</t>
  </si>
  <si>
    <t>Supporting the green and digital transformation of the energy ecosystem and enhancing its resilience through the development and piloting of AI-IoT Edge-cloud and platform solutions</t>
  </si>
  <si>
    <t>Support action to the SET Plan IWG on HVDC &amp; DC Technologies</t>
  </si>
  <si>
    <t>Development of CO2 transport and storage demo projects</t>
  </si>
  <si>
    <t>Clean Energy Transition Co-funded Partnership</t>
  </si>
  <si>
    <t>Development of near zero-emission biomass heat and/or CHP including carbon capture</t>
  </si>
  <si>
    <t>Novel thermal energy storage for CSP</t>
  </si>
  <si>
    <t>Industrial manufacturing for lower-cost solar thermal components and systems</t>
  </si>
  <si>
    <t>Innovative components and configurations for heat pumps</t>
  </si>
  <si>
    <t>Advanced exploration technologies for geothermal resources in a wide range of geological settings</t>
  </si>
  <si>
    <t>Smart use of geothermal electricity and heating and cooling in the energy system</t>
  </si>
  <si>
    <t>Development of next generation advanced biofuel technologies</t>
  </si>
  <si>
    <t>Development of microalgae and/or direct solar fuel production and purification technologies for advanced aviation and /or shipping fuels</t>
  </si>
  <si>
    <t>Demonstration of sustainable hydropower refurbishment</t>
  </si>
  <si>
    <t>Development of innovative power take-off and control systems for wave energy devices</t>
  </si>
  <si>
    <t>Advanced concepts for crystalline Silicon technology</t>
  </si>
  <si>
    <t>Large Area Perovskite solar cells and modules</t>
  </si>
  <si>
    <t>Operation, Performance and Maintenance of PV Systems</t>
  </si>
  <si>
    <t>Digital twin for forecasting of power production to wind energy demand</t>
  </si>
  <si>
    <t>Critical technologies to improve the lifetime, efficient decommissioning and increase the circularity of offshore and onshore wind energy systems</t>
  </si>
  <si>
    <t>Accelerating the green transition and energy access in Africa</t>
  </si>
  <si>
    <t>Increasing the efficiency of innovative static energy conversion devices for electricity and heat/cold generation</t>
  </si>
  <si>
    <t>Integration of renewable gases, other than hydrogen or methane, and which have not access to gas grids and interfacing with electricity and heat sectors</t>
  </si>
  <si>
    <t>System approach for grid planning and upgrade in support of a dominant electric mobility (vehicles and vessels) using AI tools</t>
  </si>
  <si>
    <t>Digital tools for enhancing the uptake of digital services in the energy market</t>
  </si>
  <si>
    <t>Creation of a standardised and open-source peer-to-peer energy sharing platform architecture for the energy sector</t>
  </si>
  <si>
    <t>Components and interfacing for AC &amp; DC side protection system – AC &amp; DC grid: components and systems for grid optimisation</t>
  </si>
  <si>
    <t>Support to the SET Plan IWG on hydrogen</t>
  </si>
  <si>
    <t>Innovative cost-efficient solutions for zero-emission buildings</t>
  </si>
  <si>
    <t>Future-proofing historical buildings for the clean energy transition</t>
  </si>
  <si>
    <t>Interoperable solutions for positive energy districts (PEDs), including a better integration of local renewables and local excess heat sources</t>
  </si>
  <si>
    <t>Thermal management and energy optimisation of high energy demand IT systems equipment in tertiary buildings</t>
  </si>
  <si>
    <t>Innovative solutions for cost-effective decarbonisation of buildings through energy efficiency and electrification</t>
  </si>
  <si>
    <t>Integration of renewable heat or industrial waste heat in heat-to-cold conversion systems to generate cold for industrial processes</t>
  </si>
  <si>
    <t>Innovative uses of lifecycle data for the management of buildings and buildings portfolios (Built4People Partnership)</t>
  </si>
  <si>
    <t>Solutions for the identification of vulnerable buildings and people-centric built environment, and for improving their resilience in disruptive events and altered conditions in a changing climate (Built4People Partnership)</t>
  </si>
  <si>
    <t>Demonstrate built-environment decarbonisation pathways through bottom-up technological, social and policy innovation for adaptive integrated sustainable renovation solutions (Built4People Partnership)</t>
  </si>
  <si>
    <t>Fast-tracking and promoting built environment construction and renovation innovation with local value chains (Built4People Partnership)</t>
  </si>
  <si>
    <t>Supporting the creation of an accessible and inclusive built environment (Built4People Partnership)</t>
  </si>
  <si>
    <t>User-centric design and operation of EV for optimized energy efficiency (2ZERO Partnership)</t>
  </si>
  <si>
    <t>Innovative battery management systems for next generation vehicles (2ZERO &amp; Batt4EU Partnership)</t>
  </si>
  <si>
    <t>Frugal zero-emission vehicles concepts for the urban passenger challenge (2ZERO Partnership)</t>
  </si>
  <si>
    <t>Circular economy approaches for zero emission vehicles (2ZERO Partnership)</t>
  </si>
  <si>
    <t>Measuring road transport results towards 2ZERO KPIs (2ZERO Partnership)</t>
  </si>
  <si>
    <t>EU Member States/Associated countries research policy cooperation network to accelerate zero-emission road mobility (2ZERO Partnership)</t>
  </si>
  <si>
    <t>Hydrogen-powered aviation</t>
  </si>
  <si>
    <t>Accelerating climate-neutral hydrogen-powered/electrified aviation</t>
  </si>
  <si>
    <t>Competitiveness and digital transformation in aviation – advancing further capabilities, digital approach to design</t>
  </si>
  <si>
    <t>Aviation research synergies between Horizon Europe, AZEA and National programs</t>
  </si>
  <si>
    <t>Developing the next generation of power conversion technologies for sustainable alternative carbon neutral fuels in waterborne applications (ZEWT Partnership)</t>
  </si>
  <si>
    <t>Demonstrations to accelerate the switch to safe use of new sustainable climate neutral fuels in waterborne transport (ZEWT Partnership)</t>
  </si>
  <si>
    <t>Integrated real-time digital solutions to optimise navigation and port calls to reduce emissions from shipping (ZEWT Partnership)</t>
  </si>
  <si>
    <t>Developing a flexible offshore supply of zero emission auxiliary power for ships moored or anchored at sea deployable before 2030 (ZEWT Partnership)</t>
  </si>
  <si>
    <t>Reducing the environmental impact from shipyards and developing a whole life strategy to measure and minimise the non-operational environmental impacts from shipping</t>
  </si>
  <si>
    <t>Developing small, flexible, zero-emission and automated vessels to support shifting cargo from road to sustainable Waterborne Transport</t>
  </si>
  <si>
    <t>Towards the implementation of the inland navigation action programme with a focus on Green and Connected Inland Waterway Transport</t>
  </si>
  <si>
    <t>Advanced transport emissions monitoring networks</t>
  </si>
  <si>
    <t>Support for the organisation of EU-US symposia in the field of Transport Research</t>
  </si>
  <si>
    <t>User-centric development of vehicle technologies and solutions to optimise the on-board experience and ensure inclusiveness (CCAM Partnership)</t>
  </si>
  <si>
    <t>Generation of scenarios for development, training, virtual testing and validation of CCAM systems (CCAM Partnership)</t>
  </si>
  <si>
    <t>Infrastructure-enabled solutions for improving the continuity or extension of Operational Design Domains (ODDs) (CCAM Partnership)</t>
  </si>
  <si>
    <t>Integrating European diversity in the design, development and implementation of CCAM solutions to support mobility equity (CCAM Partnership)</t>
  </si>
  <si>
    <t>CCAM effects on jobs and education, plans for skills that match the CCAM development, and prerequisites for employment growth (CCAM Partnership)</t>
  </si>
  <si>
    <t>Zero-emission e-commerce and freight delivery and return choices by retailers, consumers and local authorities</t>
  </si>
  <si>
    <t>Operational automation to support multimodal freight transport</t>
  </si>
  <si>
    <t>Future-proof GHG and environmental emissions factors for accounting emissions from transport and logistics operations</t>
  </si>
  <si>
    <t>Climate resilient and safe maritime ports</t>
  </si>
  <si>
    <t>Better infrastructure safety on urban and secondary rural roads throughout a combination of adaptable monitoring and maintenance solutions</t>
  </si>
  <si>
    <t>Aviation safety - Uncertainty quantification for safety and risk management</t>
  </si>
  <si>
    <t>New ways of reducing serious injuries and the long-term consequences of road crashes</t>
  </si>
  <si>
    <t>Enhanced quantification and understanding of natural and anthropogenic methane emissions and sinks</t>
  </si>
  <si>
    <t>Inland ice, including snow cover, glaciers, ice sheets and permafrost, and their interaction with climate change</t>
  </si>
  <si>
    <t>Paleoclimate science for a better understanding of the short- to long-term evolution of the Earth system</t>
  </si>
  <si>
    <t>Improved toolbox for evaluating the climate and environmental impacts of trade policies</t>
  </si>
  <si>
    <t>Next generation low-emission, climate-resilient pathways and NDCs for a future aligned with the Paris Agreement</t>
  </si>
  <si>
    <t>The role of climate change foresight for primary and secondary raw materials supply</t>
  </si>
  <si>
    <t>Quantification of the role of key terrestrial ecosystems in the carbon cycle and related climate effects</t>
  </si>
  <si>
    <t>Advanced sustainable and safe pre-processing technologies for End-of-Life (EoL) battery recycling (Batt4EU Partnership)</t>
  </si>
  <si>
    <t>Non-Li Sustainable Batteries with European Supply Chains for Stationary Storage (Batt4EU Partnership)</t>
  </si>
  <si>
    <t>Development of technical and business solutions to optimise the circularity, resilience, and sustainability of the European battery value chain (Batt4EU Partnership)</t>
  </si>
  <si>
    <t>Emerging energy technologies for a climate neutral Europe</t>
  </si>
  <si>
    <t>Furthering the development of a materials acceleration platform for sustainable batteries (combining AI, big data, autonomous synthesis robotics, high throughput testing) (Batt4EU Partnership)</t>
  </si>
  <si>
    <t>Sustainable high-throughput production processes for stable lithium metal anodes for next generation batteries (Batt4EU Partnership)</t>
  </si>
  <si>
    <t>Post-Li-ion technologies and relevant manufacturing techniques for mobility applications (Generation 5) (Batt4EU Partnership)</t>
  </si>
  <si>
    <t>Size &amp; weight reduction of cell and packaging of batteries system, integrating lightweight and functional materials, innovative thermal management and safe and sustainable by design approach (Batt4EU Partnership)</t>
  </si>
  <si>
    <t>Alternative equipment and processes for advanced manufacturing of PV technologies</t>
  </si>
  <si>
    <t>Low-power PV</t>
  </si>
  <si>
    <t>Demonstration of improved intermediate renewable energy carrier technologies for transport fuels</t>
  </si>
  <si>
    <t>Improvement of light harvesting and carbon fixation with synthetic biology and/or bio-inspired//biomimetic pathways for renewable direct solar fuels production</t>
  </si>
  <si>
    <t>Development of carbon fixation technologies for biogenic flue gases</t>
  </si>
  <si>
    <t>Innovative applications/integration of geothermal heating and cooling in industry</t>
  </si>
  <si>
    <t>Development of hydropower equipment for improving techno-economic efficiency and equipment resilience in refurbishment situations</t>
  </si>
  <si>
    <t>Demonstration of sustainable wave energy farms</t>
  </si>
  <si>
    <t>Africa-EU CO-FUND action</t>
  </si>
  <si>
    <t>AI Testing and Experimentation Facility (TEF) for the energy sector – bringing technology to the market</t>
  </si>
  <si>
    <t>Energy Management Systems for flexibility services</t>
  </si>
  <si>
    <t>DC and AC/DC hybrid transmission and distribution systems</t>
  </si>
  <si>
    <t>Condition &amp; Health Monitoring in Power Electronics (PE) - Wide Band Gap PE for the energy sector</t>
  </si>
  <si>
    <t>HVAC, HVDC and High-Power cable systems</t>
  </si>
  <si>
    <t>Demonstration of innovative pumped storage equipment and tools in combination with innovative storage management systems</t>
  </si>
  <si>
    <t>Development and integration of advanced software tools in SCADA systems for High, Medium and Low voltage AC/DC hybrid systems</t>
  </si>
  <si>
    <t>Digital tools for CSP and solar thermal plants</t>
  </si>
  <si>
    <t>Development of next generation synthetic renewable fuel technologies</t>
  </si>
  <si>
    <t>Development of smart concepts of integrated energy driven bio-refineries for co-production of advanced biofuels, bio-chemicals and biomaterials</t>
  </si>
  <si>
    <t>Critical technologies for the future ocean energy farms</t>
  </si>
  <si>
    <t>PV-integrated electric mobility applications</t>
  </si>
  <si>
    <t>Innovative, Community-Integrated PV systems</t>
  </si>
  <si>
    <t>Resource Efficiency of PV in Production, Use and Disposal</t>
  </si>
  <si>
    <t>Minimisation of environmental, and optimisation of socio-economic impacts in the deployment, operation and decommissioning of offshore wind farms</t>
  </si>
  <si>
    <t>Demonstrations of innovative floating wind concepts</t>
  </si>
  <si>
    <t>CCU for the production of fuels</t>
  </si>
  <si>
    <t>DACCS and BECCS for CO2 removal/negative emissions</t>
  </si>
  <si>
    <t>Support to the activities of the SET Plan Key Action area Renewable fuels and bioenergy</t>
  </si>
  <si>
    <t>Low-disruptive renovation processes using integration of prefabricated solutions for energy-efficient buildings</t>
  </si>
  <si>
    <t>Smart grid-ready buildings</t>
  </si>
  <si>
    <t>Alternative heating systems for efficient, flexible and electrified heat generation in industry</t>
  </si>
  <si>
    <t>Industrialisation of sustainable and circular deep renovation workflows (Built4People Partnership)</t>
  </si>
  <si>
    <t>Robotics and other automated solutions for construction, renovation and maintenance in a sustainable built environment (Built4People Partnership)</t>
  </si>
  <si>
    <t>BIM-based processes and digital twins for facilitating and optimising circular energy renovation (Built4People Partnership)</t>
  </si>
  <si>
    <t>Design for adaptability, re-use and deconstruction of buildings, in line with the principles of circular economy (Built4People Partnership)</t>
  </si>
  <si>
    <t>Digital solutions to foster participative design, planning and management of buildings, neighbourhoods and urban districts (Built4People Partnership)</t>
  </si>
  <si>
    <t>Smart, low-cost pervasive stationary slow charging and bi-directional solutions synergic with the grid for EV mass deployment (2ZERO Partnership)</t>
  </si>
  <si>
    <t>Integration and testing of next generation post-800V electric powertrains (2ZERO Partnership)</t>
  </si>
  <si>
    <t>Advanced battery system integration for next generation vehicles (2ZERO Partnership)</t>
  </si>
  <si>
    <t>Integrated flexible multipoint megawatt charging systems for electric truck mass deployment (2ZERO Partnership) (2024)</t>
  </si>
  <si>
    <t>Advanced digital development tools to accelerate the development of software defined vehicles that enable zero-emission mobility (2ZERO Partnership)</t>
  </si>
  <si>
    <t>New designs, shapes, functionalities of Light Commercial Vehicles (2ZERO Partnership)</t>
  </si>
  <si>
    <t>Accelerating climate neutral aviation, minimising non-CO2 emissions</t>
  </si>
  <si>
    <t>Competitiveness and digital transformation in aviation – advancing further composite aerostructures</t>
  </si>
  <si>
    <t>Impact monitoring of EU Aviation R&amp;I</t>
  </si>
  <si>
    <t>Towards a flying testbed for European leadership in aviation</t>
  </si>
  <si>
    <t>Achieving high voltage, low weight, efficient electric powertrains for sustainable waterborne transport (ZEWT Partnership)</t>
  </si>
  <si>
    <t>Combining state-of-the-art emission reduction and efficiency improvement technologies in ship design and retrofitting for contributing to the "Fit for 55" package objective by 2030 (ZEWT Partnership)</t>
  </si>
  <si>
    <t>Demonstration of Technologies to minimise underwater noise generated by waterborne transport (ZEWT Partnership)</t>
  </si>
  <si>
    <t>Demonstrating efficient fully DC electric grids within waterborne transport for large ship applications (ZEWT Partnership)</t>
  </si>
  <si>
    <t>Advanced digitalisation and modelling utilizing operational and other data to support zero emission waterborne transport (ZEWT Partnership)</t>
  </si>
  <si>
    <t>Structuring the Waterborne transport sector, including through changed business and industrial models in order to achieve commercial zero-emission waterborne transport (ZEWT Partnership)</t>
  </si>
  <si>
    <t>Coordinating and supporting the combined activities of member and associated states towards the objectives of the Zero Emission Waterborne Transport partnership so as to increase synergies and impact (ZEWT Partnership)</t>
  </si>
  <si>
    <t>Assessment of air pollutant emissions from low-carbon fuels in the heavy-duty, aviation, and maritime sectors</t>
  </si>
  <si>
    <t>Centralised, reliable, cyber-secure &amp; upgradable in-vehicle electronic control architectures for CCAM connected to the cloud-edge continuum (CCAM Partnership)</t>
  </si>
  <si>
    <t>Scenario-based safety assurance of CCAM and related HMI in a dynamically evolving transport system (CCAM Partnership)</t>
  </si>
  <si>
    <t>Orchestration of heterogeneous actors in mixed traffic within the CCAM ecosystem (CCAM Partnership)</t>
  </si>
  <si>
    <t>AI for advanced and collective perception and decision making for CCAM applications (CCAM Partnership)</t>
  </si>
  <si>
    <t>Robust Knowledge and Know-How transfer for Key-Deployment Pathways and implementation of the EU-CEM (CCAM Partnership)</t>
  </si>
  <si>
    <t>Optimising multimodal network and traffic management, harnessing data from infrastructures, mobility of passengers and freight transport</t>
  </si>
  <si>
    <t>Scaling up logistics innovations supporting freight transport decarbonisation in an affordable way</t>
  </si>
  <si>
    <t>Improved transport infrastructure performance – Innovative digital tools and solutions to monitor and improve the management and operation of transport infrastructure</t>
  </si>
  <si>
    <t>Policies and governance shaping the future transport and mobility systems</t>
  </si>
  <si>
    <t>Ensuring the safety, resilience and security of waterborne digital systems</t>
  </si>
  <si>
    <t>Effects of disruptive changes in transport: towards resilient, safe and energy efficient mobility</t>
  </si>
  <si>
    <t>A new framework to improve traffic safety culture in the EU</t>
  </si>
  <si>
    <t>European participation in global biodiversity genomics endeavours aimed at identifying all biodiversity on Earth</t>
  </si>
  <si>
    <t>Data and technologies for the inventory, fast identification and monitoring of endangered wildlife and other species groups</t>
  </si>
  <si>
    <t>Understanding and valuing coastal and marine biodiversity and ecosystems services</t>
  </si>
  <si>
    <t>Assess and predict integrated impacts of cumulative direct and indirect stressors on coastal and marine biodiversity, ecosystems and their services</t>
  </si>
  <si>
    <t>The economics of nature-based solutions: cost-benefit analysis, market development and funding</t>
  </si>
  <si>
    <t>Nature-based solutions, prevention and reduction of risks and the insurance sector</t>
  </si>
  <si>
    <t>Ecosystems and their services for an evidence-based policy and decision-making</t>
  </si>
  <si>
    <t>Supporting the development of a coherent and resilient Trans-European Nature Network</t>
  </si>
  <si>
    <t>Assessing and consolidating recent scientific advances on freshwater ecosystem restoration.</t>
  </si>
  <si>
    <t>Demonstration of measures and management for coastal and marine ecosystems restoration and resilience in simplified socio-ecological systems.</t>
  </si>
  <si>
    <t>What else is out there? Exploring the connection between biodiversity, ecosystems services, pandemics and epidemic risk</t>
  </si>
  <si>
    <t>Improved science based maritime spatial planning and identification of marine protected areas</t>
  </si>
  <si>
    <t>Breeding for resilience: focus on root-based traits</t>
  </si>
  <si>
    <t>Fostering organic crop breeding</t>
  </si>
  <si>
    <t>Quantify impacts of the trade in raw and processed biomass on ecosystems, for offering new leverage points for biodiversity conservation, along supply chains, to reduce leakage effects</t>
  </si>
  <si>
    <t>Biodiversity, water, food, energy, transport, climate and health nexus in the context of transformative change</t>
  </si>
  <si>
    <t>Policy mixes, governance (including financing) and decision-making tools for transformative action on biodiversity</t>
  </si>
  <si>
    <t>Understanding the impacts of and the opportunities offered by digital transformation, new emerging technologies and social innovation on biodiversity</t>
  </si>
  <si>
    <t>A mechanism for science to inform implementation, monitoring, review and ratcheting up of the new EU biodiversity strategy for 2030 ('Science Service').</t>
  </si>
  <si>
    <t>Support to processes triggered by IPBES and IPCC</t>
  </si>
  <si>
    <t>Impact and dependence of business on biodiversity</t>
  </si>
  <si>
    <t>European partnership rescuing biodiversity to safeguard life on Earth</t>
  </si>
  <si>
    <t>Circular Cities and Regions Initiative (CCRI)’s circular systemic solutions</t>
  </si>
  <si>
    <t>Circular Cities and Regions Initiative’s project development assistance (CCRI-PDA)</t>
  </si>
  <si>
    <t>Innovative solutions to over-packaging and single-use plastics, and related microplastic pollution</t>
  </si>
  <si>
    <t>Increasing the circularity in textiles, plastics and/or electronics value chains</t>
  </si>
  <si>
    <t>Novel, non-plant biomass feedstocks for industrial applications</t>
  </si>
  <si>
    <t>Contained biomass solutions for sustainable and zero-Indirect Land Use Change (ILUC) production systems for high value applications</t>
  </si>
  <si>
    <t>Microbiomes for bio-based innovation and environmental applications</t>
  </si>
  <si>
    <t>Mainstreaming inclusive small-scale bio-based solutions in European rural areas</t>
  </si>
  <si>
    <t>Unlocking the potential of algae for a thriving European blue bioeconomy</t>
  </si>
  <si>
    <t>Improved understanding, observation and monitoring of water resources availability.</t>
  </si>
  <si>
    <t>European Partnership Water Security for the Planet (Water4All)</t>
  </si>
  <si>
    <t>Key oceanic and polar processes driving regional &amp; global climate change</t>
  </si>
  <si>
    <t>Demonstration network on climate-smart farming – linking pilot farms</t>
  </si>
  <si>
    <t>Agroecological approaches for climate change mitigation, resilient agricultural production and enhanced biodiversity</t>
  </si>
  <si>
    <t>Resilient livestock farming systems under climate change</t>
  </si>
  <si>
    <t>International Research Consortium on (agricultural) soil carbon</t>
  </si>
  <si>
    <t>Agroforestry to meet climate, biodiversity and farming sustainability goals</t>
  </si>
  <si>
    <t>Enhancing science-based knowledge on EU forests’, including old-growth forests, capacities to mitigate climate change</t>
  </si>
  <si>
    <t>EU-China international cooperation on increasing the resilience of forests</t>
  </si>
  <si>
    <t>Grasping rural diversity and strengthening evidence for tailored policies enhancing the contribution of rural communities to ecological, digital and social transitions</t>
  </si>
  <si>
    <t>Expertise and training centre on rural innovation</t>
  </si>
  <si>
    <t>Smart XG, last-mile and edge solutions for remote farming, forestry and rural areas</t>
  </si>
  <si>
    <t>Socio-economic empowerment of the users of the sea</t>
  </si>
  <si>
    <t>Integrated urban food system policies – how cities and towns can transform food systems for co-benefits</t>
  </si>
  <si>
    <t>Inside and outside: educational innovation with nature-based solutions</t>
  </si>
  <si>
    <t>Reaching the farm to fork target: R&amp;I scenarios for boosting organic farming and organic aquaculture in Europe</t>
  </si>
  <si>
    <t>Developing sustainable and competitive land-based protein crop systems and value chains</t>
  </si>
  <si>
    <t>Digitalisation as an enabler of agroecological farming systems</t>
  </si>
  <si>
    <t>Tackling outbreaks of plant pests</t>
  </si>
  <si>
    <t>Animal welfare 2.0</t>
  </si>
  <si>
    <t>Vaccines and diagnostics for priority animal diseases</t>
  </si>
  <si>
    <t>Research &amp; innovation roadmap for blockchain technologies in the agri-food sector</t>
  </si>
  <si>
    <t>Uncovering lock-ins and levers to encourage farmers to move to and stay in sustainable, climate-neutral and biodiversity-friendly farming systems: from experiments to systemic mechanisms</t>
  </si>
  <si>
    <t>Towards an EU approach to assess and internalise positive and negative externalities of food for incentivising sustainable choices</t>
  </si>
  <si>
    <t>Sea to fork transparency and consumer engagement</t>
  </si>
  <si>
    <t>Digital transition supporting inspection and control for sustainable fisheries</t>
  </si>
  <si>
    <t>Filling knowledge gaps on the nutritional, safety, allergenicity and environmental assessment of alternative proteins and dietary shift</t>
  </si>
  <si>
    <t>Evidence-based decision-making to change social norms towards zero food waste</t>
  </si>
  <si>
    <t>Microbes for healthy and sustainable food and diets</t>
  </si>
  <si>
    <t>Transition to healthy and sustainable dietary behaviour</t>
  </si>
  <si>
    <t>Identification, assessment and management of existing and emerging food safety issues</t>
  </si>
  <si>
    <t>Increasing the transparency of EU food systems to boost health, sustainability and safety of products, processes and diets</t>
  </si>
  <si>
    <t>One Health approach for Food Nutrition Security and Sustainable Agriculture (FNSSA)</t>
  </si>
  <si>
    <t>EU-China international cooperation on integrated pest management in agriculture</t>
  </si>
  <si>
    <t>Mobilising the network of national contact points in Cluster 6</t>
  </si>
  <si>
    <t>Furthering food systems science and federating researchers across the European Research Area</t>
  </si>
  <si>
    <t>Preparatory action for the Horizon Europe Food System Partnership</t>
  </si>
  <si>
    <t>Strengthening bioeconomy innovation and deployment across sectors and all governance levels</t>
  </si>
  <si>
    <t>Fostering strategic advice and synergies between national and EU research and innovation agendas, including SCAR foresight</t>
  </si>
  <si>
    <t>Environmental and social cross-compliance of marine policies</t>
  </si>
  <si>
    <t>Regional governance models in the bioeconomy</t>
  </si>
  <si>
    <t>Improving understanding of and engagement in bio-based systems with training and skills development</t>
  </si>
  <si>
    <t>Revitalisation of European local communities with innovative bio-based business models and social innovation</t>
  </si>
  <si>
    <t>Raising awareness of circular and sustainable bioeconomy in support of Member States to develop bioeconomy strategies and/or action plans</t>
  </si>
  <si>
    <t>Education on the bioeconomy including bio-based sectors for young people in primary and secondary education in Europe</t>
  </si>
  <si>
    <t>EU agriculture within a safe and just operating space and planetary boundaries</t>
  </si>
  <si>
    <t>Modelling land use and land management in the context of climate change</t>
  </si>
  <si>
    <t>User-oriented solutions building on environmental observation to monitor critical ecosystems and biodiversity loss and vulnerability in the European Union</t>
  </si>
  <si>
    <t>Preparing for pre-commercial procurement (PCP) for end-user services based on environmental observation in the area of climate change adaptation and mitigation</t>
  </si>
  <si>
    <t>Tools to support the uptake and accessibility/exploitability of environmental observation information at European and global level</t>
  </si>
  <si>
    <t>Common European Green Deal data space to provide more accessible and exploitable environmental observation data in support of the European Green Deal priority actions</t>
  </si>
  <si>
    <t>Mapping and improving the data economy for food systems</t>
  </si>
  <si>
    <t>Development of the markets and use of digital technologies and infrastructure in agriculture – state of play and foresight: digital and data technologies for the agricultural sector in a fast changing regulatory, trade and technical environment</t>
  </si>
  <si>
    <t>Data economy in the field of agriculture – effects of data sharing and big data</t>
  </si>
  <si>
    <t>Potential of drones as multi-purpose vehicle – risks and added values</t>
  </si>
  <si>
    <t>Assessing the impacts of digital technologies in agriculture – cost, benefits and potential for sustainability gains</t>
  </si>
  <si>
    <t>Broaden EIP Operational Group outcomes across borders by means of thematic networks, compiling and sharing knowledge ready for practice</t>
  </si>
  <si>
    <t>Supporting knowledge exchange between all AKIS actors in the Member States by means of an EU-wide interactive knowledge reservoir</t>
  </si>
  <si>
    <t>Improving national AKIS organisation in a co-creative process across the EU</t>
  </si>
  <si>
    <t>Deepening the functioning of innovation support</t>
  </si>
  <si>
    <t>Developing EU advisory networks on consumer-producer chains</t>
  </si>
  <si>
    <t>Thematic networks to compile and share knowledge ready for practice</t>
  </si>
  <si>
    <t>Regional nitrogen and phosphorus load reduction approach within safe ecological boundaries</t>
  </si>
  <si>
    <t>Optimisation of nutrient budget in agriculture</t>
  </si>
  <si>
    <t>Preventing and managing diffuse pollution in urban water runoff</t>
  </si>
  <si>
    <t>Achieving zero polluted seas and ocean</t>
  </si>
  <si>
    <t>Environmental sustainability criteria for biological resources production and trade in bio-based systems: impacts and trade-offs</t>
  </si>
  <si>
    <t>Increasing the environmental performance of industrial processes in bio-based sectors: construction, woodworking, textiles, pulp and paper and bio-chemicals</t>
  </si>
  <si>
    <t>International and EU sustainability certification schemes for bio-based systems</t>
  </si>
  <si>
    <t>New genomic techniques (NGT): understanding benefits and risks – focus on bio-based innovation</t>
  </si>
  <si>
    <t>Environmental impacts and trade-offs of alternative fertilising products at global/local scale.</t>
  </si>
  <si>
    <t>Environmental services: improved bioremediation and revitalization strategies for soil, sediments and water</t>
  </si>
  <si>
    <t>Observing and mapping biodiversity and ecosystems, with particular focus on coastal and marine ecosystems</t>
  </si>
  <si>
    <t>Building taxonomic research capacity near biodiversity hotspots and for protected areas by networking natural history museums and other taxonomic facilities</t>
  </si>
  <si>
    <t>Network for nature: multi-stakeholder dialogue platform to promote nature-based solutions</t>
  </si>
  <si>
    <t>Natural capital accounting: Measuring the biodiversity footprint of products and organizations</t>
  </si>
  <si>
    <t>Intercropping – understanding and using the benefits of complexity in farming and value chains</t>
  </si>
  <si>
    <t>Monitoring and effective measures for agrobiodiversity</t>
  </si>
  <si>
    <t>Protection and sustainable management of forest genetic resources of high interest for biodiversity, climate change adaptation, and forest reproductive materials</t>
  </si>
  <si>
    <t>Assessing the nexus of extraction, production, consumption, trade and behaviour patterns and of climate change action on biodiversity in the context of transformative change</t>
  </si>
  <si>
    <t>Understanding the role of behaviour, gender specifics, lifestyle, religious and cultural values, and addressing the role of enabling players (civil society, policy makers, financing and business leaders, retailers) in decision making</t>
  </si>
  <si>
    <t>Cooperation with the Convention on Biological Diversity</t>
  </si>
  <si>
    <t>Maintaining and restoring pollinators and pollination services in European agricultural landscapes</t>
  </si>
  <si>
    <t>Boosting breeding for a sustainable, resilient and competitive European legume sector</t>
  </si>
  <si>
    <t>Resilient beekeeping</t>
  </si>
  <si>
    <t>Marginal lands and climate-resilient and biodiversity-friendly crops for sustainable industrial feedstocks and related value chains</t>
  </si>
  <si>
    <t>Benefits of the transition towards sustainable circular bio-based systems from linear fossil-based</t>
  </si>
  <si>
    <t>Maximising economic, environmental and social synergies in the provision of feedstock for bio-based sectors through diversification and increased sustainability of agricultural production systems</t>
  </si>
  <si>
    <t>EU-China international cooperation on unlocking the potential of agricultural residues and wastes for circular and sustainable bio-based solutions</t>
  </si>
  <si>
    <t>Strengthening the European forest-based research and innovation ecosystem</t>
  </si>
  <si>
    <t>Marine microbiome for a healthy ocean and a sustainable blue bioeconomy</t>
  </si>
  <si>
    <t>Integrated solutions for circularity in buildings and the construction sector</t>
  </si>
  <si>
    <t>Exploring extreme environments: novel adaptation strategies at molecular level for bio-based innovation</t>
  </si>
  <si>
    <t>Sustainable biodegradable novel bio-based plastics: innovation for sustainability and end-of-life options of plastics</t>
  </si>
  <si>
    <t>Photosynthesis revisited: climate emergency, “no pollution and zero-emission” challenge and industrial application</t>
  </si>
  <si>
    <t>Life sciences and their convergence with digital technologies for prospecting, understanding and sustainably using biological resources</t>
  </si>
  <si>
    <t>Harnessing the digital revolution in the forest-based sector</t>
  </si>
  <si>
    <t>Climate sensitive water allocation systems and economic instruments.</t>
  </si>
  <si>
    <t>Understanding the oceanic carbon cycle</t>
  </si>
  <si>
    <t>Demonstration network on climate-smart farming – boosting the role of advisory services</t>
  </si>
  <si>
    <t>Fostering the resilience of agricultural production: from observation of changes to the development of resilience strategies</t>
  </si>
  <si>
    <t>Forestry - European observatory of climate change impacts and demonstration network of climate smart restoration pilots</t>
  </si>
  <si>
    <t>Boosting women-led innovation in farming and rural areas</t>
  </si>
  <si>
    <t>Assessing and improving labour conditions and health and safety at work in farming</t>
  </si>
  <si>
    <t>Integration of marine ecosystem service valuation, conservation and restoration in socio-economic models</t>
  </si>
  <si>
    <t>Social innovation in food sharing to strengthen urban communities’ food resilience</t>
  </si>
  <si>
    <t>Assessing the socio-politics of nature-based solutions for more inclusive and resilient communities</t>
  </si>
  <si>
    <t>Smart solutions for smart rural communities: empowering rural communities and smart villages to innovate for societal change</t>
  </si>
  <si>
    <t>Developing nature-based therapy for health and well-being</t>
  </si>
  <si>
    <t>Risk assessment of new low risk pesticides</t>
  </si>
  <si>
    <t>Socio-economics of pesticide use in agriculture</t>
  </si>
  <si>
    <t>Enhancing biosecurity in terrestrial livestock production</t>
  </si>
  <si>
    <t>Innovative solutions to prevent adulteration of food bearing quality labels: focus on organic food and geographical indications</t>
  </si>
  <si>
    <t>Integrated and sustainable freshwater bioeconomy: Combining aquaculture, biodiversity preservation, biotechnology and other uses</t>
  </si>
  <si>
    <t>Biosecurity, hygiene, disease prevention and animal welfare in aquaculture</t>
  </si>
  <si>
    <t>Building alternative protein-friendly sustainable and healthy food environments</t>
  </si>
  <si>
    <t>Research and innovation for food losses and waste prevention and reduction through harmonised measurement and monitoring</t>
  </si>
  <si>
    <t>Microbiomes in food production systems</t>
  </si>
  <si>
    <t>Integrated surveillance system to prevent and reduce diet-related non communicable diseases (NCDs)</t>
  </si>
  <si>
    <t>Effective systems for authenticity and traceability in the food system</t>
  </si>
  <si>
    <t>Agro-ecological approaches in African agriculture systems</t>
  </si>
  <si>
    <t>AU-EU Combatting all forms of malnutrition</t>
  </si>
  <si>
    <t>African food cities</t>
  </si>
  <si>
    <t>Support for international research on infectious animal diseases</t>
  </si>
  <si>
    <t>Agroecological approaches for sustainable weed management</t>
  </si>
  <si>
    <t>Emerging and future risks to plant health</t>
  </si>
  <si>
    <t>Ecology of infectious animal diseases</t>
  </si>
  <si>
    <t>Smart solutions for the use of digital technologies for small- and medium-sized, farms and farm structures</t>
  </si>
  <si>
    <t>Innovative food from marine and freshwater ecosystems</t>
  </si>
  <si>
    <t>Mobilisation of society to transform food systems for co-benefits</t>
  </si>
  <si>
    <t>European Partnership for a climate neutral, sustainable and productive Blue Economy</t>
  </si>
  <si>
    <t>Multi-layer governance performance of marine policies</t>
  </si>
  <si>
    <t>Consumer-focused labelling options for bio-based products</t>
  </si>
  <si>
    <t>Innovative tools and methods to evaluate the design and support, monitoring and implementation of effective CAP strategic plans</t>
  </si>
  <si>
    <t>Water governance, economic and financial sustainability of water systems</t>
  </si>
  <si>
    <t>New technologies for acquiring in-situ observation datasets to address climate change effects</t>
  </si>
  <si>
    <t>Uptake and validation of citizen observations to complement authoritative measurement within the urban environment and boost related citizen engagement</t>
  </si>
  <si>
    <t>Environmental observations solutions contributing to meeting “One Health” challenges</t>
  </si>
  <si>
    <t>Piloting approaches and tools to empower citizens to exercise their “data rights” in the area of food and nutrition</t>
  </si>
  <si>
    <t>Upscaling (real-time) sensor data for EU-wide monitoring of production and agri-environmental conditions</t>
  </si>
  <si>
    <t>Improving preparation of multi-actor projects to enable the relevant actors to work in a co-creative way</t>
  </si>
  <si>
    <t>Developing EU advisory networks on water use</t>
  </si>
  <si>
    <t>Preventing groundwater contamination and protecting its quality against harmful impacts of global and climate change</t>
  </si>
  <si>
    <t>Piloting innovative governance solutions to limit nitrogen and phosphorus emissions at the interface of rural/coastal and urban/industrial environments</t>
  </si>
  <si>
    <t>EU-China international cooperation on nature-based solutions for nutrient management in agriculture</t>
  </si>
  <si>
    <t>Securing drinking water quality by protecting water sources against pollution, providing innovative monitoring and treatment solutions and ensuring safe distribution</t>
  </si>
  <si>
    <t>Better understanding of routes of exposure and toxicological and ecological impacts of chemical pollution on terrestrial biodiversity</t>
  </si>
  <si>
    <t>Build up of knowledge on Nature Positive Economy and supporting its scale-up</t>
  </si>
  <si>
    <t>Biodiversity loss and enhancing ecosystem services in urban and peri-urban areas</t>
  </si>
  <si>
    <t>Reinforcing science policy support with IPBES and IPCC for better interconnected biodiversity and climate policies</t>
  </si>
  <si>
    <t>Crop wild relatives for sustainable agriculture</t>
  </si>
  <si>
    <t>Biodiversity friendly practices in agriculture – breeding for Integrated Pest Management (IPM)</t>
  </si>
  <si>
    <t>Integrative forest management for multiple ecosystem services and enhanced biodiversity</t>
  </si>
  <si>
    <t>Valorisation of ecosystem services provided by legume crops</t>
  </si>
  <si>
    <t>Interlinkages between biodiversity loss and degradation of ecosystems and the emergence of zoonotic diseases</t>
  </si>
  <si>
    <t>Additional activities for the European Biodiversity Partnership: Biodiversa+</t>
  </si>
  <si>
    <t>Impact of light and noise pollution on biodiversity</t>
  </si>
  <si>
    <t>Interdisciplinary assessment of changes affecting terrestrial and freshwater ecosystems, building on observation programmes</t>
  </si>
  <si>
    <t>Nature protection: Better methods and knowledge to improve the conservation status of EU-protected species and habitats</t>
  </si>
  <si>
    <t>Understanding and reducing bycatch of protected species</t>
  </si>
  <si>
    <t>Restoration of deep-sea habitats</t>
  </si>
  <si>
    <t>Demonstration of marine and coastal infrastructures as hybrid blue-grey Nature-based Solutions</t>
  </si>
  <si>
    <t>Addressing biodiversity decline and promoting Nature-based Solutions in higher education</t>
  </si>
  <si>
    <t>Biodiversity, economics and finance: unlocking financial flows towards reversing of biodiversity loss</t>
  </si>
  <si>
    <t>Additional activities for the European Partnership Water Security for the Planet (Water4All)</t>
  </si>
  <si>
    <t>Improve the reliability and effectiveness of alternative water resources supply systems and technologies</t>
  </si>
  <si>
    <t xml:space="preserve">Ocean and coastal waters carbon- and biodiversity-rich ecosystems and habitats in Europe and the Polar Regions </t>
  </si>
  <si>
    <t>Demonstration network on climate-smart farming – linking research stations</t>
  </si>
  <si>
    <t>Pilot network of climate-positive organic farms</t>
  </si>
  <si>
    <t>Analysing fossil-energy dependence in agriculture to increase resilience against input price fluctuations</t>
  </si>
  <si>
    <t>Enhancing the sustainable production of renewable energy at farm-level</t>
  </si>
  <si>
    <t xml:space="preserve">Closing the research gaps on Essential Ocean Variables (EOVs) in support of global assessments </t>
  </si>
  <si>
    <t>Enhancing social inclusion in rural areas: focus on people in a vulnerable situation and social economy</t>
  </si>
  <si>
    <t>Improving rural future through better territorial governance and rural-urban synergies</t>
  </si>
  <si>
    <t>International benchmarking of rural and territorial policies and delivery mechanisms</t>
  </si>
  <si>
    <t>Investigating the contribution of geographical indications (GIs) to sustainable development and optimising support for newly established schemes</t>
  </si>
  <si>
    <t>Assessing urban farming impacts</t>
  </si>
  <si>
    <t>Inclusive and smart ways to communicate sustainability of food</t>
  </si>
  <si>
    <t>Enhancing collaboration between Circular Cities and Regions Initiative's (CCRI) supporting organisations</t>
  </si>
  <si>
    <t>Supporting the fair and just transition from GHG-intensive economies facing challenges towards circular bioeconomy model regions</t>
  </si>
  <si>
    <t>Novel culturing of aquatic organisms for blue biotechnology applications</t>
  </si>
  <si>
    <t>Optimising the sustainable production of wood and non-wood products in small forest properties and development of new forest-based value chains</t>
  </si>
  <si>
    <t>Capturing market trends and societal perceptions for tailor-made forest services</t>
  </si>
  <si>
    <t>Monitoring the multi-functionality of European forests</t>
  </si>
  <si>
    <t>One hundred circular model households: making European households sustainable through inclusive circular practices</t>
  </si>
  <si>
    <t>Harnessing the innovation potential and market uptake of successful circular economy water related projects</t>
  </si>
  <si>
    <t>Land-based bioprospecting and production of bioactive compounds and functional materials for multiple bio-based value chains</t>
  </si>
  <si>
    <t>Broadening the spectrum of robust enzymes and microbial hosts in industrial biotechnology</t>
  </si>
  <si>
    <t>Bio-based solutions for humanitarian applications</t>
  </si>
  <si>
    <t>Symbiosis in the bio-based industrial ecosystems</t>
  </si>
  <si>
    <t>Eco-friendly consumer products – low-toxicity/zero pollution construction bio-based materials</t>
  </si>
  <si>
    <t>Business models that balance the share of power and profit in the bioeconomy</t>
  </si>
  <si>
    <t>Novel, sustainable and circular bio-based textiles</t>
  </si>
  <si>
    <t>Non-plant biomass feedstock for industrial applications: technologies and processes to convert non-lignocellulosic biomass and waste into bio-based chemicals, materials and products, improving the cascading valorisation of biomass</t>
  </si>
  <si>
    <t>European partnership on accelerating farming systems transition – agroecology living labs and research infrastructures</t>
  </si>
  <si>
    <t>Eradicate micronutrient deficiencies in the EU</t>
  </si>
  <si>
    <t>New detection methods on products derived from new genomic techniques for traceability, transparency and innovation in the food system</t>
  </si>
  <si>
    <t>Thematic network ensuring food safety by translating research and innovation into practice</t>
  </si>
  <si>
    <t>Cultured meat and cultured seafood – state of play and future prospects in the EU</t>
  </si>
  <si>
    <t>Providing marketing solutions to prevent and reduce the food waste related to marketing standards</t>
  </si>
  <si>
    <t>Fostering resilient European food systems in a changing world</t>
  </si>
  <si>
    <t>Microbiomes fighting food waste through applicable solutions in food processing, packaging and shelf life</t>
  </si>
  <si>
    <t>EU-African Union cooperation – linking the activities of the Food and Nutrition Security and Sustainable Agriculture (FNSSA) partnership and those of the Pan-African Network for Economic Analysis of Policies (PANAP)</t>
  </si>
  <si>
    <t>Support for the implementation of a sustainable platform for the EU-African Union cooperation under the Food and Nutrition Security and Sustainable Agriculture (FNSSA) partnership</t>
  </si>
  <si>
    <t>Support to the markets and trade of agroecological food products under the Food and Nutrition Security and Sustainable Agriculture (FNSSA) partnership</t>
  </si>
  <si>
    <t>European partnership on animal health and welfare</t>
  </si>
  <si>
    <t>EU-Africa Union – food safety</t>
  </si>
  <si>
    <t>Improving yields in organic cropping systems</t>
  </si>
  <si>
    <t>Towards research and innovation beyond farm to fork strategy targets for pesticides after 2030</t>
  </si>
  <si>
    <t>Advancing vaccine development for African swine fever</t>
  </si>
  <si>
    <t>Towards sustainable livestock systems: European platform for evidence building and transitioning policy</t>
  </si>
  <si>
    <t>Innovations in plant protection: alternatives to reduce the use of pesticides focusing on candidates for substitution</t>
  </si>
  <si>
    <t>Using automatic species recognition and artificial intelligence to fight illegal fish discards and revolutionise fisheries control</t>
  </si>
  <si>
    <t>European partnership on sustainable food systems for people, planet and climate</t>
  </si>
  <si>
    <t>European partnership of Agriculture of Data</t>
  </si>
  <si>
    <t>Support to EuroGEO initiative coordination/establishing a EuroGEO secretariat</t>
  </si>
  <si>
    <t>Reducing observation gaps in the land-sea interface area</t>
  </si>
  <si>
    <t>Empowering citizens to monitor, report and act in partnership with relevant public authorities to protect their environment in the context of environmental compliance assurance</t>
  </si>
  <si>
    <t>Open source solutions for edge, cloud and mixed model applications to strengthen production and administrative capacities in agriculture</t>
  </si>
  <si>
    <t>Digital and data technologies for livestock tracking</t>
  </si>
  <si>
    <t>Digitalisation in agriculture and forestry: markets for data, and digital technologies and infrastructure – state of play and foresight in a fast changing regulatory, trade and technical environment</t>
  </si>
  <si>
    <t>Digital technologies supporting plant health early detection, territory surveillance and phytosanitary measures</t>
  </si>
  <si>
    <t>Data-driven solutions to foster industry’s contribution to inclusive and sustainable food systems</t>
  </si>
  <si>
    <t>Broaden EIP Operational Group outcomes across borders by means of thematic networks to compile and share knowledge ready for practice</t>
  </si>
  <si>
    <t>Advancing analytical capacity and tools to support EU agri-food policies post 2027</t>
  </si>
  <si>
    <t>Developing an EU advisory network on organic agriculture</t>
  </si>
  <si>
    <t>Developing EU advisory networks to reduce the use of pesticides</t>
  </si>
  <si>
    <t>Developing EU advisory networks on the optimal fertiliser use</t>
  </si>
  <si>
    <t>Towards CAP post 2027: evidence on nudging farmers to leverage more sustainable practices and behaviours</t>
  </si>
  <si>
    <t>Developing an interdisciplinary and inclusive pan-European academic network for food system science</t>
  </si>
  <si>
    <t>Revitalisation of European local (rural / peri-urban) communities with innovative bio-based business models and social innovation</t>
  </si>
  <si>
    <t>Co-creation and trust-building measures for biotechnology and bio-based innovation systems</t>
  </si>
  <si>
    <t>Integrated assessment of land use and biomass demands to contribute to a sustainable healthy and fair bioeconomy</t>
  </si>
  <si>
    <t>Mobilising BIOEAST networks for the development of national bioeconomy action programmes in support of the European Green Deal</t>
  </si>
  <si>
    <t>Coordination and supporting action to increase synergies in the dissemination and exploitation of climate observations by World Meteorological Organization and its affiliated bodies</t>
  </si>
  <si>
    <t>Supporting the All-Atlantic Ocean Research and Innovation Alliance and Declaration</t>
  </si>
  <si>
    <t>Knowledge and innovative solutions in agriculture for water availability and quality</t>
  </si>
  <si>
    <t>Integrated assessment and monitoring of emerging pollutants in the marine environment</t>
  </si>
  <si>
    <t>Tackling human and climate change induced pollution in the Arctic - building resilient socio-ecological systems</t>
  </si>
  <si>
    <t>Environmental sustainability and circularity criteria for industrial bio-based systems</t>
  </si>
  <si>
    <t>Industrial biotechnology approaches for improved sustainability and output of industrial bio-based processes</t>
  </si>
  <si>
    <t>Biosensors and user-friendly diagnostic tools for environmental services</t>
  </si>
  <si>
    <t>Strategies to prevent and reduce plastic packaging pollution from the food system</t>
  </si>
  <si>
    <t>Optimisation of manure use along the management chain to mitigate GHG emissions and minimize nutrients/contaminants dispersion in the environment</t>
  </si>
  <si>
    <t>Safe-and-sustainable-by-design bio-based platform chemicals, additives, materials or products as alternatives</t>
  </si>
  <si>
    <t>Invasive alien species</t>
  </si>
  <si>
    <t>Digital for nature</t>
  </si>
  <si>
    <t>Dependence of society and the economy on pollinators</t>
  </si>
  <si>
    <t>Biodiversity, economics and finance: Understanding macro-financial risks associated with biodiversity loss</t>
  </si>
  <si>
    <t>Transformative action of policy mixes, governance and digitalisation addressing biodiversity loss</t>
  </si>
  <si>
    <t>Promoting pollinator friendly farming systems</t>
  </si>
  <si>
    <t>Reintroduction of landscape features in intensive agricultural areas</t>
  </si>
  <si>
    <t>Conservation and protection of carbon-rich and biodiversity-rich forest ecosystems</t>
  </si>
  <si>
    <t>Selective breeding programme for organic aquaculture</t>
  </si>
  <si>
    <t>Demonstrating Nature-based Solutions for the sustainable management of water resources in a changing climate, with special attention to reducing the impacts of extreme droughts</t>
  </si>
  <si>
    <t>Demonstrating the potential of Nature-based Solutions and the New European Bauhaus to contribute to sustainable, inclusive and resilient living spaces and communities</t>
  </si>
  <si>
    <t xml:space="preserve">Promoting minor crops in farming systems  </t>
  </si>
  <si>
    <t>Improving irrigation practices and technologies in agriculture</t>
  </si>
  <si>
    <t>Socio-economic, climate and environmental aspects of paludiculture</t>
  </si>
  <si>
    <t>Paludiculture: large-scale demonstrations</t>
  </si>
  <si>
    <t>Land use change and local / regional climate</t>
  </si>
  <si>
    <t>Climate-smart use of wood in the construction sector to support the New European Bauhaus</t>
  </si>
  <si>
    <t>Ocean models for seasonal to decadal regional climate impacts and feedbacks</t>
  </si>
  <si>
    <t>EU-China international cooperation on improving monitoring for better integrated climate and biodiversity approaches, using environmental and Earth observation</t>
  </si>
  <si>
    <t>New knowledge and innovations for climate-smart farming - connecting research stations</t>
  </si>
  <si>
    <t>Closing the research gaps on Essential Biogeochemical Ocean Variables (EOVs) in support of global assessments</t>
  </si>
  <si>
    <t>Overcoming barriers and delivering innovative solutions to enable the green transition</t>
  </si>
  <si>
    <t>Unlock the potential of the New European Bauhaus in urban food system transformation</t>
  </si>
  <si>
    <t>Societal perceptions and benefits of rural life and jobs: will COVID 19 generate a long-lasting shift?</t>
  </si>
  <si>
    <t>Participation and empowerment of Arctic coastal, local, and indigenous communities in environmental decision-making</t>
  </si>
  <si>
    <t>Innovating for climate-neutral rural communities by 2050</t>
  </si>
  <si>
    <t>New sustainable business and production models for farmers and rural communities</t>
  </si>
  <si>
    <t xml:space="preserve">Targeting aquatic extremophiles for sourcing novel enzymes, drugs, metabolites and chemicals </t>
  </si>
  <si>
    <t>Circular solutions for textile value chains based on extended producer responsibility</t>
  </si>
  <si>
    <t>Innovative circular solutions for furniture</t>
  </si>
  <si>
    <t>Systemic circular solutions for a sustainable tourism</t>
  </si>
  <si>
    <t>Programmed biodegradation capability of bio-based materials and products, validated in specific environments</t>
  </si>
  <si>
    <t>Digital information systems for bio-based products</t>
  </si>
  <si>
    <t>Demonstrating the fair and just transition from GHG-intensive economies facing challenges towards circular bioeconomy model regions</t>
  </si>
  <si>
    <t>Bioeconomy project development assistance</t>
  </si>
  <si>
    <t>Circular bioeconomy start-up villages</t>
  </si>
  <si>
    <t>Circular solutions for textile value chains through innovative sorting, recycling, and design for recycling</t>
  </si>
  <si>
    <t>Increasing the circularity in plastics value chains</t>
  </si>
  <si>
    <t>Increasing the circularity in electronics value chains</t>
  </si>
  <si>
    <t>New circular solutions and decentralised approaches for water and wastewater management</t>
  </si>
  <si>
    <t>Circular design of bio-based processes and products</t>
  </si>
  <si>
    <t>From silos to diversity – small-scale bio-based demonstration pilots</t>
  </si>
  <si>
    <t>Agro-pastoral/outdoor livestock systems and wildlife management</t>
  </si>
  <si>
    <t>EU-African Union cooperation on agroforestry management for climate change adaptation and mitigation</t>
  </si>
  <si>
    <t>EU-African Union – towards climate-neutral, social just fair trade food systems</t>
  </si>
  <si>
    <t>New healthy and sustainable food products and processes</t>
  </si>
  <si>
    <t>Thematic network tackling food fraud by translating research and innovation into practice</t>
  </si>
  <si>
    <t>Climate change and food safety: effects of climate change on food safety across food systems</t>
  </si>
  <si>
    <t>Creating smart and attractive tools to enhance healthy and sustainable food provision, eating and treating of food at home</t>
  </si>
  <si>
    <t>Citizens’ science as an opportunity to foster the transition to sustainable food systems</t>
  </si>
  <si>
    <t>Impact of the development of novel foods based on alternative sources of proteins</t>
  </si>
  <si>
    <t>Preventing and reducing food waste to reduce environmental impacts and to help reach 2030 climate targets</t>
  </si>
  <si>
    <t>Microbiome for flavour and texture in the organoleptic dietary shift</t>
  </si>
  <si>
    <t>Increasing the availability and use of non-contentious inputs in organic farming</t>
  </si>
  <si>
    <t>Sustainable organic food innovation labs: reinforcing the entire value chain</t>
  </si>
  <si>
    <t>Tools to increase the effectiveness of EU import controls for plant health</t>
  </si>
  <si>
    <t>Animal nutritional requirements and nutritional value of feed under different production management conditions</t>
  </si>
  <si>
    <t>Minimising climate impact on fisheries: mitigation and adaptation solutions for future climate regimes</t>
  </si>
  <si>
    <t>Minimising climate impact on aquaculture: mitigation and adaptation solutions for future climate regimes</t>
  </si>
  <si>
    <t>Spotlight on plant priority pest: fall armyworm (Spodoptera frugiperda)</t>
  </si>
  <si>
    <t xml:space="preserve">Additional activities for the European Partnership for a climate neutral, sustainable and productive Blue Economy </t>
  </si>
  <si>
    <t>Organic farming thematic networks to compile and share knowledge ready for practice</t>
  </si>
  <si>
    <t>Biodiversity thematic networks to compile and share knowledge ready for practice</t>
  </si>
  <si>
    <t>Developing EU advisory networks on forestry</t>
  </si>
  <si>
    <t>Developing EU advisory networks on sustainable livestock systems</t>
  </si>
  <si>
    <t>Regional ecosystems of innovation to foster food system transformation</t>
  </si>
  <si>
    <t>The role of mainstream media, social media and marketing in fostering healthy and sustainable consumption patterns and how to encourage good practices</t>
  </si>
  <si>
    <t>Customisation/pre-operationalisation of prototypes end-user services in the area Climate Change Adaptation and Mitigation</t>
  </si>
  <si>
    <t>Develop innovative applications to support the European Green Deal, building on meteorological satellite data</t>
  </si>
  <si>
    <t>Enhancing working conditions and strengthening the work force through digital and data technologies – the potential of robotics and augmented reality in agriculture</t>
  </si>
  <si>
    <t>European Partnership of Agriculture of Data</t>
  </si>
  <si>
    <t>Demonstrating how regions can operate within safe ecological and regional nitrogen and phosphorus boundaries</t>
  </si>
  <si>
    <t>Best available techniques to recover or recycle fertilising products from secondary raw materials</t>
  </si>
  <si>
    <t>Environmental impacts of food systems</t>
  </si>
  <si>
    <t xml:space="preserve">Holistic approaches for effective monitoring of water quality in urban areas </t>
  </si>
  <si>
    <t>Innovative technologies for zero pollution, zero-waste biorefineries</t>
  </si>
  <si>
    <t>New railway station concept for green and socially inclusive smart cities</t>
  </si>
  <si>
    <t>Bridge Dynamics</t>
  </si>
  <si>
    <t>Standardised offer/contract management for agile access to Rail Freight and multimodal services in EU</t>
  </si>
  <si>
    <t>Building a community of scientific research and and enabling a network of PhD (academia teaming with industry)</t>
  </si>
  <si>
    <t>Digitalisation and automation enabling new railway services for passengers and freight</t>
  </si>
  <si>
    <t>European value chains for rail supply</t>
  </si>
  <si>
    <t>DAC Migration Roadmap towards Deployment</t>
  </si>
  <si>
    <t>Network management planning and control &amp; Mobility Management in a multimodal environment and Digital Enablers</t>
  </si>
  <si>
    <t>Digital &amp; Automated up to Autonomous Train Operations</t>
  </si>
  <si>
    <t>Intelligent &amp; Integrated asset management</t>
  </si>
  <si>
    <t>A sustainable and green rail system</t>
  </si>
  <si>
    <t>Sustainable Competitive Digital Green Rail Freight Services</t>
  </si>
  <si>
    <t>Regional rail services / Innovative rail services to revitalise capillary lines</t>
  </si>
  <si>
    <t>Conceptual development of Automated Multi-Modal Mobility-Systems (“Moving Infrastructures”)</t>
  </si>
  <si>
    <t>Technological development of Maglev-derived Systems</t>
  </si>
  <si>
    <t>Hyperloop Industrial Roadmap and pilots</t>
  </si>
  <si>
    <t>NOISE AND VIBRATIONS</t>
  </si>
  <si>
    <t>FUTURE METRO SYSTEMS</t>
  </si>
  <si>
    <t>BIODIVERSITY</t>
  </si>
  <si>
    <t>DISRUPTIVE ASSETS MANAGEMENT SOLUTIONS, INCLUDING URBAN USE CASES</t>
  </si>
  <si>
    <t>EXTENDING THE RAIL NETWORK OF PHDS</t>
  </si>
  <si>
    <t>DAC FLEET RETROFITTING AND RETROFIT CAPACITY PLAN</t>
  </si>
  <si>
    <t>EU-RAIL – SESAR SYNERGY: INTEGRATED AIR AND RAIL NETWORK BACKBONE FOR A SUSTAINABLE AND ENERGY-EFFICIENT MULTIMODAL TRANSPORT SYSTEM</t>
  </si>
  <si>
    <t>EU-RAIL – SNS SYNERGY: DIGITAL &amp; AUTOMATED TESTING AND OPERATIONAL VALIDATION OF THE NEXT EU RAIL COMMUNICATION SYSTEM</t>
  </si>
  <si>
    <t>DIGITAL AUTOMATIC COUPLER – TESTING TO SUPPORT DAC AUTHORISATION, MIX AND MATCH FOR DAC COUPLER HEAD AND DRAFT GEAR INTERCHANGEABILITY AND DAC HYBRID COUPLER FITTING SOLUTIONS</t>
  </si>
  <si>
    <t>HYPERLOOP – ROADMAP TOWARDS INDUSTRIALISATION AND HARMONIZED IMPLEMENTABLE CONCEPT</t>
  </si>
  <si>
    <t>Centres of Excellence preparing applications in the Exascale era</t>
  </si>
  <si>
    <t>Centres of Excellence for supporting supercomputing applications for Science and Innovation</t>
  </si>
  <si>
    <t>EU-Japan Partnership</t>
  </si>
  <si>
    <t>India-EU</t>
  </si>
  <si>
    <t>Specific Grant Agreement for the development of European Processor and Accelerators based on RISC-V</t>
  </si>
  <si>
    <t>EGNSS and Copernicus applications fostering the European Green deal</t>
  </si>
  <si>
    <t>EGNSS applications for Safety and Crisis management</t>
  </si>
  <si>
    <t>EGNSS applications for the Digital Age</t>
  </si>
  <si>
    <t>CASSINI Prize for digital space applications</t>
  </si>
  <si>
    <t>EGNSS applications for Smart mobility</t>
  </si>
  <si>
    <t>Public sector as Galileo and/or Copernicus user</t>
  </si>
  <si>
    <t>Copernicus downstream applications and the European Data Economy</t>
  </si>
  <si>
    <t>Large-scale Copernicus data uptake with AI and HPC</t>
  </si>
  <si>
    <t>Designing space-based downstream applications with international partners</t>
  </si>
  <si>
    <t>GOVSATCOM Service developments and demonstrations</t>
  </si>
  <si>
    <t>EGNSS - Transition toward a green, smart and more secure post-pandemic society</t>
  </si>
  <si>
    <t>EGNSS - Closing the gaps in mature, regulated and long lead markets</t>
  </si>
  <si>
    <t>Copernicus-based applications for businesses and policy-making</t>
  </si>
  <si>
    <t>The Galileo PRS service for governmental authorised use cases</t>
  </si>
  <si>
    <t>Joint Test Activities for Galileo PRS service</t>
  </si>
  <si>
    <t>EU GOVSATCOM for a safer and more secure EU</t>
  </si>
  <si>
    <t>Enhancing quality of care and patient safety</t>
  </si>
  <si>
    <t>Data-driven decision-support tools for better health care delivery and policy-making with a focus on cancer</t>
  </si>
  <si>
    <t>Health care innovation procurement network</t>
  </si>
  <si>
    <t>Vaccines &amp; therapeutic clinical trials to boost COVID-19 prevention and treatment</t>
  </si>
  <si>
    <t>Cohorts united against COVID-19 variants of concern</t>
  </si>
  <si>
    <t>Improved supportive, palliative, survivorship and end-of-life care of cancer patients</t>
  </si>
  <si>
    <t>Building a European innovation platform for the repurposing of medicinal products</t>
  </si>
  <si>
    <t>Innovative approaches to enhance poverty-related diseases research in sub-Saharan Africa</t>
  </si>
  <si>
    <t>Clinical validation of artificial intelligence (AI) solutions for treatment and care</t>
  </si>
  <si>
    <t>A roadmap towards the creation of the European partnership on One Health antimicrobial resistance (OH AMR)</t>
  </si>
  <si>
    <t>Building a European partnership for pandemic preparedness</t>
  </si>
  <si>
    <t>Personalised medicine and infectious diseases: understanding the individual host response to viruses (e.g. SARS-CoV-2)</t>
  </si>
  <si>
    <t>Exposure to electromagnetic fields (EMF) and health</t>
  </si>
  <si>
    <t>Indoor air quality and health</t>
  </si>
  <si>
    <t>Health impacts of climate change, costs and benefits of action and inaction</t>
  </si>
  <si>
    <t>European partnership for the assessment of risks from chemicals (PARC)</t>
  </si>
  <si>
    <t>Green pharmaceuticals</t>
  </si>
  <si>
    <t>Development, procurement and responsible management of new antimicrobials</t>
  </si>
  <si>
    <t>Promoting a trusted mHealth label in Europe: uptake of technical specifications for quality and reliability of health and wellness apps</t>
  </si>
  <si>
    <t>Towards a molecular and neurobiological understanding of mental health and mental illness for the benefit of citizens and patients</t>
  </si>
  <si>
    <t>Healthy Citizens 2.0 - Supporting digital empowerment and health literacy of citizens</t>
  </si>
  <si>
    <t>A roadmap for personalised prevention</t>
  </si>
  <si>
    <t>Mobilising a network of National Contact Points (NCPs) for the Health Cluster</t>
  </si>
  <si>
    <t>Smart medical devices and their surgical implantation for use in resource-constrained settings</t>
  </si>
  <si>
    <t>Next generation advanced therapies to treat highly prevalent and high burden diseases with unmet medical needs</t>
  </si>
  <si>
    <t>Innovative tools for use and re-use of health data (in particular of electronic health records and/or patient registries)</t>
  </si>
  <si>
    <t>Pre-commercial research and innovation procurement (PCP) for building the resilience of health care systems in the context of recovery</t>
  </si>
  <si>
    <t>Public procurement of innovative solutions (PPI) for building the resilience of health care systems in the context of recovery</t>
  </si>
  <si>
    <t>Better financing models for health systems</t>
  </si>
  <si>
    <t>European partnership on transforming health and care systems</t>
  </si>
  <si>
    <t>European partnership fostering a European Research Area (ERA) for health research</t>
  </si>
  <si>
    <t>Pre-clinical development of the next generation of immunotherapies for diseases or disorders with unmet medical needs</t>
  </si>
  <si>
    <t>Vaccines 2.0 - developing the next generation of vaccines</t>
  </si>
  <si>
    <t>Development of new effective therapies for rare diseases</t>
  </si>
  <si>
    <t>Support for the functioning of the Global Research Collaboration for Infectious Disease Preparedness (GloPID-R)</t>
  </si>
  <si>
    <t>Pandemic preparedness</t>
  </si>
  <si>
    <t>Non-communicable diseases risk reduction in adolescence and youth (Global Alliance for Chronic Diseases - GACD)</t>
  </si>
  <si>
    <t>Methods for assessing health-related costs of environmental stressors</t>
  </si>
  <si>
    <t>Enhancing cybersecurity of connected medical devices</t>
  </si>
  <si>
    <t>Scaling up multi-party computation, data anonymisation techniques, and synthetic data generation</t>
  </si>
  <si>
    <t>New pricing and payment models for cost-effective and affordable health innovations</t>
  </si>
  <si>
    <t>Setting up a European Smart Health Innovation Hub</t>
  </si>
  <si>
    <t>Setting up a European Electronic Health Record Exchange Format (EEHRxF) Ecosystem</t>
  </si>
  <si>
    <t>Boosting mental health in Europe in times of change</t>
  </si>
  <si>
    <t>Trustworthy artificial intelligence (AI) tools to predict the risk of chronic non-communicable diseases and/or their progression</t>
  </si>
  <si>
    <t>Prevention of obesity throughout the life course</t>
  </si>
  <si>
    <t>Personalised blueprint of chronic inflammation in health-to-disease transition</t>
  </si>
  <si>
    <t>Optimising effectiveness in patients of existing prescription drugs for major diseases (except cancer) with the use of biomarkers</t>
  </si>
  <si>
    <t>New methods for the effective use of real-world data and/or synthetic data in regulatory decision-making and/or in health technology assessment</t>
  </si>
  <si>
    <t>Computational models for new patient stratification strategies</t>
  </si>
  <si>
    <t>Maintaining access to regular health and care services in case of cross-border emergencies</t>
  </si>
  <si>
    <t>Resilience and mental wellbeing of the health and care workforce</t>
  </si>
  <si>
    <t>Environmentally sustainable and climate neutral health and care systems</t>
  </si>
  <si>
    <t>European Partnership on Personalised Medicine</t>
  </si>
  <si>
    <t>Novel approaches for palliative and end-of-life care for non-cancer patients</t>
  </si>
  <si>
    <t>Interventions in city environments to reduce risk of non-communicable disease (Global Alliance for Chronic Diseases - GACD)</t>
  </si>
  <si>
    <t>Pandemic preparedness and response: Broad spectrum anti-viral therapeutics for infectious diseases with epidemic potential</t>
  </si>
  <si>
    <t>Pandemic preparedness and response: Sustaining established coordination mechanisms for European adaptive platform trials and/or for cohort networks</t>
  </si>
  <si>
    <t>Towards structuring brain health research in Europe</t>
  </si>
  <si>
    <t>Relationship between infections and non-communicable diseases</t>
  </si>
  <si>
    <t>Pandemic preparedness and response: Understanding vaccine induced-immunity</t>
  </si>
  <si>
    <t>Pandemic preparedness and response: Immunogenicity of viral proteins of viruses with epidemic and pandemic potential</t>
  </si>
  <si>
    <t>European Partnership on Rare Diseases</t>
  </si>
  <si>
    <t>Planetary health: understanding the links between environmental degradation and health impacts</t>
  </si>
  <si>
    <t>Evidence-based interventions for promotion of mental and physical health in changing working environments (post-pandemic workplaces)</t>
  </si>
  <si>
    <t>Health impacts of endocrine-disrupting chemicals: bridging science-policy gaps by addressing persistent scientific uncertainties</t>
  </si>
  <si>
    <t>Global coordination of exposome research</t>
  </si>
  <si>
    <t>Supporting the uptake of innovative Health Technology Assessment (HTA) methodology and advancing HTA expertise across EU</t>
  </si>
  <si>
    <t>Expanding the European Electronic Health Record exchange Format to improve interoperability within the European Health Data Space</t>
  </si>
  <si>
    <t>Modelling and simulation to address regulatory needs in the development of orphan and paediatric medicines</t>
  </si>
  <si>
    <t>Mapping the hurdles for the clinical applications of Advanced Therapy Medicinal Products (ATMPs)</t>
  </si>
  <si>
    <t>Development and harmonisation of methodologies for assessing digital health technologies in Europe</t>
  </si>
  <si>
    <t>The Silver Deal - Person-centred health and care in European regions</t>
  </si>
  <si>
    <t>Clinical trials of combined Advanced Therapy Medicinal Products (ATMPs)</t>
  </si>
  <si>
    <t>Integrated, multi-scale computational models of patient patho-physiology (‘virtual twins’) for personalised disease management</t>
  </si>
  <si>
    <t>Better integration and use of health-related real-world and research data, including genomics, for improved clinical outcomes</t>
  </si>
  <si>
    <t>Harnessing the potential of real-time data analysis and secure Point-of-Care computing for the benefit of person-centred health and care delivery</t>
  </si>
  <si>
    <t>Pandemic preparedness and response: In vitro diagnostic devices to tackle cross-border health threats</t>
  </si>
  <si>
    <t>Developing a Data Quality and Utility Label for the European Health Data Space</t>
  </si>
  <si>
    <t>Access to health and care services for people in vulnerable situations</t>
  </si>
  <si>
    <t>Pre-commercial procurement for environmentally sustainable, climate neutral and circular health and care systems</t>
  </si>
  <si>
    <t>Comparative effectiveness research for healthcare interventions in areas of high public health need</t>
  </si>
  <si>
    <t>Pandemic preparedness and response: Adaptive platform trials for pandemic preparedness</t>
  </si>
  <si>
    <t>Validation of fluid-derived biomarkers for the prediction and prevention of brain disorders</t>
  </si>
  <si>
    <t>Tackling high-burden for patients, under-researched medical conditions</t>
  </si>
  <si>
    <t>Pandemic preparedness and response: Maintaining the European partnership for pandemic preparedness</t>
  </si>
  <si>
    <t>Pandemic preparedness and response: Host-pathogen interactions of infectious diseases with epidemic potential</t>
  </si>
  <si>
    <t>European Partnership: One Health Anti-Microbial Resistance</t>
  </si>
  <si>
    <t>European partnership for pandemic preparedness</t>
  </si>
  <si>
    <t>Implementation research for management of multiple long-term conditions in the context of non-communicable diseases (Global Alliance for Chronic Diseases - GACD)</t>
  </si>
  <si>
    <t>Pandemic preparedness and response: Maintaining and enhancing the preparatory work for a co-funded European partnership for pandemic preparedness</t>
  </si>
  <si>
    <t>The role of environmental pollution in non-communicable diseases: air, noise and light and hazardous waste pollution</t>
  </si>
  <si>
    <t>Developing EU methodological frameworks for clinical/performance evaluation and post-market clinical/performance follow-up of medical devices and in vitro diagnostic medical devices (IVDs)</t>
  </si>
  <si>
    <t>Gaining experience and confidence in New Approach Methodologies (NAM) for regulatory safety and efficacy testing – coordinated training and experience exchange for regulators</t>
  </si>
  <si>
    <t>Towards a holistic support to children and adolescents’ health and care provisions in an increasingly digital society</t>
  </si>
  <si>
    <t>Personalised prevention of non-communicable diseases - addressing areas of unmet needs using multiple data sources</t>
  </si>
  <si>
    <t>Innovative non-animal human-based tools and strategies for biomedical research</t>
  </si>
  <si>
    <t>Bio-printing of living cells for regenerative medicine</t>
  </si>
  <si>
    <t>Development and validation of pressurised high temperature steam electrolysis stacks (Solid Oxide Electrolysis)</t>
  </si>
  <si>
    <t>Development and validation of pressurised high temperature steam electrolysis stacks (Proton Conducting Ceramic Electrolysis)</t>
  </si>
  <si>
    <t>Development of low temperature water electrolysers for highly pressurised hydrogen production</t>
  </si>
  <si>
    <t>Design for advanced and scalable manufacturing of electrolysers</t>
  </si>
  <si>
    <t>Scaling up of cells and stacks for large electrolysers</t>
  </si>
  <si>
    <t>Efficiency boost of solar thermochemical water splitting</t>
  </si>
  <si>
    <t>Bringing green hydrogen MW scale off grid installations closer to technical and financial maturity</t>
  </si>
  <si>
    <t>Integration of multi-MW electrolysers in industrial applications</t>
  </si>
  <si>
    <t>Scaling-up technologies for SOEL</t>
  </si>
  <si>
    <t>Demonstrating offshore production of green hydrogen</t>
  </si>
  <si>
    <t>Compatibility of Distribution non-steel metallic gas grid materials with hydrogen</t>
  </si>
  <si>
    <t>Hydrogen and H2NG leak detection for continuous monitoring and safe operation of HRS and future hydrogen/H2NG networks</t>
  </si>
  <si>
    <t>Validation of a high-performance hydrogen liquefier</t>
  </si>
  <si>
    <t>Ammonia to Green Hydrogen: efficient system for ammonia cracking for application to long distance transportations</t>
  </si>
  <si>
    <t>Efficient system for dehydrogenation of liquid organic hydrogen carriers for application to long distance transportations</t>
  </si>
  <si>
    <t>Development of large scale LH2 containment for shipping</t>
  </si>
  <si>
    <t>Increased hydrogen capacity of GH 2 road trailers</t>
  </si>
  <si>
    <t>Development of novel or hybrid concepts for reliable, high capacity and energy-efficient H2 compression systems at real-world scale</t>
  </si>
  <si>
    <t>Sampling methodology and quality assessment of HRS</t>
  </si>
  <si>
    <t>Implementing new/optimised refuelling protocols and components for high flow HRS</t>
  </si>
  <si>
    <t>Development and demonstration of mobile and stationary compressed hydrogen refuelling solutions for application in inland shipping and short-distance maritime operations</t>
  </si>
  <si>
    <t>Development and optimisation of reliable and versatile PEMFC stacks for high power range applications</t>
  </si>
  <si>
    <t>Innovative and optimised MEA components towards next generation of improved PEMFC stacks for heavy duty vehicles</t>
  </si>
  <si>
    <t>Large scale demonstration of European H2 Heavy Duty Vehicle along the TEN-T corridors</t>
  </si>
  <si>
    <t>LH2 tanks for heavy-duty vehicles</t>
  </si>
  <si>
    <t>Large scale demonstration of hydrogen fuel cell propelled inland waterway vessels</t>
  </si>
  <si>
    <t>Development and optimisation of a dedicated Fuel Cells for Aviation: from dedicated stack (100s kW) up to full system (MWs)</t>
  </si>
  <si>
    <t>Development of specific aviation cryogenic storage system with a gauging, fuel metering, heat management and monitoring system</t>
  </si>
  <si>
    <t>Development and optimisation of a dedicated Fuel Cells for Aviation: disruptive next-gen high temperature Fuel Cells technology for future aviation</t>
  </si>
  <si>
    <t>Design and industrial deployment of innovative manufacturing processes for fuel cells and fuel cell components</t>
  </si>
  <si>
    <t>Ammonia powered fuel cell system focusing on superior efficiency, durable operation and design optimisation</t>
  </si>
  <si>
    <t>Reversible SOC system development, operation and energy system (grid) integration</t>
  </si>
  <si>
    <t>Dry Low NOx combustion of hydrogen-enriched fuels at high-pressure conditions for gas turbine applications</t>
  </si>
  <si>
    <t>Public understanding of hydrogen and fuel cell technologies</t>
  </si>
  <si>
    <t>Safety of cryogenic hydrogen transfer technologies in public areas for mobile application</t>
  </si>
  <si>
    <t>Safe hydrogen injection management at network-wide level: towards European gas sector transition</t>
  </si>
  <si>
    <t>Development of validated test methods and requirements for measuring devices intended for measuring NG/H2 mixtures</t>
  </si>
  <si>
    <t>Research &amp; Innovation co-operation with Africa on hydrogen</t>
  </si>
  <si>
    <t>Hydrogen Valleys (large-scale)</t>
  </si>
  <si>
    <t>Hydrogen Valleys (small-scale)</t>
  </si>
  <si>
    <t>Addressing the sustainability and criticality of electrolyser and fuel cell materials</t>
  </si>
  <si>
    <t>Innovative electrolysis cells for hydrogen production</t>
  </si>
  <si>
    <t>Innovative Solid Oxide electrolysis cells for intermediate temperature hydrogen production</t>
  </si>
  <si>
    <t>Advances in alkaline electrolysis technology</t>
  </si>
  <si>
    <t>Photoelectrochemical (PEC) and/or Photocatalytic (PC) production of hydrogen</t>
  </si>
  <si>
    <t>Waste to Hydrogen demonstration plant</t>
  </si>
  <si>
    <t>Valorisation of by-product O2 and/or heat from electrolysis</t>
  </si>
  <si>
    <t>Hydrogen use by an industrial cluster via a local pipeline network</t>
  </si>
  <si>
    <t>Large-scale demonstration of underground hydrogen storage</t>
  </si>
  <si>
    <t>Pre-Normative Research about the compatibility of transmission gas grid steels with hydrogen and development of mitigation techniques</t>
  </si>
  <si>
    <t>Novel insulation concepts for LH2 storage tanks</t>
  </si>
  <si>
    <t>Demonstration of high pressure (500-700 bar) supply chain</t>
  </si>
  <si>
    <t>Demonstration of LH2 HRS for Heavy Duty applications</t>
  </si>
  <si>
    <t>Real environment demonstration of Non-Road Mobile Machinery (NRMM)</t>
  </si>
  <si>
    <t>Development of a large fuel cell stack for maritime applications</t>
  </si>
  <si>
    <t>Ultra-low NOx combustion system for aviation</t>
  </si>
  <si>
    <t>Development and validation of high power and impurity tolerant fuel cell systems ready to run on industrial quality dry hydrogen</t>
  </si>
  <si>
    <t>Research on fundamental combustion physics, flame velocity and structure, pathways of emissions formation for hydrogen and variable blends of hydrogen, including ammonia</t>
  </si>
  <si>
    <t>Retrofitting of existing industrial sector natural gas turbomachinery cogeneration systems for hydrogen combustion</t>
  </si>
  <si>
    <t>Hydrogen for heat production for hard-to-abate industries (e.g. retrofitted burners, furnaces)</t>
  </si>
  <si>
    <t>Product environmental footprint pilot for a set of FCH product categories</t>
  </si>
  <si>
    <t>European Hydrogen Academy</t>
  </si>
  <si>
    <t>Pre-Normative Research on the determination of hydrogen releases from the hydrogen value chain</t>
  </si>
  <si>
    <t>Large-scale Hydrogen Valley</t>
  </si>
  <si>
    <t>Small-scale Hydrogen Valley</t>
  </si>
  <si>
    <t>Advanced materials for hydrogen storage tanks</t>
  </si>
  <si>
    <t>Increasing the lifetime of electrolyser stacks</t>
  </si>
  <si>
    <t>Innovative proton conducting ceramic electrolysis cells and stacks for intermediate temperature hydrogen production</t>
  </si>
  <si>
    <t>Advanced anion exchange membrane electrolysers for low-cost hydrogen production for high power range applications</t>
  </si>
  <si>
    <t>Development of innovative technologies for direct seawater electrolysis</t>
  </si>
  <si>
    <t>Development and implementation of online monitoring and diagnostic tools for electrolysers</t>
  </si>
  <si>
    <t>Hydrogen production and integration in energy-intensive or specialty chemical industries in a circular approach to maximise total process efficiency and substance utilisation</t>
  </si>
  <si>
    <t>Investigation of microbial interaction for underground hydrogen porous media storage</t>
  </si>
  <si>
    <t>Novel large-scale aboveground storage solutions for demand-optimised supply of hydrogen</t>
  </si>
  <si>
    <t>Demonstration of hydrogen purification and separation systems for renewable hydrogen-containing streams in industrial applications</t>
  </si>
  <si>
    <t>Demonstration of innovative solutions for high-capacity, reliable, flexible, and sustainable hydrogen compression technologies in commercial applications</t>
  </si>
  <si>
    <t>Demonstration and deployment of multi-purpose Hydrogen Refuelling Stations combining road and airport, railway, and/or harbour applications</t>
  </si>
  <si>
    <t>Balance of plant components, architectures and operation strategies for improved PEMFC system efficiency and lifetime</t>
  </si>
  <si>
    <t>Scaling-up Balance of Plant components for efficient high power heavy duty applications</t>
  </si>
  <si>
    <t>Next generation on-board storage solutions for hydrogen-powered maritime applications</t>
  </si>
  <si>
    <t>Demonstration of hydrogen fuel cell-powered inland or short sea shipping</t>
  </si>
  <si>
    <t>Portable fuel cells for backup power during natural disasters to power critical infrastructures</t>
  </si>
  <si>
    <t>Improved characterisation, prediction and optimisation of flame stabilisation in high-pressure premixed hydrogen combustion at gas-turbine conditions</t>
  </si>
  <si>
    <t>Guidelines for sustainable-by-design systems across the hydrogen value chain</t>
  </si>
  <si>
    <t>Development of non-fluorinated components for fuel cells and electrolysers</t>
  </si>
  <si>
    <t>Biogenic carbon capture and use (CCU) for circular bio-based products</t>
  </si>
  <si>
    <t>Cooperative business models for the sustainable mobilisation and valorisation of agricultural residues, by-products, and waste in rural areas</t>
  </si>
  <si>
    <t>Cost-effective production routes towards bio-based alternatives to fossil-based chemical building blocks</t>
  </si>
  <si>
    <t>Co-processing of mixed bio-based waste streams</t>
  </si>
  <si>
    <t>Maximum valorisation of sustainably sourced bio-based feedstock in multi-product, zero-waste, zero-pollution biorefinery</t>
  </si>
  <si>
    <t>Alternative sources for high added value food and/or feed ingredients</t>
  </si>
  <si>
    <t>High performance bio-based polymers for market applications with stringent requirements</t>
  </si>
  <si>
    <t>Bio-based coatings, barriers, binders, and adhesives</t>
  </si>
  <si>
    <t>Circular-by-design bio-based materials to improve the circularity of complex structures</t>
  </si>
  <si>
    <t>Proteins from alternative and unconventional sources</t>
  </si>
  <si>
    <t>Sustainable fibres biorefineries feedstock</t>
  </si>
  <si>
    <t>Developing and validating monitoring systems of environmental sustainability and circularity: collection of best practices and benchmarks</t>
  </si>
  <si>
    <t>CBE JU supporting activities for the New European Bauhaus Academy, a network for re-skilling and upskilling towards a sustainable construction ecosystem</t>
  </si>
  <si>
    <t>Small scale biorefining in rural areas</t>
  </si>
  <si>
    <t>Production of safe, sustainable, and efficient bio-based fertilisers to improve soil health and quality</t>
  </si>
  <si>
    <t>Improve fermentation processes (including downstream purification) to final bio-based products</t>
  </si>
  <si>
    <t>Recycling bio-based plastics increasing sorting and recycled content (upcycling).</t>
  </si>
  <si>
    <t>Development of scalable, safe bio-based surfactants, with an improved sustainability profile</t>
  </si>
  <si>
    <t>Selective, sustainable production routes towards bio-based alternatives to fossil-based chemical building blocks</t>
  </si>
  <si>
    <t>High performance, circular-by design, biobased composites</t>
  </si>
  <si>
    <t>Optimised and integrated wood-based value chains</t>
  </si>
  <si>
    <t>Expansion and/or retro-fitting of biorefineries towards higher-value bio-based chemicals and intermediates</t>
  </si>
  <si>
    <t>Bio-based packaging materials with improved properties: barrier, food contact, forming, printability, safety, recyclability /circularity-by-design</t>
  </si>
  <si>
    <t>Valorisation of aquatic biomass waste and residues</t>
  </si>
  <si>
    <t>Phyto-management; curing soil with industrial crops, utilising contaminated and saline land for industrial crop production</t>
  </si>
  <si>
    <t>Optimised forest-based value chains for high value applications and improved forest management</t>
  </si>
  <si>
    <t>Robust and optimised industrial biotech and chemical/industrial biotech processes</t>
  </si>
  <si>
    <t>Development of novel, high-performance bio-based polymers and co-polymers</t>
  </si>
  <si>
    <t>Pre-normative research to develop standards for biodegradability of bio-based products in controlled and in open environments</t>
  </si>
  <si>
    <t>EU-wide network of pilot plants and testing facilities, improving SMEs and start-ups' access to scale-up</t>
  </si>
  <si>
    <t>Supporting the capacity of regions in environmental sustainability assessment for the bio-based sectors</t>
  </si>
  <si>
    <t>New forms of cooperation in agriculture and the forest-based sector</t>
  </si>
  <si>
    <t>Mobilize inclusive participation in bio-based systems and supporting the CBE JU widening strategy and its action plan</t>
  </si>
  <si>
    <t>Supporting the CBE JU Deployment Group on Primary Producers</t>
  </si>
  <si>
    <t>Bio-based materials and products for biodegradable in-soil applications</t>
  </si>
  <si>
    <t>Sustainable micro-algae as feedstock for innovative, added-value applications</t>
  </si>
  <si>
    <t>Enlarging the portfolio of commercially produced bio-based SSbD solvents</t>
  </si>
  <si>
    <t>Circular and SSbD bio-based construction &amp; building materials with functional properties</t>
  </si>
  <si>
    <t>Selective and sustainable (co)-production of lignin-derived aromatics</t>
  </si>
  <si>
    <t>Innovative bio-based adhesives and binders for circular products meeting market requirements</t>
  </si>
  <si>
    <t>Innovative conversion of biogenic gaseous carbon into bio-based chemicals, ingredients, materials</t>
  </si>
  <si>
    <t>Bio-based value chains for valorisation of sustainable oil crops</t>
  </si>
  <si>
    <t>Bio-based dedicated platform chemicals via cost-effective, sustainable and resource-efficient conversion of biomass</t>
  </si>
  <si>
    <t>Bio-based value chains for valorisation of sustainable natural fibre feedstock</t>
  </si>
  <si>
    <t>Valorisation of polluted/contaminated wood from industrial and post-consumer waste streams</t>
  </si>
  <si>
    <t>Biotech routes to obtain bio-based chemicals/ materials replacing animal-derived ones</t>
  </si>
  <si>
    <t>Sustainable, bio-based alternatives for crop protection</t>
  </si>
  <si>
    <t>SSbD bio-based coating materials for applications under demanding and/or extreme conditions</t>
  </si>
  <si>
    <t>Innovative bio-based food/feed ingredients</t>
  </si>
  <si>
    <t>Developing a European Clean Aviation Regional Ecosystem (ECARE)</t>
  </si>
  <si>
    <t>Multi-MW Hybrid-Electric Propulsion System for Regional Aircraft</t>
  </si>
  <si>
    <t>Thermal Management Solutions for Hybrid Electric Regional Aircraft</t>
  </si>
  <si>
    <t>Electrical Distribution Solutions for Hybrid-electric Regional Aircraft</t>
  </si>
  <si>
    <t>Innovative Wing Design for Hybrid-Electric Regional Aircraft</t>
  </si>
  <si>
    <t>Direct Combustion of Hydrogen in Aero-engines</t>
  </si>
  <si>
    <t>Multi-MW Fuel Cell Propulsion System for Hydrogen-Powered Aircraft</t>
  </si>
  <si>
    <t>Large Scale Lightweight Liquid Hydrogen Integral Storage Solutions</t>
  </si>
  <si>
    <t>Near Term Disruptive Technologies for Hydrogen-Powered Aircraft</t>
  </si>
  <si>
    <t>Ultra Efficient Propulsion Systems for Short and Short-Medium Range Aircraft</t>
  </si>
  <si>
    <t>Ultra Performance Wing for Short and Short-medium Range Aircraft</t>
  </si>
  <si>
    <t>Advanced Low Weight Integrated Fuselage and Empennage for Short Range and Short-Medium Range Aircraft</t>
  </si>
  <si>
    <t>Aircraft architectures &amp; technology integration for aircraft concepts ranging from regional to short-medium range applications</t>
  </si>
  <si>
    <t>Novel Certification Methods and Means of Compliance for Disruptive Technologies</t>
  </si>
  <si>
    <t>Aviation Climate and Technology Impact Monitoring Methodology</t>
  </si>
  <si>
    <t>Innovative Fuselage/Empennage Design for Hybrid-Electric Regional Aircraft</t>
  </si>
  <si>
    <t>Open Digital Platform for Hybrid-Electric Regional Aircraft Design</t>
  </si>
  <si>
    <t>Hydrogen fuel system for direct burn engine ground test execution and flight test preparation</t>
  </si>
  <si>
    <t>Aircraft Liquid Hydrogen Fuel Distribution System Technologies for Direct Burn Applications</t>
  </si>
  <si>
    <t>High-TRL Flight Demonstration Means for Ultra Efficient Propulsion Systems for Short and Short-Medium Range Aircraft</t>
  </si>
  <si>
    <t>Ultra Performance Wing Technologies and Integration for Short and Short-medium Range Aircraft</t>
  </si>
  <si>
    <t>Advanced Cabin and Cabin Systems Integration for Short Range and Short-Medium Range for Hydrogen-Powered Aircraft</t>
  </si>
  <si>
    <t>Pilot line on advanced sub 2nm leading-edge system on chip technology</t>
  </si>
  <si>
    <t>Pilot line on advanced Fully Depleted Silicon On Insulator technologies targeting 7nm</t>
  </si>
  <si>
    <t>Pilot line on advanced Packaging and Heterogenous Integration</t>
  </si>
  <si>
    <t>Pilot line on advanced semiconductor devices based on Wide Bandgap materials</t>
  </si>
  <si>
    <t>Topic 1 Global call according to SRIA 2024</t>
  </si>
  <si>
    <t>Topic 2  Focus topic on “High Performance RISC-V Automotive Processors supporting SDV”</t>
  </si>
  <si>
    <t>Topic 3 Focus topic on “Service Oriented Framework for the Software Defined Vehicle of the future”</t>
  </si>
  <si>
    <t>HORIZON-JU-Chips-2024-2-RIA Topic 1Global call according to SRIA 2023</t>
  </si>
  <si>
    <t>Topic 2 Focus topic on “Sustainable and greener manufacturing”</t>
  </si>
  <si>
    <t>Joint call with Korea</t>
  </si>
  <si>
    <t>Promoting implementation of research results into policy and practice</t>
  </si>
  <si>
    <t>Implementing adaptive platform trials</t>
  </si>
  <si>
    <t>Genomic epidemiology for surveillance and control of poverty-related and emerging/re-emerging infections in sub-Saharan Africa</t>
  </si>
  <si>
    <t>Creating a sustainable clinical trial network for infectious diseases in sub-Saharan Africa</t>
  </si>
  <si>
    <t>Strengthening regulatory capacity for supporting conduct of clinical trials</t>
  </si>
  <si>
    <t>Global Health EDCTP3 Training Networks - Clinical Research Fellowships</t>
  </si>
  <si>
    <t>Funding to successfully finalise EDCTP2-funded clinical trials that were negatively impacted by the COVID-19 pandemic</t>
  </si>
  <si>
    <t>Implementation research/real life assessment of existing interventions in women and children’s health</t>
  </si>
  <si>
    <t>Research to rapidly evaluate interventions on Ebola outbreaks in sub-Saharan Africa</t>
  </si>
  <si>
    <t>Strengthening ethics and regulatory capacity</t>
  </si>
  <si>
    <t>Improving modes of delivery, deployment, and uptake of vaccines through phase IV/implementation research</t>
  </si>
  <si>
    <t>Advancing point-of-care diagnostics to the market</t>
  </si>
  <si>
    <t>Developing novel, innovative HIV therapeutics for reducing the disease burden of HIV in sub-Saharan Africa</t>
  </si>
  <si>
    <t>Research on existing Malaria vaccines and development of new promising candidates</t>
  </si>
  <si>
    <t>Accelerating development and integration of therapeutics against Neglected Tropical Diseases (NTDs) in sub-Saharan Africa</t>
  </si>
  <si>
    <t>Tackling Antimicrobial Resistance (AMR) through R&amp;D in novel and existing antimicrobials</t>
  </si>
  <si>
    <t>New tools, technologies and approaches for vector control in sub-Saharan Africa</t>
  </si>
  <si>
    <t>Innovative digital health solutions for sub-Saharan Africa</t>
  </si>
  <si>
    <t>Global Health EDCTP3 JU training fellowship with return phase</t>
  </si>
  <si>
    <t>An innovative decision-support system for improved care pathways for patients with neurodegenerative diseases and comorbidities</t>
  </si>
  <si>
    <t>Next generation imaging and image-guided diagnosis and therapy for cancer</t>
  </si>
  <si>
    <t>Personalised oncology: innovative people centred, multi-modal therapies against cancer</t>
  </si>
  <si>
    <t>Access and integration of heterogeneous health data for improved healthcare in disease areas of high unmet public health need</t>
  </si>
  <si>
    <t>Cardiovascular diseases - improved prediction, prevention, diagnosis, and monitoring</t>
  </si>
  <si>
    <t>Setting up a harmonised methodology to promote uptake of early feasibility studies for clinical and innovation excellence in the European Union</t>
  </si>
  <si>
    <t>Screening platform and biomarkers for prediction and prevention of diseases of unmet public health need</t>
  </si>
  <si>
    <t>Patient-generated evidence to improve outcomes, support decision making, and accelerate innovation</t>
  </si>
  <si>
    <t>Combining hospital interventional approaches to improve patient outcomes and increase hospital efficiency</t>
  </si>
  <si>
    <t>Strengthening the European translational research ecosystem for advanced therapy medicinal products (ATMPs) for rare diseases</t>
  </si>
  <si>
    <t>Digital health technologies for the prevention and personalised management of mental disorders and their long-term health consequences</t>
  </si>
  <si>
    <t>Expanding translational knowledge in minipigs: a path to reduce and replace non-human primates in non-clinical safety assessment</t>
  </si>
  <si>
    <t>Patient-centric blood sample collection to enable decentralised clinical trials and improve access to healthcare</t>
  </si>
  <si>
    <t>Inclusive clinical studies for equitable access to clinical research in Europe</t>
  </si>
  <si>
    <t>: Establishing novel approaches to improve clinical trials for rare and ultra-rare diseases</t>
  </si>
  <si>
    <t>Safe &amp; Sustainable by Design (SSbD) packaging and single use device solutions for healthcare products</t>
  </si>
  <si>
    <t>Sustainable circular development and manufacturing of healthcare products and their quantitative environmental impact assessment</t>
  </si>
  <si>
    <t>Accelerating the implementation of New Approach Methodologies and other innovative non-animal approaches for the development, testing and production of health technologies</t>
  </si>
  <si>
    <t>Development and proof of principle of new clinical applications of theranostics solutions</t>
  </si>
  <si>
    <t>Improved prediction, detection, and treatment approaches for comprehensive stroke management</t>
  </si>
  <si>
    <t>Maximising the potential of synthetic data generation in healthcare applications</t>
  </si>
  <si>
    <t>Support healthcare system resilience through a focus on persistency in the treatment of chronic diseases</t>
  </si>
  <si>
    <t>Development of evidence based practical guidance for sponsors on the use of real-world data / real-world evidence</t>
  </si>
  <si>
    <t>Improving clinical management of heart disease from early detection to treatment</t>
  </si>
  <si>
    <t>User-centric technologies and optimized hospital workflows for a sustainable healthcare workforce</t>
  </si>
  <si>
    <t>Clinical validation of biomarkers for diagnosis, monitoring disease progression and treatment response</t>
  </si>
  <si>
    <t>Green Radio Technology</t>
  </si>
  <si>
    <t>Ubiquitous Radio Access</t>
  </si>
  <si>
    <t>Sustainable Capacity Networks</t>
  </si>
  <si>
    <t>Evolved Architecture for Global Green Systems</t>
  </si>
  <si>
    <t>Edge Computing Evolution</t>
  </si>
  <si>
    <t>Trustworthy and Reliable End-to-end connectivity Software platforms</t>
  </si>
  <si>
    <t>Real-time Zero-touch Service Technologies</t>
  </si>
  <si>
    <t>System Architecture</t>
  </si>
  <si>
    <t>Wireless Communication Technologies and Signal Processing</t>
  </si>
  <si>
    <t>Communication Infrastructure Technologies and Devices</t>
  </si>
  <si>
    <t>Secure Service development and Smart Security</t>
  </si>
  <si>
    <t>6G Holistic System</t>
  </si>
  <si>
    <t>SNS experimental Infrastructure</t>
  </si>
  <si>
    <t>SNS operational CSA</t>
  </si>
  <si>
    <t>SNS External Cooperation and Global 6G Events (G6GE)</t>
  </si>
  <si>
    <t>SNS Large Scale Trials and Pilots (LST&amp;Ps) with Verticals</t>
  </si>
  <si>
    <t>Reliable Services and Smart Security</t>
  </si>
  <si>
    <t>Microelectronics-based Solutions for 6G Networks</t>
  </si>
  <si>
    <t>EU-US 6G R&amp;I Cooperation</t>
  </si>
  <si>
    <t>Complementary SNS experimental Pan-EU federated Infrastructure</t>
  </si>
  <si>
    <t>SNS Societal Challenges</t>
  </si>
  <si>
    <t>SNS Large Scale Trials and Pilots (LST&amp;Ps) with Verticals – Focused Topic</t>
  </si>
  <si>
    <t>System Architecture - Standardisation and Follow-up/PoCs</t>
  </si>
  <si>
    <t>Wireless Communication Technologies and Signal Processing – Standardisation and Follow-up/PoCs</t>
  </si>
  <si>
    <t>Communication Infrastructure Technologies and Devices – Standardisation and Follow-up/PoCs</t>
  </si>
  <si>
    <t>Reliable Services and Smart Security–Standardisation and Follow-up/PoCs</t>
  </si>
  <si>
    <t>International Collaboration – EU-JP</t>
  </si>
  <si>
    <t>International Collaboration – EU-ROK</t>
  </si>
  <si>
    <t>Sustainability Lighthouse</t>
  </si>
  <si>
    <t>Reliable AI for 6G Communications Systems and Services</t>
  </si>
  <si>
    <t>SNS Microelectronics Lighthouse</t>
  </si>
  <si>
    <t>SNS Operations and Output optimisation</t>
  </si>
  <si>
    <t>HORIZON-KDT-JU-1-IA-Focus-Topic-1-Development of open sources RISC-V building blocks</t>
  </si>
  <si>
    <t>HORIZON-KDT-JU-2021-2-RIA-Focus Topic 1-Processing solutions for AI at the edge addressing the design stack and middleware</t>
  </si>
  <si>
    <t>Industrial supply chain for silicon photonics (IA)</t>
  </si>
  <si>
    <t>Design of Customisable and Domain Specific Open-source RISC-V Processors (IA)</t>
  </si>
  <si>
    <t>General according to ECS-SRIA 2022 (IA)</t>
  </si>
  <si>
    <t>Ecodesigned smart electronic systems supporting the Green Deal objectives (RIA)</t>
  </si>
  <si>
    <t>General according to ECS-SRIA 2022 (RIA)</t>
  </si>
  <si>
    <t>Focus topic 6G Integrated Radio Front-End for TeraHertz Communications (IA)</t>
  </si>
  <si>
    <t>Focus topic on Integration of trustworthy Edge AI technologies in complex heterogeneous components and systems (IA)</t>
  </si>
  <si>
    <t>Focus Topic on Electronic Control Systems (ECS) for management &amp; control of decentralized energy supply &amp; storage (IA)</t>
  </si>
  <si>
    <t>Focus Topic on Hardware abstraction layer for a European Vehicle Operating System (RIA)</t>
  </si>
  <si>
    <t>Global call according to SRIA 2023 (RIA)</t>
  </si>
  <si>
    <t>Pan-European network for Advanced Packaging made in Europe (CSA)</t>
  </si>
  <si>
    <t>Coordination of the European software-defined vehicle platform (CSA)</t>
  </si>
  <si>
    <t>Improving the global demand supply forecast of the semiconductor supply chain (IA)</t>
  </si>
  <si>
    <t>Develop new methods and technologies for cancer screening and early detection</t>
  </si>
  <si>
    <t>Develop and validate a set of quality of life and patient preference measures for cancer patients and survivors</t>
  </si>
  <si>
    <t>Better understanding of the impact of risk factors and health determinants on the development and progression of cancer</t>
  </si>
  <si>
    <t>Supporting national, regional and local authorities across Europe to prepare for the transition towards climate neutrality within cities</t>
  </si>
  <si>
    <t>Collaborative local governance models to accelerate the emblematic transformation of urban environment and contribute to the New European Bauhaus initiative and the objectives of the European Green Deal</t>
  </si>
  <si>
    <t>Urban planning and design for just, sustainable, resilient and climate-neutral cities by 2030</t>
  </si>
  <si>
    <t>Unleashing the innovation potential of public transport as backbone of urban mobility</t>
  </si>
  <si>
    <t>Framework Partnership Agreement (FPA) for the Climate-Neutral and Smart Cities Mission Platform</t>
  </si>
  <si>
    <t>Positive Clean Energy Districts</t>
  </si>
  <si>
    <t>Global cooperation and exchange on urban climate neutrality</t>
  </si>
  <si>
    <t>Development of climate change risk assessments in European regions and communities based on a transparent and harmonised Climate Risk Assessment approach</t>
  </si>
  <si>
    <t>Support to the regions in developing pathways towards climate resilience and corresponding innovation agendas</t>
  </si>
  <si>
    <t>Towards asset level modelling of climate risks and adaptation</t>
  </si>
  <si>
    <t>Large scale demonstrators of climate resilience creating cross-border value</t>
  </si>
  <si>
    <t>Local engagement of citizens in the co-creation of societal transformational change for climate resilience</t>
  </si>
  <si>
    <t>Preparation for deployment of lighthouse demonstrators and solution scale ups and cross-cutting citizen and stakeholder involvement</t>
  </si>
  <si>
    <t>European Blue Parks</t>
  </si>
  <si>
    <t>Danube river basin lighthouse – restoration of fresh and transitional water ecosystems</t>
  </si>
  <si>
    <t>Atlantic and Arctic basin lighthouse - restoration of marine and coastal ecosystems and increased climate resilience</t>
  </si>
  <si>
    <t>Danube river basin lighthouse – coordination activities</t>
  </si>
  <si>
    <t>Atlantic and Arctic basins lighthouse – coordination activities</t>
  </si>
  <si>
    <t>Mediterranean sea basin lighthouse - actions to prevent, minimise and remediate litter and plastic pollution</t>
  </si>
  <si>
    <t>Mediterranean sea basin lighthouse – coordination activities</t>
  </si>
  <si>
    <t>Lighthouse in the Baltic and the North Sea basins - Low impact marine aquaculture and multi-purpose use of marine space</t>
  </si>
  <si>
    <t>Baltic and North Sea basin lighthouse – coordination activities</t>
  </si>
  <si>
    <t>Underlying models for the European Digital Twin Ocean</t>
  </si>
  <si>
    <t>The relation of young generations with the sea and water: values, expectations, and engagement</t>
  </si>
  <si>
    <t>Piloting citizen science in marine and freshwater domains</t>
  </si>
  <si>
    <t>From knowledge  gaps to roadmaps on soil mission objectives</t>
  </si>
  <si>
    <t>Validating and further developing indicators for soil health and functions</t>
  </si>
  <si>
    <t>Linking soil health to nutritional and safe food</t>
  </si>
  <si>
    <t>Social, economic and cultural factors driving land management and land degradation</t>
  </si>
  <si>
    <t>Incentives and business models for soil health</t>
  </si>
  <si>
    <t>Engage with and activate municipalities and regions to protect and restore soil health</t>
  </si>
  <si>
    <t>National engagement sessions and support to the establishment of soil health living labs</t>
  </si>
  <si>
    <t>Next generation soil advisors</t>
  </si>
  <si>
    <t>Improving and upscaling primary prevention of cancer through implementation research</t>
  </si>
  <si>
    <t>Strengthening research capacities of Comprehensive Cancer Infrastructures</t>
  </si>
  <si>
    <t>Pragmatic clinical trials to optimise treatments for patients with refractory cancers</t>
  </si>
  <si>
    <t>Towards the creation of a European Cancer Patient Digital Centre</t>
  </si>
  <si>
    <t>Establishing of national cancer mission hubs and creation of network to support the Mission on Cancer</t>
  </si>
  <si>
    <t>Designing inclusive, safe, affordable and sustainable urban mobility</t>
  </si>
  <si>
    <t>User driven applications and tools for regional and local authorities, and other end users focusing on climate impacts, data and knowledge.</t>
  </si>
  <si>
    <t>Unlocking of financial resources for investments into climate resilience</t>
  </si>
  <si>
    <t>Best practices on and piloting insurance solutions for climate adaptation in EU regions and communities</t>
  </si>
  <si>
    <t>Transformation of regional economic systems for climate resilience and sustainability</t>
  </si>
  <si>
    <t>Boost the sponge function of landscape as a way to improve climate-resilience to water management challenges</t>
  </si>
  <si>
    <t>Testing and demonstrating transformative solutions on climate resilience, mainstreaming nature based solutions in the systemic transformation</t>
  </si>
  <si>
    <t>Creating a transnational network of National Contact Points (NCPs) for EU Missions</t>
  </si>
  <si>
    <t>European Blue Parks – Protection and restoration solutions for degraded coastal and marine habitats</t>
  </si>
  <si>
    <t>Danube river basin lighthouse – Protection and restoration of wetlands, flood plains, coastal wetlands and salt marshes and their biodiversity</t>
  </si>
  <si>
    <t>Mediterranean sea basin lighthouse - Actions to prevent, minimise and remediate chemical pollution</t>
  </si>
  <si>
    <t>Prevent and eliminate litter, plastics and microplastics: Innovative solutions for waste-free European rivers</t>
  </si>
  <si>
    <t>Marine litter and pollution – Smart and low environmental impact fishing gears</t>
  </si>
  <si>
    <t>Lighthouse in the Baltic and the North Sea basins – bringing sustainable algae-based products and solutions to the market</t>
  </si>
  <si>
    <t>Integration of biodiversity monitoring data into the Digital Twin Ocean</t>
  </si>
  <si>
    <t>Student and school activities for the promotion of education on ‘blue’ sustainability and the protection of marine and freshwater ecosystems</t>
  </si>
  <si>
    <t>Towards a European e-DNA library of marine and freshwater species</t>
  </si>
  <si>
    <t>Towards local community-driven business models: regenerative ocean farming</t>
  </si>
  <si>
    <t>Mission Climate adaptation and Mission Ocean and waters - Joint demonstration for coastal resilience in the Arctic and Atlantic sea basin</t>
  </si>
  <si>
    <t>Building the mission's knowledge repository and advancing the European Soil Observatory</t>
  </si>
  <si>
    <t>Improving food systems sustainability and soil health with food processing residues</t>
  </si>
  <si>
    <t>Soil biodiversity and its contribution to ecosystem services</t>
  </si>
  <si>
    <t>Remediation strategies, methods and financial models for decontamination and reuse of land in urban and rural areas</t>
  </si>
  <si>
    <t>Monitoring, reporting and verification of soil carbon and greenhouse gases balance</t>
  </si>
  <si>
    <t>Network on carbon farming for agricultural and forest soils</t>
  </si>
  <si>
    <t>Foster soil education across society</t>
  </si>
  <si>
    <t>Framework Partnership Agreement (FPA) for a Living Lab network support structure</t>
  </si>
  <si>
    <t>Citizen science for soil health</t>
  </si>
  <si>
    <t>Innovations for soil improvement from bio-waste</t>
  </si>
  <si>
    <t>Addressing poorly-understood tumour-host interactions to enhance immune system-centred treatment and care interventions in childhood, adolescent, adult and elderly cancer patients.</t>
  </si>
  <si>
    <t>Enhance primary cancer prevention through sustainable behavioural change</t>
  </si>
  <si>
    <t>Pragmatic clinical trials on minimally invasive diagnostics</t>
  </si>
  <si>
    <t>Establish best practices and tools to improve the quality of life for childhood cancer patients, survivors and their families in European regions</t>
  </si>
  <si>
    <t>Co-designed smart systems and services for user-centred shared zero-emission mobility of people and freight in urban areas (2Zero, CCAM and Cities’ Mission)</t>
  </si>
  <si>
    <t>Positive clean energy district (PED) digital twins – from modelling to creating climate neutral Cities</t>
  </si>
  <si>
    <t>Testing and demonstrating transformative solutions increasing climate resilience of the agriculture and/or forestry sector.</t>
  </si>
  <si>
    <t>Testing and demonstrating transformative solutions to protect critical infrastructure from climate change, mainstreaming nature based solutions.</t>
  </si>
  <si>
    <t>Testing and demonstrating transformative solutions to build resilience towards health risks caused by the effects of climate change</t>
  </si>
  <si>
    <t>Urban greening and re-naturing for urban regeneration, resilience and climate neutrality</t>
  </si>
  <si>
    <t>Mission Climate adaptation, Mission Ocean &amp; waters and Mission Soil Deal for Europe – Joint demonstration of an integrated approach to increasing landscape water retention capacity at regional scale</t>
  </si>
  <si>
    <t>European Blue Parks – Protection and restoration of marine habitats</t>
  </si>
  <si>
    <t>Danube river basin lighthouse – Demonstration of effective and sustainable management of sediments in the Danube river-Black sea system</t>
  </si>
  <si>
    <t>Atlantic and Arctic sea basin lighthouse – Addressing climate change and human activities threats to marine biodiversity</t>
  </si>
  <si>
    <t>European natural lakes: demonstration of integrated approaches for protection and restoration of natural lake ecosystems and their biodiversity</t>
  </si>
  <si>
    <t>Lighthouse in the Baltic and the North Sea basins - Lighthouse in the Baltic and the North Sea basins - Green and energy-efficient small-scale fishing fleets</t>
  </si>
  <si>
    <t>Cross-basin topic - Innovative nature-inclusive concepts to reconcile offshore renewables with ocean protection</t>
  </si>
  <si>
    <t>Cross-basin topic - Analysis of the obstacles and opportunities for repurposing aged/unused offshore infrastructures</t>
  </si>
  <si>
    <t>Integration of socio-ecological models into the Digital Twin Ocean</t>
  </si>
  <si>
    <t>Roadmap towards the integration of inland waters into the Digital Twin Ocean</t>
  </si>
  <si>
    <t>Choose your fish: a campaign for responsible consumption of products from the sea</t>
  </si>
  <si>
    <t>Ocean &amp; water and arts: the contribution of creative sectors to Mission Ocean and waters</t>
  </si>
  <si>
    <t xml:space="preserve">Discovering the subsoil </t>
  </si>
  <si>
    <t>Soil pollution processes – modelling and inclusion in advanced digital decision-support tools</t>
  </si>
  <si>
    <t>Onsite digital technologies to monitor nutrients and chemical or biological stressors in soil and plants with relevance for food safety and nutrition</t>
  </si>
  <si>
    <t>Innovations to prevent and combat desertification</t>
  </si>
  <si>
    <t>Soil-friendly practices in horticulture, including alternative growing media</t>
  </si>
  <si>
    <t>Soils in spatial planning</t>
  </si>
  <si>
    <t>Back to earth: bringing communities and citizens closer to soil</t>
  </si>
  <si>
    <t>Co-creating solutions for soil health in Living Labs</t>
  </si>
  <si>
    <t>Carbon farming in living labs</t>
  </si>
  <si>
    <t>Use cases for the UNCAN.eu research data platform</t>
  </si>
  <si>
    <t>Support dialogue towards the development of national cancer data nodes</t>
  </si>
  <si>
    <t>Accessible and affordable tests to advance early detection of heritable cancers in European regions</t>
  </si>
  <si>
    <t>Support a pragmatic clinical trial programme by cancer charities</t>
  </si>
  <si>
    <t>Improving the understanding and management of late-effects in adolescents and young adults (AYA) with cancer</t>
  </si>
  <si>
    <t>An information portal for the European Cancer Patient Digital Centre</t>
  </si>
  <si>
    <t>Rethinking urban spaces towards climate neutrality</t>
  </si>
  <si>
    <t>Zero-pollution cities</t>
  </si>
  <si>
    <t>Mobility Management Plans and Behavioural Change</t>
  </si>
  <si>
    <t>Integrated peri-urban areas in the transition towards climate neutrality</t>
  </si>
  <si>
    <t>Bringing available and actionable solutions for climate adaptation to the knowledge of the regions and local authorities</t>
  </si>
  <si>
    <t>Bringing together the national level with the engaged regional and local levels (multi-level governance)</t>
  </si>
  <si>
    <t>Develop and refine outcome indicators to measure progress on climate resilience at national, regional and local levels, including knowledge and feedback developed from the Mission</t>
  </si>
  <si>
    <t>Research the complex interplay between the climate and biodiversity crises towards more systemic approaches and solutions</t>
  </si>
  <si>
    <t>Improve design for transformative approaches and build local capacity for implementation of available solutions focused on climate adaptation</t>
  </si>
  <si>
    <t>Demonstration of approaches to improve bankability of solutions by design, addressing the co-benefits (mitigation and adaptation) to improve revenues streams</t>
  </si>
  <si>
    <t>Demonstration of solutions specifically suited to rural areas and small/ medium size population local communities</t>
  </si>
  <si>
    <t>Demonstration of approaches by regions and local authorities focused on increasing climate resilience of the most vulnerable social groups (just climate resilience)</t>
  </si>
  <si>
    <t>Systemic and cross-sectoral solutions for climate resilience, tailored to the local needs of regions and local authorities</t>
  </si>
  <si>
    <t>A European Social Innovation Advisory Network in support of EU Mission Objectives</t>
  </si>
  <si>
    <t>Framework Partnership Agreement for a European Networked Catalyst Fund for Social Innovation in Support of the Missions</t>
  </si>
  <si>
    <t>Experimental local action for EU missions: knowledge institutions as focal points of transdisciplinary research and innovation activities with European outreach</t>
  </si>
  <si>
    <t>Exploiting the potential of secondary bio-based products</t>
  </si>
  <si>
    <t>New governance models for the co-design and co-construction of public spaces in neighbourhoods by communities</t>
  </si>
  <si>
    <t>Setting up a New European Bauhaus hub for results and impact</t>
  </si>
  <si>
    <t>European Blue Parks – Offshore marine protected areas</t>
  </si>
  <si>
    <t>Danube river basin lighthouse – Protection and restoration of migratory fish habitats</t>
  </si>
  <si>
    <t>Atlantic and Arctic sea basin lighthouse,   Mediterranean Sea basin lighthouse, Baltic and North Sea basin lighthouse - Reducing the environmental impacts of fisheries on marine species and habitats</t>
  </si>
  <si>
    <t>Science for Community – Building the marine Citizen Science data network of the future to valorise data coming from the ocean and increase engagement</t>
  </si>
  <si>
    <t>Our Blue Future – Co-designing a future vision of a restored ocean and water system in the EU by 2030 and 2050</t>
  </si>
  <si>
    <t>Community-led actions to restore our ocean, seas and waters</t>
  </si>
  <si>
    <t>Support for the Coalition of waterfront cities, regions and islands for Mission Ocean and Waters</t>
  </si>
  <si>
    <t>Living Labs in urban areas for healthy soils</t>
  </si>
  <si>
    <t>Towards a dynamic monitoring system to assess status and spatiotemporal changes of soil erosion at European scale</t>
  </si>
  <si>
    <t>Systems to quantify nitrogen fluxes and uncertainties in European landscapes</t>
  </si>
  <si>
    <t>Soil health, pollinators and key ecosystem functions</t>
  </si>
  <si>
    <t>Harnessing the multifunctional potential of soil biodiversity for healthy cropping systems</t>
  </si>
  <si>
    <t>Development of high spatial-resolution monitoring approaches and geographically-explicit registry for carbon farming</t>
  </si>
  <si>
    <t>Managing forest peatsoils</t>
  </si>
  <si>
    <t>Assessment of Soil Health in Africa</t>
  </si>
  <si>
    <t>Fundamental Science and Outreach for Connected and Automated ATM</t>
  </si>
  <si>
    <t>Fundamental Science and Outreach for Capacity-on-demand and Dynamic Airspace</t>
  </si>
  <si>
    <t>Fundamental Science and Outreach for U-space and Urban Air Mobility</t>
  </si>
  <si>
    <t>Fundamental Science and Outreach for Virtualisation and Cyber-secure Data Sharing</t>
  </si>
  <si>
    <t>Fundamental Science and Outreach for Multimodality and Passenger Experience</t>
  </si>
  <si>
    <t>Fundamental Science and Outreach for Aviation Green Deal</t>
  </si>
  <si>
    <t>Fundamental Science and Outreach for Artificial Intelligence (AI) for Aviation</t>
  </si>
  <si>
    <t>Fundamental Science and Outreach for Civil/military Interoperability and Coordination</t>
  </si>
  <si>
    <t>ATM application-oriented Research for Connected and Automated ATM</t>
  </si>
  <si>
    <t>ATM application-oriented Research for Air-Ground Integration and Autonomy</t>
  </si>
  <si>
    <t>ATM application-oriented Research for Capacity-on-demand and Dynamic Airspace</t>
  </si>
  <si>
    <t>ATM application-oriented Research for U-space and urban Air Mobility</t>
  </si>
  <si>
    <t>ATM application-oriented Research for Virtualisation and Cyber-secure Data Sharing</t>
  </si>
  <si>
    <t>ATM application-oriented Research for Multimodality and Passenger Experience</t>
  </si>
  <si>
    <t>ATM application-oriented Research for Aviation Green Deal</t>
  </si>
  <si>
    <t>ATM application-oriented Research for Artificial Intelligence (AI) for aviation</t>
  </si>
  <si>
    <t>Knowledge Transfer Network</t>
  </si>
  <si>
    <t>Performance Management &amp; Network impact Assessment</t>
  </si>
  <si>
    <t>Master Planning &amp; Monitoring</t>
  </si>
  <si>
    <t>Industrial Research &amp; Validation for Aviation Green Deal</t>
  </si>
  <si>
    <t>Industrial Research &amp; Validation for Connected and Automated ATM</t>
  </si>
  <si>
    <t>Industrial Research &amp; Validation for Air-Ground Integration and Autonomy</t>
  </si>
  <si>
    <t>Industrial Research &amp; Validation for Capacity-on-Demand and Dynamic Airspace</t>
  </si>
  <si>
    <t>Industrial Research &amp; Validation for Artificial Intelligence for Aviation</t>
  </si>
  <si>
    <t>Industrial Research &amp; Validation for Civil-military Interoperability &amp; Coordination</t>
  </si>
  <si>
    <t>Fast Track Innovation and Uptake U-space and Urban Air Mobility</t>
  </si>
  <si>
    <t>Fast Track Innovation and Uptake Capacity-on-Demand and Dynamic Airspace</t>
  </si>
  <si>
    <t>Fast Track Innovation and Uptake Virtualisation and Cybersecure Data-Sharing</t>
  </si>
  <si>
    <t>Fast Track Innovation and Uptake Multi-modality and Passenger Experience</t>
  </si>
  <si>
    <t>Fast Track Innovation and Uptake Artificial Intelligence for Aviation</t>
  </si>
  <si>
    <t>Industrial Research &amp; Validation for Master Plan Phase C Connected and Automated ATM</t>
  </si>
  <si>
    <t>Industrial Research &amp; Validation for Master Plan Phase C Air-ground Integration and Autonomy</t>
  </si>
  <si>
    <t>Industrial Research &amp; Validation for Master Plan Phase C Capacity-on-Demand and Dynamic Airspace</t>
  </si>
  <si>
    <t>Industrial Research &amp; Validation for Master Plan Phase C Civil-military Interoperability &amp; Coordination</t>
  </si>
  <si>
    <t>ATM Excellent science and outreach for connected and automated ATM</t>
  </si>
  <si>
    <t>ATM Excellent science and outreach for air–ground integration and autonomy</t>
  </si>
  <si>
    <t>ATM Excellent science and outreach for capacity on demand and dynamic airspace</t>
  </si>
  <si>
    <t>ATM Excellent science and outreach for for U-space and urban air mobility</t>
  </si>
  <si>
    <t>ATM Excellent science and outreach for virtualisation and cybersecure data-sharing</t>
  </si>
  <si>
    <t>ATM Excellent science and outreach for multimodality and passenger experience</t>
  </si>
  <si>
    <t>ATM Excellent science and outreach for the aviation Green Deal</t>
  </si>
  <si>
    <t>ATM Excellent science and outreach for Artificial Intelligence (AI) for aviation</t>
  </si>
  <si>
    <t>ATM Excellent science and outreach for civil–military interoperability and coordination</t>
  </si>
  <si>
    <t>ATM application-oriented research for connected and automated ATM</t>
  </si>
  <si>
    <t>ATM application-oriented research for air–ground integration and autonomy</t>
  </si>
  <si>
    <t>ATM application-oriented research for the aviation Green Deal</t>
  </si>
  <si>
    <t>ATM application-oriented research for Artificial Intelligence (AI) for aviation</t>
  </si>
</sst>
</file>

<file path=xl/styles.xml><?xml version="1.0" encoding="utf-8"?>
<styleSheet xmlns="http://schemas.openxmlformats.org/spreadsheetml/2006/main">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903"/>
  <sheetViews>
    <sheetView tabSelected="1" workbookViewId="0"/>
  </sheetViews>
  <sheetFormatPr defaultRowHeight="15"/>
  <cols>
    <col min="3" max="3" width="11.7109375" customWidth="1"/>
    <col min="4" max="6" width="19.28515625" customWidth="1"/>
    <col min="7" max="9" width="10.7109375" customWidth="1"/>
    <col min="10" max="10" width="11.7109375" customWidth="1"/>
    <col min="12" max="12" width="11.7109375" customWidth="1"/>
    <col min="13" max="13" width="13.7109375" customWidth="1"/>
    <col min="14" max="14" width="42.7109375" customWidth="1"/>
    <col min="15" max="15" width="27.7109375" customWidth="1"/>
    <col min="16" max="16" width="40.7109375" style="1" customWidth="1"/>
    <col min="17" max="17" width="60.7109375"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v>44111571</v>
      </c>
      <c r="B2">
        <v>2021</v>
      </c>
      <c r="C2" t="s">
        <v>17</v>
      </c>
      <c r="D2" t="s">
        <v>37</v>
      </c>
      <c r="E2" t="s">
        <v>56</v>
      </c>
      <c r="F2" t="s">
        <v>95</v>
      </c>
      <c r="G2" t="s">
        <v>246</v>
      </c>
      <c r="H2" t="s">
        <v>295</v>
      </c>
      <c r="I2" t="s">
        <v>367</v>
      </c>
      <c r="K2" t="s">
        <v>466</v>
      </c>
      <c r="L2" t="s">
        <v>469</v>
      </c>
      <c r="M2" t="s">
        <v>471</v>
      </c>
      <c r="N2" t="s">
        <v>482</v>
      </c>
      <c r="O2" t="s">
        <v>790</v>
      </c>
      <c r="P2" s="1">
        <f>HYPERLINK("https://ec.europa.eu/info/funding-tenders/opportunities/portal/screen/opportunities/topic-details/horizon-cl2-2021-democracy-01-01", "HORIZON-CL2-2021-DEMOCRACY-01-01")</f>
        <v>0</v>
      </c>
      <c r="Q2" t="s">
        <v>976</v>
      </c>
    </row>
    <row r="3" spans="1:17">
      <c r="A3">
        <v>44111613</v>
      </c>
      <c r="B3">
        <v>2021</v>
      </c>
      <c r="C3" t="s">
        <v>17</v>
      </c>
      <c r="D3" t="s">
        <v>37</v>
      </c>
      <c r="E3" t="s">
        <v>56</v>
      </c>
      <c r="F3" t="s">
        <v>95</v>
      </c>
      <c r="G3" t="s">
        <v>246</v>
      </c>
      <c r="H3" t="s">
        <v>295</v>
      </c>
      <c r="I3" t="s">
        <v>367</v>
      </c>
      <c r="K3" t="s">
        <v>466</v>
      </c>
      <c r="L3" t="s">
        <v>469</v>
      </c>
      <c r="M3" t="s">
        <v>471</v>
      </c>
      <c r="N3" t="s">
        <v>482</v>
      </c>
      <c r="O3" t="s">
        <v>790</v>
      </c>
      <c r="P3" s="1">
        <f>HYPERLINK("https://ec.europa.eu/info/funding-tenders/opportunities/portal/screen/opportunities/topic-details/horizon-cl2-2021-democracy-01-02", "HORIZON-CL2-2021-DEMOCRACY-01-02")</f>
        <v>0</v>
      </c>
      <c r="Q3" t="s">
        <v>977</v>
      </c>
    </row>
    <row r="4" spans="1:17">
      <c r="A4">
        <v>44111705</v>
      </c>
      <c r="B4">
        <v>2021</v>
      </c>
      <c r="C4" t="s">
        <v>17</v>
      </c>
      <c r="D4" t="s">
        <v>37</v>
      </c>
      <c r="E4" t="s">
        <v>56</v>
      </c>
      <c r="F4" t="s">
        <v>95</v>
      </c>
      <c r="G4" t="s">
        <v>246</v>
      </c>
      <c r="H4" t="s">
        <v>295</v>
      </c>
      <c r="I4" t="s">
        <v>367</v>
      </c>
      <c r="K4" t="s">
        <v>466</v>
      </c>
      <c r="L4" t="s">
        <v>469</v>
      </c>
      <c r="M4" t="s">
        <v>471</v>
      </c>
      <c r="N4" t="s">
        <v>482</v>
      </c>
      <c r="O4" t="s">
        <v>790</v>
      </c>
      <c r="P4" s="1">
        <f>HYPERLINK("https://ec.europa.eu/info/funding-tenders/opportunities/portal/screen/opportunities/topic-details/horizon-cl2-2021-democracy-01-03", "HORIZON-CL2-2021-DEMOCRACY-01-03")</f>
        <v>0</v>
      </c>
      <c r="Q4" t="s">
        <v>978</v>
      </c>
    </row>
    <row r="5" spans="1:17">
      <c r="A5">
        <v>44111745</v>
      </c>
      <c r="B5">
        <v>2021</v>
      </c>
      <c r="C5" t="s">
        <v>17</v>
      </c>
      <c r="D5" t="s">
        <v>37</v>
      </c>
      <c r="E5" t="s">
        <v>56</v>
      </c>
      <c r="F5" t="s">
        <v>95</v>
      </c>
      <c r="G5" t="s">
        <v>246</v>
      </c>
      <c r="H5" t="s">
        <v>295</v>
      </c>
      <c r="I5" t="s">
        <v>367</v>
      </c>
      <c r="K5" t="s">
        <v>466</v>
      </c>
      <c r="L5" t="s">
        <v>469</v>
      </c>
      <c r="M5" t="s">
        <v>471</v>
      </c>
      <c r="N5" t="s">
        <v>482</v>
      </c>
      <c r="O5" t="s">
        <v>790</v>
      </c>
      <c r="P5" s="1">
        <f>HYPERLINK("https://ec.europa.eu/info/funding-tenders/opportunities/portal/screen/opportunities/topic-details/horizon-cl2-2021-democracy-01-04", "HORIZON-CL2-2021-DEMOCRACY-01-04")</f>
        <v>0</v>
      </c>
      <c r="Q5" t="s">
        <v>979</v>
      </c>
    </row>
    <row r="6" spans="1:17">
      <c r="A6">
        <v>44111769</v>
      </c>
      <c r="B6">
        <v>2021</v>
      </c>
      <c r="C6" t="s">
        <v>17</v>
      </c>
      <c r="D6" t="s">
        <v>37</v>
      </c>
      <c r="E6" t="s">
        <v>56</v>
      </c>
      <c r="F6" t="s">
        <v>95</v>
      </c>
      <c r="G6" t="s">
        <v>246</v>
      </c>
      <c r="H6" t="s">
        <v>295</v>
      </c>
      <c r="I6" t="s">
        <v>367</v>
      </c>
      <c r="K6" t="s">
        <v>466</v>
      </c>
      <c r="L6" t="s">
        <v>469</v>
      </c>
      <c r="M6" t="s">
        <v>471</v>
      </c>
      <c r="N6" t="s">
        <v>482</v>
      </c>
      <c r="O6" t="s">
        <v>790</v>
      </c>
      <c r="P6" s="1">
        <f>HYPERLINK("https://ec.europa.eu/info/funding-tenders/opportunities/portal/screen/opportunities/topic-details/horizon-cl2-2021-democracy-01-05", "HORIZON-CL2-2021-DEMOCRACY-01-05")</f>
        <v>0</v>
      </c>
      <c r="Q6" t="s">
        <v>980</v>
      </c>
    </row>
    <row r="7" spans="1:17">
      <c r="A7">
        <v>44112329</v>
      </c>
      <c r="B7">
        <v>2021</v>
      </c>
      <c r="C7" t="s">
        <v>17</v>
      </c>
      <c r="D7" t="s">
        <v>37</v>
      </c>
      <c r="E7" t="s">
        <v>57</v>
      </c>
      <c r="F7" t="s">
        <v>96</v>
      </c>
      <c r="G7" t="s">
        <v>246</v>
      </c>
      <c r="H7" t="s">
        <v>295</v>
      </c>
      <c r="I7" t="s">
        <v>367</v>
      </c>
      <c r="K7" t="s">
        <v>466</v>
      </c>
      <c r="L7" t="s">
        <v>469</v>
      </c>
      <c r="M7" t="s">
        <v>471</v>
      </c>
      <c r="N7" t="s">
        <v>483</v>
      </c>
      <c r="O7" t="s">
        <v>791</v>
      </c>
      <c r="P7" s="1">
        <f>HYPERLINK("https://ec.europa.eu/info/funding-tenders/opportunities/portal/screen/opportunities/topic-details/horizon-cl2-2021-heritage-01-01", "HORIZON-CL2-2021-HERITAGE-01-01")</f>
        <v>0</v>
      </c>
      <c r="Q7" t="s">
        <v>981</v>
      </c>
    </row>
    <row r="8" spans="1:17">
      <c r="A8">
        <v>44112371</v>
      </c>
      <c r="B8">
        <v>2021</v>
      </c>
      <c r="C8" t="s">
        <v>17</v>
      </c>
      <c r="D8" t="s">
        <v>37</v>
      </c>
      <c r="E8" t="s">
        <v>57</v>
      </c>
      <c r="F8" t="s">
        <v>96</v>
      </c>
      <c r="G8" t="s">
        <v>246</v>
      </c>
      <c r="H8" t="s">
        <v>295</v>
      </c>
      <c r="I8" t="s">
        <v>367</v>
      </c>
      <c r="K8" t="s">
        <v>466</v>
      </c>
      <c r="L8" t="s">
        <v>469</v>
      </c>
      <c r="M8" t="s">
        <v>471</v>
      </c>
      <c r="N8" t="s">
        <v>483</v>
      </c>
      <c r="O8" t="s">
        <v>791</v>
      </c>
      <c r="P8" s="1">
        <f>HYPERLINK("https://ec.europa.eu/info/funding-tenders/opportunities/portal/screen/opportunities/topic-details/horizon-cl2-2021-heritage-01-02", "HORIZON-CL2-2021-HERITAGE-01-02")</f>
        <v>0</v>
      </c>
      <c r="Q8" t="s">
        <v>982</v>
      </c>
    </row>
    <row r="9" spans="1:17">
      <c r="A9">
        <v>44112413</v>
      </c>
      <c r="B9">
        <v>2021</v>
      </c>
      <c r="C9" t="s">
        <v>17</v>
      </c>
      <c r="D9" t="s">
        <v>37</v>
      </c>
      <c r="E9" t="s">
        <v>57</v>
      </c>
      <c r="F9" t="s">
        <v>96</v>
      </c>
      <c r="G9" t="s">
        <v>246</v>
      </c>
      <c r="H9" t="s">
        <v>295</v>
      </c>
      <c r="I9" t="s">
        <v>367</v>
      </c>
      <c r="K9" t="s">
        <v>466</v>
      </c>
      <c r="L9" t="s">
        <v>469</v>
      </c>
      <c r="M9" t="s">
        <v>471</v>
      </c>
      <c r="N9" t="s">
        <v>483</v>
      </c>
      <c r="O9" t="s">
        <v>791</v>
      </c>
      <c r="P9" s="1">
        <f>HYPERLINK("https://ec.europa.eu/info/funding-tenders/opportunities/portal/screen/opportunities/topic-details/horizon-cl2-2021-heritage-01-03", "HORIZON-CL2-2021-HERITAGE-01-03")</f>
        <v>0</v>
      </c>
      <c r="Q9" t="s">
        <v>983</v>
      </c>
    </row>
    <row r="10" spans="1:17">
      <c r="A10">
        <v>44112470</v>
      </c>
      <c r="B10">
        <v>2021</v>
      </c>
      <c r="C10" t="s">
        <v>17</v>
      </c>
      <c r="D10" t="s">
        <v>37</v>
      </c>
      <c r="E10" t="s">
        <v>57</v>
      </c>
      <c r="F10" t="s">
        <v>96</v>
      </c>
      <c r="G10" t="s">
        <v>246</v>
      </c>
      <c r="H10" t="s">
        <v>295</v>
      </c>
      <c r="I10" t="s">
        <v>367</v>
      </c>
      <c r="K10" t="s">
        <v>466</v>
      </c>
      <c r="L10" t="s">
        <v>469</v>
      </c>
      <c r="M10" t="s">
        <v>471</v>
      </c>
      <c r="N10" t="s">
        <v>483</v>
      </c>
      <c r="O10" t="s">
        <v>791</v>
      </c>
      <c r="P10" s="1">
        <f>HYPERLINK("https://ec.europa.eu/info/funding-tenders/opportunities/portal/screen/opportunities/topic-details/horizon-cl2-2021-heritage-01-04", "HORIZON-CL2-2021-HERITAGE-01-04")</f>
        <v>0</v>
      </c>
      <c r="Q10" t="s">
        <v>984</v>
      </c>
    </row>
    <row r="11" spans="1:17">
      <c r="A11">
        <v>44112504</v>
      </c>
      <c r="B11">
        <v>2021</v>
      </c>
      <c r="C11" t="s">
        <v>17</v>
      </c>
      <c r="D11" t="s">
        <v>37</v>
      </c>
      <c r="E11" t="s">
        <v>58</v>
      </c>
      <c r="F11" t="s">
        <v>97</v>
      </c>
      <c r="G11" t="s">
        <v>246</v>
      </c>
      <c r="H11" t="s">
        <v>295</v>
      </c>
      <c r="I11" t="s">
        <v>367</v>
      </c>
      <c r="K11" t="s">
        <v>466</v>
      </c>
      <c r="L11" t="s">
        <v>469</v>
      </c>
      <c r="M11" t="s">
        <v>472</v>
      </c>
      <c r="N11" t="s">
        <v>484</v>
      </c>
      <c r="O11" t="s">
        <v>792</v>
      </c>
      <c r="P11" s="1">
        <f>HYPERLINK("https://ec.europa.eu/info/funding-tenders/opportunities/portal/screen/opportunities/topic-details/horizon-cl2-2021-heritage-02-01", "HORIZON-CL2-2021-HERITAGE-02-01")</f>
        <v>0</v>
      </c>
      <c r="Q11" t="s">
        <v>985</v>
      </c>
    </row>
    <row r="12" spans="1:17">
      <c r="A12">
        <v>44112526</v>
      </c>
      <c r="B12">
        <v>2021</v>
      </c>
      <c r="C12" t="s">
        <v>17</v>
      </c>
      <c r="D12" t="s">
        <v>37</v>
      </c>
      <c r="E12" t="s">
        <v>58</v>
      </c>
      <c r="F12" t="s">
        <v>97</v>
      </c>
      <c r="G12" t="s">
        <v>246</v>
      </c>
      <c r="H12" t="s">
        <v>295</v>
      </c>
      <c r="I12" t="s">
        <v>367</v>
      </c>
      <c r="K12" t="s">
        <v>466</v>
      </c>
      <c r="L12" t="s">
        <v>469</v>
      </c>
      <c r="M12" t="s">
        <v>472</v>
      </c>
      <c r="N12" t="s">
        <v>484</v>
      </c>
      <c r="O12" t="s">
        <v>792</v>
      </c>
      <c r="P12" s="1">
        <f>HYPERLINK("https://ec.europa.eu/info/funding-tenders/opportunities/portal/screen/opportunities/topic-details/horizon-cl2-2021-heritage-02-02", "HORIZON-CL2-2021-HERITAGE-02-02")</f>
        <v>0</v>
      </c>
      <c r="Q12" t="s">
        <v>986</v>
      </c>
    </row>
    <row r="13" spans="1:17">
      <c r="A13">
        <v>44111797</v>
      </c>
      <c r="B13">
        <v>2021</v>
      </c>
      <c r="C13" t="s">
        <v>17</v>
      </c>
      <c r="D13" t="s">
        <v>37</v>
      </c>
      <c r="E13" t="s">
        <v>58</v>
      </c>
      <c r="F13" t="s">
        <v>98</v>
      </c>
      <c r="G13" t="s">
        <v>246</v>
      </c>
      <c r="H13" t="s">
        <v>295</v>
      </c>
      <c r="I13" t="s">
        <v>367</v>
      </c>
      <c r="K13" t="s">
        <v>466</v>
      </c>
      <c r="L13" t="s">
        <v>469</v>
      </c>
      <c r="M13" t="s">
        <v>472</v>
      </c>
      <c r="N13" t="s">
        <v>485</v>
      </c>
      <c r="O13" t="s">
        <v>793</v>
      </c>
      <c r="P13" s="1">
        <f>HYPERLINK("https://ec.europa.eu/info/funding-tenders/opportunities/portal/screen/opportunities/topic-details/horizon-cl2-2021-transformations-01-01", "HORIZON-CL2-2021-TRANSFORMATIONS-01-01")</f>
        <v>0</v>
      </c>
      <c r="Q13" t="s">
        <v>987</v>
      </c>
    </row>
    <row r="14" spans="1:17">
      <c r="A14">
        <v>44111826</v>
      </c>
      <c r="B14">
        <v>2021</v>
      </c>
      <c r="C14" t="s">
        <v>17</v>
      </c>
      <c r="D14" t="s">
        <v>37</v>
      </c>
      <c r="E14" t="s">
        <v>59</v>
      </c>
      <c r="F14" t="s">
        <v>98</v>
      </c>
      <c r="G14" t="s">
        <v>246</v>
      </c>
      <c r="H14" t="s">
        <v>295</v>
      </c>
      <c r="I14" t="s">
        <v>367</v>
      </c>
      <c r="K14" t="s">
        <v>466</v>
      </c>
      <c r="L14" t="s">
        <v>469</v>
      </c>
      <c r="M14" t="s">
        <v>471</v>
      </c>
      <c r="N14" t="s">
        <v>485</v>
      </c>
      <c r="O14" t="s">
        <v>793</v>
      </c>
      <c r="P14" s="1">
        <f>HYPERLINK("https://ec.europa.eu/info/funding-tenders/opportunities/portal/screen/opportunities/topic-details/horizon-cl2-2021-transformations-01-02", "HORIZON-CL2-2021-TRANSFORMATIONS-01-02")</f>
        <v>0</v>
      </c>
      <c r="Q14" t="s">
        <v>988</v>
      </c>
    </row>
    <row r="15" spans="1:17">
      <c r="A15">
        <v>44111870</v>
      </c>
      <c r="B15">
        <v>2021</v>
      </c>
      <c r="C15" t="s">
        <v>17</v>
      </c>
      <c r="D15" t="s">
        <v>37</v>
      </c>
      <c r="E15" t="s">
        <v>59</v>
      </c>
      <c r="F15" t="s">
        <v>98</v>
      </c>
      <c r="G15" t="s">
        <v>246</v>
      </c>
      <c r="H15" t="s">
        <v>295</v>
      </c>
      <c r="I15" t="s">
        <v>367</v>
      </c>
      <c r="K15" t="s">
        <v>466</v>
      </c>
      <c r="L15" t="s">
        <v>469</v>
      </c>
      <c r="M15" t="s">
        <v>471</v>
      </c>
      <c r="N15" t="s">
        <v>485</v>
      </c>
      <c r="O15" t="s">
        <v>793</v>
      </c>
      <c r="P15" s="1">
        <f>HYPERLINK("https://ec.europa.eu/info/funding-tenders/opportunities/portal/screen/opportunities/topic-details/horizon-cl2-2021-transformations-01-03", "HORIZON-CL2-2021-TRANSFORMATIONS-01-03")</f>
        <v>0</v>
      </c>
      <c r="Q15" t="s">
        <v>989</v>
      </c>
    </row>
    <row r="16" spans="1:17">
      <c r="A16">
        <v>44113044</v>
      </c>
      <c r="B16">
        <v>2021</v>
      </c>
      <c r="C16" t="s">
        <v>17</v>
      </c>
      <c r="D16" t="s">
        <v>37</v>
      </c>
      <c r="E16" t="s">
        <v>59</v>
      </c>
      <c r="F16" t="s">
        <v>98</v>
      </c>
      <c r="G16" t="s">
        <v>246</v>
      </c>
      <c r="H16" t="s">
        <v>295</v>
      </c>
      <c r="I16" t="s">
        <v>367</v>
      </c>
      <c r="K16" t="s">
        <v>466</v>
      </c>
      <c r="L16" t="s">
        <v>469</v>
      </c>
      <c r="M16" t="s">
        <v>471</v>
      </c>
      <c r="N16" t="s">
        <v>485</v>
      </c>
      <c r="O16" t="s">
        <v>793</v>
      </c>
      <c r="P16" s="1">
        <f>HYPERLINK("https://ec.europa.eu/info/funding-tenders/opportunities/portal/screen/opportunities/topic-details/horizon-cl2-2021-transformations-01-04", "HORIZON-CL2-2021-TRANSFORMATIONS-01-04")</f>
        <v>0</v>
      </c>
      <c r="Q16" t="s">
        <v>990</v>
      </c>
    </row>
    <row r="17" spans="1:17">
      <c r="A17">
        <v>44113084</v>
      </c>
      <c r="B17">
        <v>2021</v>
      </c>
      <c r="C17" t="s">
        <v>17</v>
      </c>
      <c r="D17" t="s">
        <v>37</v>
      </c>
      <c r="E17" t="s">
        <v>59</v>
      </c>
      <c r="F17" t="s">
        <v>98</v>
      </c>
      <c r="G17" t="s">
        <v>246</v>
      </c>
      <c r="H17" t="s">
        <v>295</v>
      </c>
      <c r="I17" t="s">
        <v>367</v>
      </c>
      <c r="K17" t="s">
        <v>466</v>
      </c>
      <c r="L17" t="s">
        <v>469</v>
      </c>
      <c r="M17" t="s">
        <v>471</v>
      </c>
      <c r="N17" t="s">
        <v>485</v>
      </c>
      <c r="O17" t="s">
        <v>793</v>
      </c>
      <c r="P17" s="1">
        <f>HYPERLINK("https://ec.europa.eu/info/funding-tenders/opportunities/portal/screen/opportunities/topic-details/horizon-cl2-2021-transformations-01-05", "HORIZON-CL2-2021-TRANSFORMATIONS-01-05")</f>
        <v>0</v>
      </c>
      <c r="Q17" t="s">
        <v>991</v>
      </c>
    </row>
    <row r="18" spans="1:17">
      <c r="A18">
        <v>44113120</v>
      </c>
      <c r="B18">
        <v>2021</v>
      </c>
      <c r="C18" t="s">
        <v>17</v>
      </c>
      <c r="D18" t="s">
        <v>37</v>
      </c>
      <c r="E18" t="s">
        <v>59</v>
      </c>
      <c r="F18" t="s">
        <v>98</v>
      </c>
      <c r="G18" t="s">
        <v>246</v>
      </c>
      <c r="H18" t="s">
        <v>295</v>
      </c>
      <c r="I18" t="s">
        <v>367</v>
      </c>
      <c r="K18" t="s">
        <v>466</v>
      </c>
      <c r="L18" t="s">
        <v>469</v>
      </c>
      <c r="M18" t="s">
        <v>471</v>
      </c>
      <c r="N18" t="s">
        <v>485</v>
      </c>
      <c r="O18" t="s">
        <v>793</v>
      </c>
      <c r="P18" s="1">
        <f>HYPERLINK("https://ec.europa.eu/info/funding-tenders/opportunities/portal/screen/opportunities/topic-details/horizon-cl2-2021-transformations-01-06", "HORIZON-CL2-2021-TRANSFORMATIONS-01-06")</f>
        <v>0</v>
      </c>
      <c r="Q18" t="s">
        <v>992</v>
      </c>
    </row>
    <row r="19" spans="1:17">
      <c r="A19">
        <v>44113163</v>
      </c>
      <c r="B19">
        <v>2021</v>
      </c>
      <c r="C19" t="s">
        <v>17</v>
      </c>
      <c r="D19" t="s">
        <v>37</v>
      </c>
      <c r="E19" t="s">
        <v>58</v>
      </c>
      <c r="F19" t="s">
        <v>98</v>
      </c>
      <c r="G19" t="s">
        <v>246</v>
      </c>
      <c r="H19" t="s">
        <v>295</v>
      </c>
      <c r="I19" t="s">
        <v>367</v>
      </c>
      <c r="K19" t="s">
        <v>466</v>
      </c>
      <c r="L19" t="s">
        <v>469</v>
      </c>
      <c r="M19" t="s">
        <v>471</v>
      </c>
      <c r="N19" t="s">
        <v>485</v>
      </c>
      <c r="O19" t="s">
        <v>793</v>
      </c>
      <c r="P19" s="1">
        <f>HYPERLINK("https://ec.europa.eu/info/funding-tenders/opportunities/portal/screen/opportunities/topic-details/horizon-cl2-2021-transformations-01-07", "HORIZON-CL2-2021-TRANSFORMATIONS-01-07")</f>
        <v>0</v>
      </c>
      <c r="Q19" t="s">
        <v>993</v>
      </c>
    </row>
    <row r="20" spans="1:17">
      <c r="A20">
        <v>44111901</v>
      </c>
      <c r="B20">
        <v>2022</v>
      </c>
      <c r="C20" t="s">
        <v>17</v>
      </c>
      <c r="D20" t="s">
        <v>37</v>
      </c>
      <c r="E20" t="s">
        <v>56</v>
      </c>
      <c r="F20" t="s">
        <v>95</v>
      </c>
      <c r="G20" t="s">
        <v>247</v>
      </c>
      <c r="H20" t="s">
        <v>296</v>
      </c>
      <c r="I20" t="s">
        <v>335</v>
      </c>
      <c r="K20" t="s">
        <v>466</v>
      </c>
      <c r="L20" t="s">
        <v>469</v>
      </c>
      <c r="M20" t="s">
        <v>471</v>
      </c>
      <c r="N20" t="s">
        <v>486</v>
      </c>
      <c r="O20" t="s">
        <v>794</v>
      </c>
      <c r="P20" s="1">
        <f>HYPERLINK("https://ec.europa.eu/info/funding-tenders/opportunities/portal/screen/opportunities/topic-details/horizon-cl2-2022-democracy-01-01", "HORIZON-CL2-2022-DEMOCRACY-01-01")</f>
        <v>0</v>
      </c>
      <c r="Q20" t="s">
        <v>994</v>
      </c>
    </row>
    <row r="21" spans="1:17">
      <c r="A21">
        <v>44111926</v>
      </c>
      <c r="B21">
        <v>2022</v>
      </c>
      <c r="C21" t="s">
        <v>17</v>
      </c>
      <c r="D21" t="s">
        <v>37</v>
      </c>
      <c r="E21" t="s">
        <v>56</v>
      </c>
      <c r="F21" t="s">
        <v>95</v>
      </c>
      <c r="G21" t="s">
        <v>247</v>
      </c>
      <c r="H21" t="s">
        <v>296</v>
      </c>
      <c r="I21" t="s">
        <v>335</v>
      </c>
      <c r="K21" t="s">
        <v>466</v>
      </c>
      <c r="L21" t="s">
        <v>469</v>
      </c>
      <c r="M21" t="s">
        <v>471</v>
      </c>
      <c r="N21" t="s">
        <v>486</v>
      </c>
      <c r="O21" t="s">
        <v>794</v>
      </c>
      <c r="P21" s="1">
        <f>HYPERLINK("https://ec.europa.eu/info/funding-tenders/opportunities/portal/screen/opportunities/topic-details/horizon-cl2-2022-democracy-01-02", "HORIZON-CL2-2022-DEMOCRACY-01-02")</f>
        <v>0</v>
      </c>
      <c r="Q21" t="s">
        <v>995</v>
      </c>
    </row>
    <row r="22" spans="1:17">
      <c r="A22">
        <v>44111662</v>
      </c>
      <c r="B22">
        <v>2022</v>
      </c>
      <c r="C22" t="s">
        <v>17</v>
      </c>
      <c r="D22" t="s">
        <v>37</v>
      </c>
      <c r="E22" t="s">
        <v>56</v>
      </c>
      <c r="F22" t="s">
        <v>95</v>
      </c>
      <c r="G22" t="s">
        <v>247</v>
      </c>
      <c r="H22" t="s">
        <v>296</v>
      </c>
      <c r="I22" t="s">
        <v>335</v>
      </c>
      <c r="K22" t="s">
        <v>466</v>
      </c>
      <c r="L22" t="s">
        <v>469</v>
      </c>
      <c r="M22" t="s">
        <v>471</v>
      </c>
      <c r="N22" t="s">
        <v>486</v>
      </c>
      <c r="O22" t="s">
        <v>794</v>
      </c>
      <c r="P22" s="1">
        <f>HYPERLINK("https://ec.europa.eu/info/funding-tenders/opportunities/portal/screen/opportunities/topic-details/horizon-cl2-2022-democracy-01-03", "HORIZON-CL2-2022-DEMOCRACY-01-03")</f>
        <v>0</v>
      </c>
      <c r="Q22" t="s">
        <v>996</v>
      </c>
    </row>
    <row r="23" spans="1:17">
      <c r="A23">
        <v>44111958</v>
      </c>
      <c r="B23">
        <v>2022</v>
      </c>
      <c r="C23" t="s">
        <v>17</v>
      </c>
      <c r="D23" t="s">
        <v>37</v>
      </c>
      <c r="E23" t="s">
        <v>56</v>
      </c>
      <c r="F23" t="s">
        <v>95</v>
      </c>
      <c r="G23" t="s">
        <v>247</v>
      </c>
      <c r="H23" t="s">
        <v>296</v>
      </c>
      <c r="I23" t="s">
        <v>335</v>
      </c>
      <c r="K23" t="s">
        <v>466</v>
      </c>
      <c r="L23" t="s">
        <v>469</v>
      </c>
      <c r="M23" t="s">
        <v>471</v>
      </c>
      <c r="N23" t="s">
        <v>486</v>
      </c>
      <c r="O23" t="s">
        <v>794</v>
      </c>
      <c r="P23" s="1">
        <f>HYPERLINK("https://ec.europa.eu/info/funding-tenders/opportunities/portal/screen/opportunities/topic-details/horizon-cl2-2022-democracy-01-04", "HORIZON-CL2-2022-DEMOCRACY-01-04")</f>
        <v>0</v>
      </c>
      <c r="Q23" t="s">
        <v>997</v>
      </c>
    </row>
    <row r="24" spans="1:17">
      <c r="A24">
        <v>44111990</v>
      </c>
      <c r="B24">
        <v>2022</v>
      </c>
      <c r="C24" t="s">
        <v>17</v>
      </c>
      <c r="D24" t="s">
        <v>37</v>
      </c>
      <c r="E24" t="s">
        <v>56</v>
      </c>
      <c r="F24" t="s">
        <v>95</v>
      </c>
      <c r="G24" t="s">
        <v>247</v>
      </c>
      <c r="H24" t="s">
        <v>296</v>
      </c>
      <c r="I24" t="s">
        <v>335</v>
      </c>
      <c r="K24" t="s">
        <v>466</v>
      </c>
      <c r="L24" t="s">
        <v>469</v>
      </c>
      <c r="M24" t="s">
        <v>471</v>
      </c>
      <c r="N24" t="s">
        <v>486</v>
      </c>
      <c r="O24" t="s">
        <v>794</v>
      </c>
      <c r="P24" s="1">
        <f>HYPERLINK("https://ec.europa.eu/info/funding-tenders/opportunities/portal/screen/opportunities/topic-details/horizon-cl2-2022-democracy-01-05", "HORIZON-CL2-2022-DEMOCRACY-01-05")</f>
        <v>0</v>
      </c>
      <c r="Q24" t="s">
        <v>998</v>
      </c>
    </row>
    <row r="25" spans="1:17">
      <c r="A25">
        <v>44113235</v>
      </c>
      <c r="B25">
        <v>2022</v>
      </c>
      <c r="C25" t="s">
        <v>17</v>
      </c>
      <c r="D25" t="s">
        <v>37</v>
      </c>
      <c r="E25" t="s">
        <v>56</v>
      </c>
      <c r="F25" t="s">
        <v>95</v>
      </c>
      <c r="G25" t="s">
        <v>247</v>
      </c>
      <c r="H25" t="s">
        <v>296</v>
      </c>
      <c r="I25" t="s">
        <v>335</v>
      </c>
      <c r="K25" t="s">
        <v>466</v>
      </c>
      <c r="L25" t="s">
        <v>469</v>
      </c>
      <c r="M25" t="s">
        <v>471</v>
      </c>
      <c r="N25" t="s">
        <v>486</v>
      </c>
      <c r="O25" t="s">
        <v>794</v>
      </c>
      <c r="P25" s="1">
        <f>HYPERLINK("https://ec.europa.eu/info/funding-tenders/opportunities/portal/screen/opportunities/topic-details/horizon-cl2-2022-democracy-01-06", "HORIZON-CL2-2022-DEMOCRACY-01-06")</f>
        <v>0</v>
      </c>
      <c r="Q25" t="s">
        <v>999</v>
      </c>
    </row>
    <row r="26" spans="1:17">
      <c r="A26">
        <v>44112017</v>
      </c>
      <c r="B26">
        <v>2022</v>
      </c>
      <c r="C26" t="s">
        <v>17</v>
      </c>
      <c r="D26" t="s">
        <v>37</v>
      </c>
      <c r="E26" t="s">
        <v>56</v>
      </c>
      <c r="F26" t="s">
        <v>95</v>
      </c>
      <c r="G26" t="s">
        <v>247</v>
      </c>
      <c r="H26" t="s">
        <v>296</v>
      </c>
      <c r="I26" t="s">
        <v>335</v>
      </c>
      <c r="K26" t="s">
        <v>466</v>
      </c>
      <c r="L26" t="s">
        <v>469</v>
      </c>
      <c r="M26" t="s">
        <v>471</v>
      </c>
      <c r="N26" t="s">
        <v>486</v>
      </c>
      <c r="O26" t="s">
        <v>794</v>
      </c>
      <c r="P26" s="1">
        <f>HYPERLINK("https://ec.europa.eu/info/funding-tenders/opportunities/portal/screen/opportunities/topic-details/horizon-cl2-2022-democracy-01-07", "HORIZON-CL2-2022-DEMOCRACY-01-07")</f>
        <v>0</v>
      </c>
      <c r="Q26" t="s">
        <v>1000</v>
      </c>
    </row>
    <row r="27" spans="1:17">
      <c r="A27">
        <v>44112050</v>
      </c>
      <c r="B27">
        <v>2022</v>
      </c>
      <c r="C27" t="s">
        <v>17</v>
      </c>
      <c r="D27" t="s">
        <v>37</v>
      </c>
      <c r="E27" t="s">
        <v>56</v>
      </c>
      <c r="F27" t="s">
        <v>95</v>
      </c>
      <c r="G27" t="s">
        <v>247</v>
      </c>
      <c r="H27" t="s">
        <v>296</v>
      </c>
      <c r="I27" t="s">
        <v>335</v>
      </c>
      <c r="K27" t="s">
        <v>466</v>
      </c>
      <c r="L27" t="s">
        <v>469</v>
      </c>
      <c r="M27" t="s">
        <v>471</v>
      </c>
      <c r="N27" t="s">
        <v>486</v>
      </c>
      <c r="O27" t="s">
        <v>794</v>
      </c>
      <c r="P27" s="1">
        <f>HYPERLINK("https://ec.europa.eu/info/funding-tenders/opportunities/portal/screen/opportunities/topic-details/horizon-cl2-2022-democracy-01-08", "HORIZON-CL2-2022-DEMOCRACY-01-08")</f>
        <v>0</v>
      </c>
      <c r="Q27" t="s">
        <v>1001</v>
      </c>
    </row>
    <row r="28" spans="1:17">
      <c r="A28">
        <v>44112079</v>
      </c>
      <c r="B28">
        <v>2022</v>
      </c>
      <c r="C28" t="s">
        <v>17</v>
      </c>
      <c r="D28" t="s">
        <v>37</v>
      </c>
      <c r="E28" t="s">
        <v>56</v>
      </c>
      <c r="F28" t="s">
        <v>95</v>
      </c>
      <c r="G28" t="s">
        <v>247</v>
      </c>
      <c r="H28" t="s">
        <v>296</v>
      </c>
      <c r="I28" t="s">
        <v>335</v>
      </c>
      <c r="K28" t="s">
        <v>466</v>
      </c>
      <c r="L28" t="s">
        <v>469</v>
      </c>
      <c r="M28" t="s">
        <v>471</v>
      </c>
      <c r="N28" t="s">
        <v>486</v>
      </c>
      <c r="O28" t="s">
        <v>794</v>
      </c>
      <c r="P28" s="1">
        <f>HYPERLINK("https://ec.europa.eu/info/funding-tenders/opportunities/portal/screen/opportunities/topic-details/horizon-cl2-2022-democracy-01-09", "HORIZON-CL2-2022-DEMOCRACY-01-09")</f>
        <v>0</v>
      </c>
      <c r="Q28" t="s">
        <v>1002</v>
      </c>
    </row>
    <row r="29" spans="1:17">
      <c r="A29">
        <v>45078092</v>
      </c>
      <c r="B29">
        <v>2022</v>
      </c>
      <c r="C29" t="s">
        <v>17</v>
      </c>
      <c r="D29" t="s">
        <v>37</v>
      </c>
      <c r="E29" t="s">
        <v>56</v>
      </c>
      <c r="F29" t="s">
        <v>99</v>
      </c>
      <c r="G29" t="s">
        <v>246</v>
      </c>
      <c r="H29" t="s">
        <v>297</v>
      </c>
      <c r="I29" t="s">
        <v>368</v>
      </c>
      <c r="K29" t="s">
        <v>466</v>
      </c>
      <c r="L29" t="s">
        <v>469</v>
      </c>
      <c r="M29" t="s">
        <v>472</v>
      </c>
      <c r="N29" t="s">
        <v>487</v>
      </c>
      <c r="O29" t="s">
        <v>795</v>
      </c>
      <c r="P29" s="1">
        <f>HYPERLINK("https://ec.europa.eu/info/funding-tenders/opportunities/portal/screen/opportunities/topic-details/horizon-cl2-2022-democracy-02-01", "HORIZON-CL2-2022-DEMOCRACY-02-01")</f>
        <v>0</v>
      </c>
      <c r="Q29" t="s">
        <v>1003</v>
      </c>
    </row>
    <row r="30" spans="1:17">
      <c r="A30">
        <v>44112266</v>
      </c>
      <c r="B30">
        <v>2022</v>
      </c>
      <c r="C30" t="s">
        <v>17</v>
      </c>
      <c r="D30" t="s">
        <v>37</v>
      </c>
      <c r="E30" t="s">
        <v>57</v>
      </c>
      <c r="F30" t="s">
        <v>96</v>
      </c>
      <c r="G30" t="s">
        <v>246</v>
      </c>
      <c r="H30" t="s">
        <v>296</v>
      </c>
      <c r="I30" t="s">
        <v>335</v>
      </c>
      <c r="K30" t="s">
        <v>466</v>
      </c>
      <c r="L30" t="s">
        <v>469</v>
      </c>
      <c r="M30" t="s">
        <v>472</v>
      </c>
      <c r="N30" t="s">
        <v>488</v>
      </c>
      <c r="O30" t="s">
        <v>796</v>
      </c>
      <c r="P30" s="1">
        <f>HYPERLINK("https://ec.europa.eu/info/funding-tenders/opportunities/portal/screen/opportunities/topic-details/horizon-cl2-2022-heritage-01-01", "HORIZON-CL2-2022-HERITAGE-01-01")</f>
        <v>0</v>
      </c>
      <c r="Q30" t="s">
        <v>1004</v>
      </c>
    </row>
    <row r="31" spans="1:17">
      <c r="A31">
        <v>44112111</v>
      </c>
      <c r="B31">
        <v>2022</v>
      </c>
      <c r="C31" t="s">
        <v>17</v>
      </c>
      <c r="D31" t="s">
        <v>37</v>
      </c>
      <c r="E31" t="s">
        <v>57</v>
      </c>
      <c r="F31" t="s">
        <v>96</v>
      </c>
      <c r="G31" t="s">
        <v>246</v>
      </c>
      <c r="H31" t="s">
        <v>296</v>
      </c>
      <c r="I31" t="s">
        <v>335</v>
      </c>
      <c r="K31" t="s">
        <v>466</v>
      </c>
      <c r="L31" t="s">
        <v>469</v>
      </c>
      <c r="M31" t="s">
        <v>471</v>
      </c>
      <c r="N31" t="s">
        <v>488</v>
      </c>
      <c r="O31" t="s">
        <v>796</v>
      </c>
      <c r="P31" s="1">
        <f>HYPERLINK("https://ec.europa.eu/info/funding-tenders/opportunities/portal/screen/opportunities/topic-details/horizon-cl2-2022-heritage-01-02", "HORIZON-CL2-2022-HERITAGE-01-02")</f>
        <v>0</v>
      </c>
      <c r="Q31" t="s">
        <v>1005</v>
      </c>
    </row>
    <row r="32" spans="1:17">
      <c r="A32">
        <v>44112640</v>
      </c>
      <c r="B32">
        <v>2022</v>
      </c>
      <c r="C32" t="s">
        <v>17</v>
      </c>
      <c r="D32" t="s">
        <v>37</v>
      </c>
      <c r="E32" t="s">
        <v>57</v>
      </c>
      <c r="F32" t="s">
        <v>96</v>
      </c>
      <c r="G32" t="s">
        <v>246</v>
      </c>
      <c r="H32" t="s">
        <v>296</v>
      </c>
      <c r="I32" t="s">
        <v>335</v>
      </c>
      <c r="K32" t="s">
        <v>466</v>
      </c>
      <c r="L32" t="s">
        <v>469</v>
      </c>
      <c r="M32" t="s">
        <v>471</v>
      </c>
      <c r="N32" t="s">
        <v>488</v>
      </c>
      <c r="O32" t="s">
        <v>796</v>
      </c>
      <c r="P32" s="1">
        <f>HYPERLINK("https://ec.europa.eu/info/funding-tenders/opportunities/portal/screen/opportunities/topic-details/horizon-cl2-2022-heritage-01-03", "HORIZON-CL2-2022-HERITAGE-01-03")</f>
        <v>0</v>
      </c>
      <c r="Q32" t="s">
        <v>1006</v>
      </c>
    </row>
    <row r="33" spans="1:17">
      <c r="A33">
        <v>44112300</v>
      </c>
      <c r="B33">
        <v>2022</v>
      </c>
      <c r="C33" t="s">
        <v>17</v>
      </c>
      <c r="D33" t="s">
        <v>37</v>
      </c>
      <c r="E33" t="s">
        <v>57</v>
      </c>
      <c r="F33" t="s">
        <v>96</v>
      </c>
      <c r="G33" t="s">
        <v>246</v>
      </c>
      <c r="H33" t="s">
        <v>296</v>
      </c>
      <c r="I33" t="s">
        <v>335</v>
      </c>
      <c r="K33" t="s">
        <v>466</v>
      </c>
      <c r="L33" t="s">
        <v>469</v>
      </c>
      <c r="M33" t="s">
        <v>471</v>
      </c>
      <c r="N33" t="s">
        <v>488</v>
      </c>
      <c r="O33" t="s">
        <v>796</v>
      </c>
      <c r="P33" s="1">
        <f>HYPERLINK("https://ec.europa.eu/info/funding-tenders/opportunities/portal/screen/opportunities/topic-details/horizon-cl2-2022-heritage-01-04", "HORIZON-CL2-2022-HERITAGE-01-04")</f>
        <v>0</v>
      </c>
      <c r="Q33" t="s">
        <v>1007</v>
      </c>
    </row>
    <row r="34" spans="1:17">
      <c r="A34">
        <v>44112148</v>
      </c>
      <c r="B34">
        <v>2022</v>
      </c>
      <c r="C34" t="s">
        <v>17</v>
      </c>
      <c r="D34" t="s">
        <v>37</v>
      </c>
      <c r="E34" t="s">
        <v>57</v>
      </c>
      <c r="F34" t="s">
        <v>96</v>
      </c>
      <c r="G34" t="s">
        <v>246</v>
      </c>
      <c r="H34" t="s">
        <v>296</v>
      </c>
      <c r="I34" t="s">
        <v>335</v>
      </c>
      <c r="K34" t="s">
        <v>466</v>
      </c>
      <c r="L34" t="s">
        <v>469</v>
      </c>
      <c r="M34" t="s">
        <v>471</v>
      </c>
      <c r="N34" t="s">
        <v>488</v>
      </c>
      <c r="O34" t="s">
        <v>796</v>
      </c>
      <c r="P34" s="1">
        <f>HYPERLINK("https://ec.europa.eu/info/funding-tenders/opportunities/portal/screen/opportunities/topic-details/horizon-cl2-2022-heritage-01-05", "HORIZON-CL2-2022-HERITAGE-01-05")</f>
        <v>0</v>
      </c>
      <c r="Q34" t="s">
        <v>1008</v>
      </c>
    </row>
    <row r="35" spans="1:17">
      <c r="A35">
        <v>44112194</v>
      </c>
      <c r="B35">
        <v>2022</v>
      </c>
      <c r="C35" t="s">
        <v>17</v>
      </c>
      <c r="D35" t="s">
        <v>37</v>
      </c>
      <c r="E35" t="s">
        <v>57</v>
      </c>
      <c r="F35" t="s">
        <v>96</v>
      </c>
      <c r="G35" t="s">
        <v>246</v>
      </c>
      <c r="H35" t="s">
        <v>296</v>
      </c>
      <c r="I35" t="s">
        <v>335</v>
      </c>
      <c r="K35" t="s">
        <v>466</v>
      </c>
      <c r="L35" t="s">
        <v>469</v>
      </c>
      <c r="M35" t="s">
        <v>471</v>
      </c>
      <c r="N35" t="s">
        <v>488</v>
      </c>
      <c r="O35" t="s">
        <v>796</v>
      </c>
      <c r="P35" s="1">
        <f>HYPERLINK("https://ec.europa.eu/info/funding-tenders/opportunities/portal/screen/opportunities/topic-details/horizon-cl2-2022-heritage-01-06", "HORIZON-CL2-2022-HERITAGE-01-06")</f>
        <v>0</v>
      </c>
      <c r="Q35" t="s">
        <v>1009</v>
      </c>
    </row>
    <row r="36" spans="1:17">
      <c r="A36">
        <v>44112567</v>
      </c>
      <c r="B36">
        <v>2022</v>
      </c>
      <c r="C36" t="s">
        <v>17</v>
      </c>
      <c r="D36" t="s">
        <v>37</v>
      </c>
      <c r="E36" t="s">
        <v>57</v>
      </c>
      <c r="F36" t="s">
        <v>96</v>
      </c>
      <c r="G36" t="s">
        <v>246</v>
      </c>
      <c r="H36" t="s">
        <v>296</v>
      </c>
      <c r="I36" t="s">
        <v>335</v>
      </c>
      <c r="K36" t="s">
        <v>466</v>
      </c>
      <c r="L36" t="s">
        <v>469</v>
      </c>
      <c r="M36" t="s">
        <v>471</v>
      </c>
      <c r="N36" t="s">
        <v>488</v>
      </c>
      <c r="O36" t="s">
        <v>796</v>
      </c>
      <c r="P36" s="1">
        <f>HYPERLINK("https://ec.europa.eu/info/funding-tenders/opportunities/portal/screen/opportunities/topic-details/horizon-cl2-2022-heritage-01-07", "HORIZON-CL2-2022-HERITAGE-01-07")</f>
        <v>0</v>
      </c>
      <c r="Q36" t="s">
        <v>1010</v>
      </c>
    </row>
    <row r="37" spans="1:17">
      <c r="A37">
        <v>44112606</v>
      </c>
      <c r="B37">
        <v>2022</v>
      </c>
      <c r="C37" t="s">
        <v>17</v>
      </c>
      <c r="D37" t="s">
        <v>37</v>
      </c>
      <c r="E37" t="s">
        <v>57</v>
      </c>
      <c r="F37" t="s">
        <v>96</v>
      </c>
      <c r="G37" t="s">
        <v>246</v>
      </c>
      <c r="H37" t="s">
        <v>296</v>
      </c>
      <c r="I37" t="s">
        <v>335</v>
      </c>
      <c r="K37" t="s">
        <v>466</v>
      </c>
      <c r="L37" t="s">
        <v>469</v>
      </c>
      <c r="M37" t="s">
        <v>471</v>
      </c>
      <c r="N37" t="s">
        <v>488</v>
      </c>
      <c r="O37" t="s">
        <v>796</v>
      </c>
      <c r="P37" s="1">
        <f>HYPERLINK("https://ec.europa.eu/info/funding-tenders/opportunities/portal/screen/opportunities/topic-details/horizon-cl2-2022-heritage-01-08", "HORIZON-CL2-2022-HERITAGE-01-08")</f>
        <v>0</v>
      </c>
      <c r="Q37" t="s">
        <v>1011</v>
      </c>
    </row>
    <row r="38" spans="1:17">
      <c r="A38">
        <v>44112226</v>
      </c>
      <c r="B38">
        <v>2022</v>
      </c>
      <c r="C38" t="s">
        <v>17</v>
      </c>
      <c r="D38" t="s">
        <v>37</v>
      </c>
      <c r="E38" t="s">
        <v>57</v>
      </c>
      <c r="F38" t="s">
        <v>96</v>
      </c>
      <c r="G38" t="s">
        <v>246</v>
      </c>
      <c r="H38" t="s">
        <v>296</v>
      </c>
      <c r="I38" t="s">
        <v>335</v>
      </c>
      <c r="K38" t="s">
        <v>466</v>
      </c>
      <c r="L38" t="s">
        <v>469</v>
      </c>
      <c r="M38" t="s">
        <v>471</v>
      </c>
      <c r="N38" t="s">
        <v>488</v>
      </c>
      <c r="O38" t="s">
        <v>796</v>
      </c>
      <c r="P38" s="1">
        <f>HYPERLINK("https://ec.europa.eu/info/funding-tenders/opportunities/portal/screen/opportunities/topic-details/horizon-cl2-2022-heritage-01-09", "HORIZON-CL2-2022-HERITAGE-01-09")</f>
        <v>0</v>
      </c>
      <c r="Q38" t="s">
        <v>1012</v>
      </c>
    </row>
    <row r="39" spans="1:17">
      <c r="A39">
        <v>44113195</v>
      </c>
      <c r="B39">
        <v>2022</v>
      </c>
      <c r="C39" t="s">
        <v>17</v>
      </c>
      <c r="D39" t="s">
        <v>37</v>
      </c>
      <c r="E39" t="s">
        <v>58</v>
      </c>
      <c r="F39" t="s">
        <v>96</v>
      </c>
      <c r="G39" t="s">
        <v>246</v>
      </c>
      <c r="H39" t="s">
        <v>296</v>
      </c>
      <c r="I39" t="s">
        <v>335</v>
      </c>
      <c r="K39" t="s">
        <v>466</v>
      </c>
      <c r="L39" t="s">
        <v>469</v>
      </c>
      <c r="M39" t="s">
        <v>471</v>
      </c>
      <c r="N39" t="s">
        <v>488</v>
      </c>
      <c r="O39" t="s">
        <v>796</v>
      </c>
      <c r="P39" s="1">
        <f>HYPERLINK("https://ec.europa.eu/info/funding-tenders/opportunities/portal/screen/opportunities/topic-details/horizon-cl2-2022-heritage-01-10", "HORIZON-CL2-2022-HERITAGE-01-10")</f>
        <v>0</v>
      </c>
      <c r="Q39" t="s">
        <v>1013</v>
      </c>
    </row>
    <row r="40" spans="1:17">
      <c r="A40">
        <v>45078138</v>
      </c>
      <c r="B40">
        <v>2022</v>
      </c>
      <c r="C40" t="s">
        <v>17</v>
      </c>
      <c r="D40" t="s">
        <v>37</v>
      </c>
      <c r="E40" t="s">
        <v>57</v>
      </c>
      <c r="F40" t="s">
        <v>97</v>
      </c>
      <c r="G40" t="s">
        <v>246</v>
      </c>
      <c r="H40" t="s">
        <v>297</v>
      </c>
      <c r="I40" t="s">
        <v>368</v>
      </c>
      <c r="K40" t="s">
        <v>466</v>
      </c>
      <c r="L40" t="s">
        <v>469</v>
      </c>
      <c r="M40" t="s">
        <v>472</v>
      </c>
      <c r="N40" t="s">
        <v>489</v>
      </c>
      <c r="O40" t="s">
        <v>797</v>
      </c>
      <c r="P40" s="1">
        <f>HYPERLINK("https://ec.europa.eu/info/funding-tenders/opportunities/portal/screen/opportunities/topic-details/horizon-cl2-2022-heritage-02-01", "HORIZON-CL2-2022-HERITAGE-02-01")</f>
        <v>0</v>
      </c>
      <c r="Q40" t="s">
        <v>1014</v>
      </c>
    </row>
    <row r="41" spans="1:17">
      <c r="A41">
        <v>44112669</v>
      </c>
      <c r="B41">
        <v>2022</v>
      </c>
      <c r="C41" t="s">
        <v>17</v>
      </c>
      <c r="D41" t="s">
        <v>37</v>
      </c>
      <c r="E41" t="s">
        <v>59</v>
      </c>
      <c r="F41" t="s">
        <v>98</v>
      </c>
      <c r="G41" t="s">
        <v>246</v>
      </c>
      <c r="H41" t="s">
        <v>296</v>
      </c>
      <c r="I41" t="s">
        <v>335</v>
      </c>
      <c r="K41" t="s">
        <v>466</v>
      </c>
      <c r="L41" t="s">
        <v>469</v>
      </c>
      <c r="M41" t="s">
        <v>471</v>
      </c>
      <c r="N41" t="s">
        <v>490</v>
      </c>
      <c r="O41" t="s">
        <v>798</v>
      </c>
      <c r="P41" s="1">
        <f>HYPERLINK("https://ec.europa.eu/info/funding-tenders/opportunities/portal/screen/opportunities/topic-details/horizon-cl2-2022-transformations-01-01", "HORIZON-CL2-2022-TRANSFORMATIONS-01-01")</f>
        <v>0</v>
      </c>
      <c r="Q41" t="s">
        <v>1015</v>
      </c>
    </row>
    <row r="42" spans="1:17">
      <c r="A42">
        <v>44112711</v>
      </c>
      <c r="B42">
        <v>2022</v>
      </c>
      <c r="C42" t="s">
        <v>17</v>
      </c>
      <c r="D42" t="s">
        <v>37</v>
      </c>
      <c r="E42" t="s">
        <v>59</v>
      </c>
      <c r="F42" t="s">
        <v>98</v>
      </c>
      <c r="G42" t="s">
        <v>246</v>
      </c>
      <c r="H42" t="s">
        <v>296</v>
      </c>
      <c r="I42" t="s">
        <v>335</v>
      </c>
      <c r="K42" t="s">
        <v>466</v>
      </c>
      <c r="L42" t="s">
        <v>469</v>
      </c>
      <c r="M42" t="s">
        <v>471</v>
      </c>
      <c r="N42" t="s">
        <v>490</v>
      </c>
      <c r="O42" t="s">
        <v>798</v>
      </c>
      <c r="P42" s="1">
        <f>HYPERLINK("https://ec.europa.eu/info/funding-tenders/opportunities/portal/screen/opportunities/topic-details/horizon-cl2-2022-transformations-01-02", "HORIZON-CL2-2022-TRANSFORMATIONS-01-02")</f>
        <v>0</v>
      </c>
      <c r="Q42" t="s">
        <v>1016</v>
      </c>
    </row>
    <row r="43" spans="1:17">
      <c r="A43">
        <v>44112748</v>
      </c>
      <c r="B43">
        <v>2022</v>
      </c>
      <c r="C43" t="s">
        <v>17</v>
      </c>
      <c r="D43" t="s">
        <v>37</v>
      </c>
      <c r="E43" t="s">
        <v>58</v>
      </c>
      <c r="F43" t="s">
        <v>98</v>
      </c>
      <c r="G43" t="s">
        <v>246</v>
      </c>
      <c r="H43" t="s">
        <v>296</v>
      </c>
      <c r="I43" t="s">
        <v>335</v>
      </c>
      <c r="K43" t="s">
        <v>466</v>
      </c>
      <c r="L43" t="s">
        <v>469</v>
      </c>
      <c r="M43" t="s">
        <v>471</v>
      </c>
      <c r="N43" t="s">
        <v>490</v>
      </c>
      <c r="O43" t="s">
        <v>798</v>
      </c>
      <c r="P43" s="1">
        <f>HYPERLINK("https://ec.europa.eu/info/funding-tenders/opportunities/portal/screen/opportunities/topic-details/horizon-cl2-2022-transformations-01-03", "HORIZON-CL2-2022-TRANSFORMATIONS-01-03")</f>
        <v>0</v>
      </c>
      <c r="Q43" t="s">
        <v>1017</v>
      </c>
    </row>
    <row r="44" spans="1:17">
      <c r="A44">
        <v>44112778</v>
      </c>
      <c r="B44">
        <v>2022</v>
      </c>
      <c r="C44" t="s">
        <v>17</v>
      </c>
      <c r="D44" t="s">
        <v>37</v>
      </c>
      <c r="E44" t="s">
        <v>59</v>
      </c>
      <c r="F44" t="s">
        <v>98</v>
      </c>
      <c r="G44" t="s">
        <v>246</v>
      </c>
      <c r="H44" t="s">
        <v>296</v>
      </c>
      <c r="I44" t="s">
        <v>335</v>
      </c>
      <c r="K44" t="s">
        <v>466</v>
      </c>
      <c r="L44" t="s">
        <v>469</v>
      </c>
      <c r="M44" t="s">
        <v>471</v>
      </c>
      <c r="N44" t="s">
        <v>490</v>
      </c>
      <c r="O44" t="s">
        <v>798</v>
      </c>
      <c r="P44" s="1">
        <f>HYPERLINK("https://ec.europa.eu/info/funding-tenders/opportunities/portal/screen/opportunities/topic-details/horizon-cl2-2022-transformations-01-04", "HORIZON-CL2-2022-TRANSFORMATIONS-01-04")</f>
        <v>0</v>
      </c>
      <c r="Q44" t="s">
        <v>1018</v>
      </c>
    </row>
    <row r="45" spans="1:17">
      <c r="A45">
        <v>44112810</v>
      </c>
      <c r="B45">
        <v>2022</v>
      </c>
      <c r="C45" t="s">
        <v>17</v>
      </c>
      <c r="D45" t="s">
        <v>37</v>
      </c>
      <c r="E45" t="s">
        <v>59</v>
      </c>
      <c r="F45" t="s">
        <v>98</v>
      </c>
      <c r="G45" t="s">
        <v>246</v>
      </c>
      <c r="H45" t="s">
        <v>296</v>
      </c>
      <c r="I45" t="s">
        <v>335</v>
      </c>
      <c r="K45" t="s">
        <v>466</v>
      </c>
      <c r="L45" t="s">
        <v>469</v>
      </c>
      <c r="M45" t="s">
        <v>471</v>
      </c>
      <c r="N45" t="s">
        <v>490</v>
      </c>
      <c r="O45" t="s">
        <v>798</v>
      </c>
      <c r="P45" s="1">
        <f>HYPERLINK("https://ec.europa.eu/info/funding-tenders/opportunities/portal/screen/opportunities/topic-details/horizon-cl2-2022-transformations-01-05", "HORIZON-CL2-2022-TRANSFORMATIONS-01-05")</f>
        <v>0</v>
      </c>
      <c r="Q45" t="s">
        <v>1019</v>
      </c>
    </row>
    <row r="46" spans="1:17">
      <c r="A46">
        <v>44112857</v>
      </c>
      <c r="B46">
        <v>2022</v>
      </c>
      <c r="C46" t="s">
        <v>17</v>
      </c>
      <c r="D46" t="s">
        <v>37</v>
      </c>
      <c r="E46" t="s">
        <v>59</v>
      </c>
      <c r="F46" t="s">
        <v>98</v>
      </c>
      <c r="G46" t="s">
        <v>246</v>
      </c>
      <c r="H46" t="s">
        <v>296</v>
      </c>
      <c r="I46" t="s">
        <v>335</v>
      </c>
      <c r="K46" t="s">
        <v>466</v>
      </c>
      <c r="L46" t="s">
        <v>469</v>
      </c>
      <c r="M46" t="s">
        <v>471</v>
      </c>
      <c r="N46" t="s">
        <v>490</v>
      </c>
      <c r="O46" t="s">
        <v>798</v>
      </c>
      <c r="P46" s="1">
        <f>HYPERLINK("https://ec.europa.eu/info/funding-tenders/opportunities/portal/screen/opportunities/topic-details/horizon-cl2-2022-transformations-01-06", "HORIZON-CL2-2022-TRANSFORMATIONS-01-06")</f>
        <v>0</v>
      </c>
      <c r="Q46" t="s">
        <v>1020</v>
      </c>
    </row>
    <row r="47" spans="1:17">
      <c r="A47">
        <v>44112894</v>
      </c>
      <c r="B47">
        <v>2022</v>
      </c>
      <c r="C47" t="s">
        <v>17</v>
      </c>
      <c r="D47" t="s">
        <v>37</v>
      </c>
      <c r="E47" t="s">
        <v>59</v>
      </c>
      <c r="F47" t="s">
        <v>98</v>
      </c>
      <c r="G47" t="s">
        <v>246</v>
      </c>
      <c r="H47" t="s">
        <v>296</v>
      </c>
      <c r="I47" t="s">
        <v>335</v>
      </c>
      <c r="K47" t="s">
        <v>466</v>
      </c>
      <c r="L47" t="s">
        <v>469</v>
      </c>
      <c r="M47" t="s">
        <v>471</v>
      </c>
      <c r="N47" t="s">
        <v>490</v>
      </c>
      <c r="O47" t="s">
        <v>798</v>
      </c>
      <c r="P47" s="1">
        <f>HYPERLINK("https://ec.europa.eu/info/funding-tenders/opportunities/portal/screen/opportunities/topic-details/horizon-cl2-2022-transformations-01-07", "HORIZON-CL2-2022-TRANSFORMATIONS-01-07")</f>
        <v>0</v>
      </c>
      <c r="Q47" t="s">
        <v>1021</v>
      </c>
    </row>
    <row r="48" spans="1:17">
      <c r="A48">
        <v>44112951</v>
      </c>
      <c r="B48">
        <v>2022</v>
      </c>
      <c r="C48" t="s">
        <v>17</v>
      </c>
      <c r="D48" t="s">
        <v>37</v>
      </c>
      <c r="E48" t="s">
        <v>59</v>
      </c>
      <c r="F48" t="s">
        <v>98</v>
      </c>
      <c r="G48" t="s">
        <v>246</v>
      </c>
      <c r="H48" t="s">
        <v>296</v>
      </c>
      <c r="I48" t="s">
        <v>335</v>
      </c>
      <c r="K48" t="s">
        <v>466</v>
      </c>
      <c r="L48" t="s">
        <v>469</v>
      </c>
      <c r="M48" t="s">
        <v>471</v>
      </c>
      <c r="N48" t="s">
        <v>490</v>
      </c>
      <c r="O48" t="s">
        <v>798</v>
      </c>
      <c r="P48" s="1">
        <f>HYPERLINK("https://ec.europa.eu/info/funding-tenders/opportunities/portal/screen/opportunities/topic-details/horizon-cl2-2022-transformations-01-08", "HORIZON-CL2-2022-TRANSFORMATIONS-01-08")</f>
        <v>0</v>
      </c>
      <c r="Q48" t="s">
        <v>1022</v>
      </c>
    </row>
    <row r="49" spans="1:17">
      <c r="A49">
        <v>44112978</v>
      </c>
      <c r="B49">
        <v>2022</v>
      </c>
      <c r="C49" t="s">
        <v>17</v>
      </c>
      <c r="D49" t="s">
        <v>37</v>
      </c>
      <c r="E49" t="s">
        <v>59</v>
      </c>
      <c r="F49" t="s">
        <v>98</v>
      </c>
      <c r="G49" t="s">
        <v>246</v>
      </c>
      <c r="H49" t="s">
        <v>296</v>
      </c>
      <c r="I49" t="s">
        <v>335</v>
      </c>
      <c r="K49" t="s">
        <v>466</v>
      </c>
      <c r="L49" t="s">
        <v>469</v>
      </c>
      <c r="M49" t="s">
        <v>471</v>
      </c>
      <c r="N49" t="s">
        <v>490</v>
      </c>
      <c r="O49" t="s">
        <v>798</v>
      </c>
      <c r="P49" s="1">
        <f>HYPERLINK("https://ec.europa.eu/info/funding-tenders/opportunities/portal/screen/opportunities/topic-details/horizon-cl2-2022-transformations-01-09", "HORIZON-CL2-2022-TRANSFORMATIONS-01-09")</f>
        <v>0</v>
      </c>
      <c r="Q49" t="s">
        <v>1023</v>
      </c>
    </row>
    <row r="50" spans="1:17">
      <c r="A50">
        <v>44113009</v>
      </c>
      <c r="B50">
        <v>2022</v>
      </c>
      <c r="C50" t="s">
        <v>17</v>
      </c>
      <c r="D50" t="s">
        <v>37</v>
      </c>
      <c r="E50" t="s">
        <v>59</v>
      </c>
      <c r="F50" t="s">
        <v>98</v>
      </c>
      <c r="G50" t="s">
        <v>246</v>
      </c>
      <c r="H50" t="s">
        <v>296</v>
      </c>
      <c r="I50" t="s">
        <v>335</v>
      </c>
      <c r="K50" t="s">
        <v>466</v>
      </c>
      <c r="L50" t="s">
        <v>469</v>
      </c>
      <c r="M50" t="s">
        <v>471</v>
      </c>
      <c r="N50" t="s">
        <v>490</v>
      </c>
      <c r="O50" t="s">
        <v>798</v>
      </c>
      <c r="P50" s="1">
        <f>HYPERLINK("https://ec.europa.eu/info/funding-tenders/opportunities/portal/screen/opportunities/topic-details/horizon-cl2-2022-transformations-01-10", "HORIZON-CL2-2022-TRANSFORMATIONS-01-10")</f>
        <v>0</v>
      </c>
      <c r="Q50" t="s">
        <v>1024</v>
      </c>
    </row>
    <row r="51" spans="1:17">
      <c r="A51">
        <v>45078189</v>
      </c>
      <c r="B51">
        <v>2022</v>
      </c>
      <c r="C51" t="s">
        <v>17</v>
      </c>
      <c r="D51" t="s">
        <v>37</v>
      </c>
      <c r="E51" t="s">
        <v>59</v>
      </c>
      <c r="F51" t="s">
        <v>100</v>
      </c>
      <c r="G51" t="s">
        <v>246</v>
      </c>
      <c r="H51" t="s">
        <v>297</v>
      </c>
      <c r="I51" t="s">
        <v>368</v>
      </c>
      <c r="K51" t="s">
        <v>466</v>
      </c>
      <c r="L51" t="s">
        <v>469</v>
      </c>
      <c r="M51" t="s">
        <v>472</v>
      </c>
      <c r="N51" t="s">
        <v>491</v>
      </c>
      <c r="O51" t="s">
        <v>799</v>
      </c>
      <c r="P51" s="1">
        <f>HYPERLINK("https://ec.europa.eu/info/funding-tenders/opportunities/portal/screen/opportunities/topic-details/horizon-cl2-2022-transformations-02-01", "HORIZON-CL2-2022-TRANSFORMATIONS-02-01")</f>
        <v>0</v>
      </c>
      <c r="Q51" t="s">
        <v>1025</v>
      </c>
    </row>
    <row r="52" spans="1:17">
      <c r="A52">
        <v>45639436</v>
      </c>
      <c r="B52">
        <v>2023</v>
      </c>
      <c r="C52" t="s">
        <v>17</v>
      </c>
      <c r="D52" t="s">
        <v>37</v>
      </c>
      <c r="E52" t="s">
        <v>56</v>
      </c>
      <c r="F52" t="s">
        <v>95</v>
      </c>
      <c r="G52" t="s">
        <v>248</v>
      </c>
      <c r="H52" t="s">
        <v>298</v>
      </c>
      <c r="I52" t="s">
        <v>369</v>
      </c>
      <c r="K52" t="s">
        <v>466</v>
      </c>
      <c r="L52" t="s">
        <v>469</v>
      </c>
      <c r="M52" t="s">
        <v>471</v>
      </c>
      <c r="N52" t="s">
        <v>492</v>
      </c>
      <c r="O52" t="s">
        <v>800</v>
      </c>
      <c r="P52" s="1">
        <f>HYPERLINK("https://ec.europa.eu/info/funding-tenders/opportunities/portal/screen/opportunities/topic-details/horizon-cl2-2023-democracy-01-01", "HORIZON-CL2-2023-DEMOCRACY-01-01")</f>
        <v>0</v>
      </c>
      <c r="Q52" t="s">
        <v>1026</v>
      </c>
    </row>
    <row r="53" spans="1:17">
      <c r="A53">
        <v>45639669</v>
      </c>
      <c r="B53">
        <v>2023</v>
      </c>
      <c r="C53" t="s">
        <v>17</v>
      </c>
      <c r="D53" t="s">
        <v>37</v>
      </c>
      <c r="E53" t="s">
        <v>56</v>
      </c>
      <c r="F53" t="s">
        <v>95</v>
      </c>
      <c r="G53" t="s">
        <v>248</v>
      </c>
      <c r="H53" t="s">
        <v>298</v>
      </c>
      <c r="I53" t="s">
        <v>369</v>
      </c>
      <c r="K53" t="s">
        <v>466</v>
      </c>
      <c r="L53" t="s">
        <v>469</v>
      </c>
      <c r="M53" t="s">
        <v>471</v>
      </c>
      <c r="N53" t="s">
        <v>492</v>
      </c>
      <c r="O53" t="s">
        <v>800</v>
      </c>
      <c r="P53" s="1">
        <f>HYPERLINK("https://ec.europa.eu/info/funding-tenders/opportunities/portal/screen/opportunities/topic-details/horizon-cl2-2023-democracy-01-02", "HORIZON-CL2-2023-DEMOCRACY-01-02")</f>
        <v>0</v>
      </c>
      <c r="Q53" t="s">
        <v>1027</v>
      </c>
    </row>
    <row r="54" spans="1:17">
      <c r="A54">
        <v>45639696</v>
      </c>
      <c r="B54">
        <v>2023</v>
      </c>
      <c r="C54" t="s">
        <v>17</v>
      </c>
      <c r="D54" t="s">
        <v>37</v>
      </c>
      <c r="E54" t="s">
        <v>56</v>
      </c>
      <c r="F54" t="s">
        <v>95</v>
      </c>
      <c r="G54" t="s">
        <v>248</v>
      </c>
      <c r="H54" t="s">
        <v>298</v>
      </c>
      <c r="I54" t="s">
        <v>369</v>
      </c>
      <c r="K54" t="s">
        <v>466</v>
      </c>
      <c r="L54" t="s">
        <v>469</v>
      </c>
      <c r="M54" t="s">
        <v>471</v>
      </c>
      <c r="N54" t="s">
        <v>492</v>
      </c>
      <c r="O54" t="s">
        <v>800</v>
      </c>
      <c r="P54" s="1">
        <f>HYPERLINK("https://ec.europa.eu/info/funding-tenders/opportunities/portal/screen/opportunities/topic-details/horizon-cl2-2023-democracy-01-03", "HORIZON-CL2-2023-DEMOCRACY-01-03")</f>
        <v>0</v>
      </c>
      <c r="Q54" t="s">
        <v>1028</v>
      </c>
    </row>
    <row r="55" spans="1:17">
      <c r="A55">
        <v>45639722</v>
      </c>
      <c r="B55">
        <v>2023</v>
      </c>
      <c r="C55" t="s">
        <v>17</v>
      </c>
      <c r="D55" t="s">
        <v>37</v>
      </c>
      <c r="E55" t="s">
        <v>56</v>
      </c>
      <c r="F55" t="s">
        <v>95</v>
      </c>
      <c r="G55" t="s">
        <v>248</v>
      </c>
      <c r="H55" t="s">
        <v>298</v>
      </c>
      <c r="I55" t="s">
        <v>369</v>
      </c>
      <c r="K55" t="s">
        <v>466</v>
      </c>
      <c r="L55" t="s">
        <v>469</v>
      </c>
      <c r="M55" t="s">
        <v>471</v>
      </c>
      <c r="N55" t="s">
        <v>492</v>
      </c>
      <c r="O55" t="s">
        <v>800</v>
      </c>
      <c r="P55" s="1">
        <f>HYPERLINK("https://ec.europa.eu/info/funding-tenders/opportunities/portal/screen/opportunities/topic-details/horizon-cl2-2023-democracy-01-04", "HORIZON-CL2-2023-DEMOCRACY-01-04")</f>
        <v>0</v>
      </c>
      <c r="Q55" t="s">
        <v>1029</v>
      </c>
    </row>
    <row r="56" spans="1:17">
      <c r="A56">
        <v>45639751</v>
      </c>
      <c r="B56">
        <v>2023</v>
      </c>
      <c r="C56" t="s">
        <v>17</v>
      </c>
      <c r="D56" t="s">
        <v>37</v>
      </c>
      <c r="E56" t="s">
        <v>56</v>
      </c>
      <c r="F56" t="s">
        <v>95</v>
      </c>
      <c r="G56" t="s">
        <v>248</v>
      </c>
      <c r="H56" t="s">
        <v>298</v>
      </c>
      <c r="I56" t="s">
        <v>369</v>
      </c>
      <c r="K56" t="s">
        <v>466</v>
      </c>
      <c r="L56" t="s">
        <v>469</v>
      </c>
      <c r="M56" t="s">
        <v>471</v>
      </c>
      <c r="N56" t="s">
        <v>492</v>
      </c>
      <c r="O56" t="s">
        <v>800</v>
      </c>
      <c r="P56" s="1">
        <f>HYPERLINK("https://ec.europa.eu/info/funding-tenders/opportunities/portal/screen/opportunities/topic-details/horizon-cl2-2023-democracy-01-05", "HORIZON-CL2-2023-DEMOCRACY-01-05")</f>
        <v>0</v>
      </c>
      <c r="Q56" t="s">
        <v>1030</v>
      </c>
    </row>
    <row r="57" spans="1:17">
      <c r="A57">
        <v>45639782</v>
      </c>
      <c r="B57">
        <v>2023</v>
      </c>
      <c r="C57" t="s">
        <v>17</v>
      </c>
      <c r="D57" t="s">
        <v>37</v>
      </c>
      <c r="E57" t="s">
        <v>56</v>
      </c>
      <c r="F57" t="s">
        <v>95</v>
      </c>
      <c r="G57" t="s">
        <v>248</v>
      </c>
      <c r="H57" t="s">
        <v>298</v>
      </c>
      <c r="I57" t="s">
        <v>369</v>
      </c>
      <c r="K57" t="s">
        <v>466</v>
      </c>
      <c r="L57" t="s">
        <v>469</v>
      </c>
      <c r="M57" t="s">
        <v>471</v>
      </c>
      <c r="N57" t="s">
        <v>492</v>
      </c>
      <c r="O57" t="s">
        <v>800</v>
      </c>
      <c r="P57" s="1">
        <f>HYPERLINK("https://ec.europa.eu/info/funding-tenders/opportunities/portal/screen/opportunities/topic-details/horizon-cl2-2023-democracy-01-06", "HORIZON-CL2-2023-DEMOCRACY-01-06")</f>
        <v>0</v>
      </c>
      <c r="Q57" t="s">
        <v>1031</v>
      </c>
    </row>
    <row r="58" spans="1:17">
      <c r="A58">
        <v>45639811</v>
      </c>
      <c r="B58">
        <v>2023</v>
      </c>
      <c r="C58" t="s">
        <v>17</v>
      </c>
      <c r="D58" t="s">
        <v>37</v>
      </c>
      <c r="E58" t="s">
        <v>56</v>
      </c>
      <c r="F58" t="s">
        <v>95</v>
      </c>
      <c r="G58" t="s">
        <v>248</v>
      </c>
      <c r="H58" t="s">
        <v>298</v>
      </c>
      <c r="I58" t="s">
        <v>369</v>
      </c>
      <c r="K58" t="s">
        <v>466</v>
      </c>
      <c r="L58" t="s">
        <v>469</v>
      </c>
      <c r="M58" t="s">
        <v>471</v>
      </c>
      <c r="N58" t="s">
        <v>492</v>
      </c>
      <c r="O58" t="s">
        <v>800</v>
      </c>
      <c r="P58" s="1">
        <f>HYPERLINK("https://ec.europa.eu/info/funding-tenders/opportunities/portal/screen/opportunities/topic-details/horizon-cl2-2023-democracy-01-07", "HORIZON-CL2-2023-DEMOCRACY-01-07")</f>
        <v>0</v>
      </c>
      <c r="Q58" t="s">
        <v>1032</v>
      </c>
    </row>
    <row r="59" spans="1:17">
      <c r="A59">
        <v>45639378</v>
      </c>
      <c r="B59">
        <v>2023</v>
      </c>
      <c r="C59" t="s">
        <v>17</v>
      </c>
      <c r="D59" t="s">
        <v>37</v>
      </c>
      <c r="E59" t="s">
        <v>56</v>
      </c>
      <c r="F59" t="s">
        <v>95</v>
      </c>
      <c r="G59" t="s">
        <v>248</v>
      </c>
      <c r="H59" t="s">
        <v>298</v>
      </c>
      <c r="I59" t="s">
        <v>369</v>
      </c>
      <c r="K59" t="s">
        <v>466</v>
      </c>
      <c r="L59" t="s">
        <v>469</v>
      </c>
      <c r="M59" t="s">
        <v>471</v>
      </c>
      <c r="N59" t="s">
        <v>492</v>
      </c>
      <c r="O59" t="s">
        <v>800</v>
      </c>
      <c r="P59" s="1">
        <f>HYPERLINK("https://ec.europa.eu/info/funding-tenders/opportunities/portal/screen/opportunities/topic-details/horizon-cl2-2023-democracy-01-08", "HORIZON-CL2-2023-DEMOCRACY-01-08")</f>
        <v>0</v>
      </c>
      <c r="Q59" t="s">
        <v>1033</v>
      </c>
    </row>
    <row r="60" spans="1:17">
      <c r="A60">
        <v>45639463</v>
      </c>
      <c r="B60">
        <v>2023</v>
      </c>
      <c r="C60" t="s">
        <v>17</v>
      </c>
      <c r="D60" t="s">
        <v>37</v>
      </c>
      <c r="E60" t="s">
        <v>57</v>
      </c>
      <c r="F60" t="s">
        <v>96</v>
      </c>
      <c r="G60" t="s">
        <v>248</v>
      </c>
      <c r="H60" t="s">
        <v>298</v>
      </c>
      <c r="I60" t="s">
        <v>369</v>
      </c>
      <c r="K60" t="s">
        <v>466</v>
      </c>
      <c r="L60" t="s">
        <v>469</v>
      </c>
      <c r="M60" t="s">
        <v>471</v>
      </c>
      <c r="N60" t="s">
        <v>493</v>
      </c>
      <c r="O60" t="s">
        <v>801</v>
      </c>
      <c r="P60" s="1">
        <f>HYPERLINK("https://ec.europa.eu/info/funding-tenders/opportunities/portal/screen/opportunities/topic-details/horizon-cl2-2023-heritage-01-01", "HORIZON-CL2-2023-HERITAGE-01-01")</f>
        <v>0</v>
      </c>
      <c r="Q60" t="s">
        <v>1034</v>
      </c>
    </row>
    <row r="61" spans="1:17">
      <c r="A61">
        <v>45639493</v>
      </c>
      <c r="B61">
        <v>2023</v>
      </c>
      <c r="C61" t="s">
        <v>17</v>
      </c>
      <c r="D61" t="s">
        <v>37</v>
      </c>
      <c r="E61" t="s">
        <v>57</v>
      </c>
      <c r="F61" t="s">
        <v>96</v>
      </c>
      <c r="G61" t="s">
        <v>248</v>
      </c>
      <c r="H61" t="s">
        <v>298</v>
      </c>
      <c r="I61" t="s">
        <v>369</v>
      </c>
      <c r="K61" t="s">
        <v>466</v>
      </c>
      <c r="L61" t="s">
        <v>469</v>
      </c>
      <c r="M61" t="s">
        <v>471</v>
      </c>
      <c r="N61" t="s">
        <v>493</v>
      </c>
      <c r="O61" t="s">
        <v>801</v>
      </c>
      <c r="P61" s="1">
        <f>HYPERLINK("https://ec.europa.eu/info/funding-tenders/opportunities/portal/screen/opportunities/topic-details/horizon-cl2-2023-heritage-01-02", "HORIZON-CL2-2023-HERITAGE-01-02")</f>
        <v>0</v>
      </c>
      <c r="Q61" t="s">
        <v>1035</v>
      </c>
    </row>
    <row r="62" spans="1:17">
      <c r="A62">
        <v>45639523</v>
      </c>
      <c r="B62">
        <v>2023</v>
      </c>
      <c r="C62" t="s">
        <v>17</v>
      </c>
      <c r="D62" t="s">
        <v>37</v>
      </c>
      <c r="E62" t="s">
        <v>57</v>
      </c>
      <c r="F62" t="s">
        <v>96</v>
      </c>
      <c r="G62" t="s">
        <v>248</v>
      </c>
      <c r="H62" t="s">
        <v>298</v>
      </c>
      <c r="I62" t="s">
        <v>369</v>
      </c>
      <c r="K62" t="s">
        <v>466</v>
      </c>
      <c r="L62" t="s">
        <v>469</v>
      </c>
      <c r="M62" t="s">
        <v>471</v>
      </c>
      <c r="N62" t="s">
        <v>493</v>
      </c>
      <c r="O62" t="s">
        <v>801</v>
      </c>
      <c r="P62" s="1">
        <f>HYPERLINK("https://ec.europa.eu/info/funding-tenders/opportunities/portal/screen/opportunities/topic-details/horizon-cl2-2023-heritage-01-03", "HORIZON-CL2-2023-HERITAGE-01-03")</f>
        <v>0</v>
      </c>
      <c r="Q62" t="s">
        <v>1036</v>
      </c>
    </row>
    <row r="63" spans="1:17">
      <c r="A63">
        <v>45639551</v>
      </c>
      <c r="B63">
        <v>2023</v>
      </c>
      <c r="C63" t="s">
        <v>17</v>
      </c>
      <c r="D63" t="s">
        <v>37</v>
      </c>
      <c r="E63" t="s">
        <v>57</v>
      </c>
      <c r="F63" t="s">
        <v>96</v>
      </c>
      <c r="G63" t="s">
        <v>248</v>
      </c>
      <c r="H63" t="s">
        <v>298</v>
      </c>
      <c r="I63" t="s">
        <v>369</v>
      </c>
      <c r="K63" t="s">
        <v>466</v>
      </c>
      <c r="L63" t="s">
        <v>469</v>
      </c>
      <c r="M63" t="s">
        <v>471</v>
      </c>
      <c r="N63" t="s">
        <v>493</v>
      </c>
      <c r="O63" t="s">
        <v>801</v>
      </c>
      <c r="P63" s="1">
        <f>HYPERLINK("https://ec.europa.eu/info/funding-tenders/opportunities/portal/screen/opportunities/topic-details/horizon-cl2-2023-heritage-01-04", "HORIZON-CL2-2023-HERITAGE-01-04")</f>
        <v>0</v>
      </c>
      <c r="Q63" t="s">
        <v>1037</v>
      </c>
    </row>
    <row r="64" spans="1:17">
      <c r="A64">
        <v>45639579</v>
      </c>
      <c r="B64">
        <v>2023</v>
      </c>
      <c r="C64" t="s">
        <v>17</v>
      </c>
      <c r="D64" t="s">
        <v>37</v>
      </c>
      <c r="E64" t="s">
        <v>57</v>
      </c>
      <c r="F64" t="s">
        <v>96</v>
      </c>
      <c r="G64" t="s">
        <v>248</v>
      </c>
      <c r="H64" t="s">
        <v>298</v>
      </c>
      <c r="I64" t="s">
        <v>369</v>
      </c>
      <c r="K64" t="s">
        <v>466</v>
      </c>
      <c r="L64" t="s">
        <v>469</v>
      </c>
      <c r="M64" t="s">
        <v>471</v>
      </c>
      <c r="N64" t="s">
        <v>493</v>
      </c>
      <c r="O64" t="s">
        <v>801</v>
      </c>
      <c r="P64" s="1">
        <f>HYPERLINK("https://ec.europa.eu/info/funding-tenders/opportunities/portal/screen/opportunities/topic-details/horizon-cl2-2023-heritage-01-05", "HORIZON-CL2-2023-HERITAGE-01-05")</f>
        <v>0</v>
      </c>
      <c r="Q64" t="s">
        <v>1038</v>
      </c>
    </row>
    <row r="65" spans="1:17">
      <c r="A65">
        <v>45639613</v>
      </c>
      <c r="B65">
        <v>2023</v>
      </c>
      <c r="C65" t="s">
        <v>17</v>
      </c>
      <c r="D65" t="s">
        <v>37</v>
      </c>
      <c r="E65" t="s">
        <v>57</v>
      </c>
      <c r="F65" t="s">
        <v>96</v>
      </c>
      <c r="G65" t="s">
        <v>248</v>
      </c>
      <c r="H65" t="s">
        <v>298</v>
      </c>
      <c r="I65" t="s">
        <v>369</v>
      </c>
      <c r="K65" t="s">
        <v>466</v>
      </c>
      <c r="L65" t="s">
        <v>469</v>
      </c>
      <c r="M65" t="s">
        <v>471</v>
      </c>
      <c r="N65" t="s">
        <v>493</v>
      </c>
      <c r="O65" t="s">
        <v>801</v>
      </c>
      <c r="P65" s="1">
        <f>HYPERLINK("https://ec.europa.eu/info/funding-tenders/opportunities/portal/screen/opportunities/topic-details/horizon-cl2-2023-heritage-01-06", "HORIZON-CL2-2023-HERITAGE-01-06")</f>
        <v>0</v>
      </c>
      <c r="Q65" t="s">
        <v>1039</v>
      </c>
    </row>
    <row r="66" spans="1:17">
      <c r="A66">
        <v>45639642</v>
      </c>
      <c r="B66">
        <v>2023</v>
      </c>
      <c r="C66" t="s">
        <v>17</v>
      </c>
      <c r="D66" t="s">
        <v>37</v>
      </c>
      <c r="E66" t="s">
        <v>57</v>
      </c>
      <c r="F66" t="s">
        <v>96</v>
      </c>
      <c r="G66" t="s">
        <v>248</v>
      </c>
      <c r="H66" t="s">
        <v>298</v>
      </c>
      <c r="I66" t="s">
        <v>369</v>
      </c>
      <c r="K66" t="s">
        <v>466</v>
      </c>
      <c r="L66" t="s">
        <v>469</v>
      </c>
      <c r="M66" t="s">
        <v>471</v>
      </c>
      <c r="N66" t="s">
        <v>493</v>
      </c>
      <c r="O66" t="s">
        <v>801</v>
      </c>
      <c r="P66" s="1">
        <f>HYPERLINK("https://ec.europa.eu/info/funding-tenders/opportunities/portal/screen/opportunities/topic-details/horizon-cl2-2023-heritage-01-07", "HORIZON-CL2-2023-HERITAGE-01-07")</f>
        <v>0</v>
      </c>
      <c r="Q66" t="s">
        <v>1040</v>
      </c>
    </row>
    <row r="67" spans="1:17">
      <c r="A67">
        <v>45639878</v>
      </c>
      <c r="B67">
        <v>2023</v>
      </c>
      <c r="C67" t="s">
        <v>17</v>
      </c>
      <c r="D67" t="s">
        <v>37</v>
      </c>
      <c r="E67" t="s">
        <v>57</v>
      </c>
      <c r="F67" t="s">
        <v>96</v>
      </c>
      <c r="G67" t="s">
        <v>248</v>
      </c>
      <c r="H67" t="s">
        <v>298</v>
      </c>
      <c r="I67" t="s">
        <v>369</v>
      </c>
      <c r="K67" t="s">
        <v>466</v>
      </c>
      <c r="L67" t="s">
        <v>469</v>
      </c>
      <c r="M67" t="s">
        <v>472</v>
      </c>
      <c r="N67" t="s">
        <v>493</v>
      </c>
      <c r="O67" t="s">
        <v>801</v>
      </c>
      <c r="P67" s="1">
        <f>HYPERLINK("https://ec.europa.eu/info/funding-tenders/opportunities/portal/screen/opportunities/topic-details/horizon-cl2-2023-heritage-01-08", "HORIZON-CL2-2023-HERITAGE-01-08")</f>
        <v>0</v>
      </c>
      <c r="Q67" t="s">
        <v>1041</v>
      </c>
    </row>
    <row r="68" spans="1:17">
      <c r="A68">
        <v>45639405</v>
      </c>
      <c r="B68">
        <v>2023</v>
      </c>
      <c r="C68" t="s">
        <v>17</v>
      </c>
      <c r="D68" t="s">
        <v>37</v>
      </c>
      <c r="E68" t="s">
        <v>57</v>
      </c>
      <c r="F68" t="s">
        <v>101</v>
      </c>
      <c r="G68" t="s">
        <v>248</v>
      </c>
      <c r="H68" t="s">
        <v>299</v>
      </c>
      <c r="I68" t="s">
        <v>370</v>
      </c>
      <c r="K68" t="s">
        <v>466</v>
      </c>
      <c r="L68" t="s">
        <v>469</v>
      </c>
      <c r="M68" t="s">
        <v>473</v>
      </c>
      <c r="N68" t="s">
        <v>494</v>
      </c>
      <c r="O68" t="s">
        <v>802</v>
      </c>
      <c r="P68" s="1">
        <f>HYPERLINK("https://ec.europa.eu/info/funding-tenders/opportunities/portal/screen/opportunities/topic-details/horizon-cl2-2023-heritage-eccch-01-01", "HORIZON-CL2-2023-HERITAGE-ECCCH-01-01")</f>
        <v>0</v>
      </c>
      <c r="Q68" t="s">
        <v>1042</v>
      </c>
    </row>
    <row r="69" spans="1:17">
      <c r="A69">
        <v>45702925</v>
      </c>
      <c r="B69">
        <v>2023</v>
      </c>
      <c r="C69" t="s">
        <v>17</v>
      </c>
      <c r="D69" t="s">
        <v>37</v>
      </c>
      <c r="E69" t="s">
        <v>57</v>
      </c>
      <c r="F69" t="s">
        <v>101</v>
      </c>
      <c r="G69" t="s">
        <v>248</v>
      </c>
      <c r="H69" t="s">
        <v>299</v>
      </c>
      <c r="I69" t="s">
        <v>370</v>
      </c>
      <c r="K69" t="s">
        <v>466</v>
      </c>
      <c r="L69" t="s">
        <v>469</v>
      </c>
      <c r="M69" t="s">
        <v>471</v>
      </c>
      <c r="N69" t="s">
        <v>494</v>
      </c>
      <c r="O69" t="s">
        <v>802</v>
      </c>
      <c r="P69" s="1">
        <f>HYPERLINK("https://ec.europa.eu/info/funding-tenders/opportunities/portal/screen/opportunities/topic-details/horizon-cl2-2023-heritage-eccch-01-02", "HORIZON-CL2-2023-HERITAGE-ECCCH-01-02")</f>
        <v>0</v>
      </c>
      <c r="Q69" t="s">
        <v>1043</v>
      </c>
    </row>
    <row r="70" spans="1:17">
      <c r="A70">
        <v>45639995</v>
      </c>
      <c r="B70">
        <v>2023</v>
      </c>
      <c r="C70" t="s">
        <v>17</v>
      </c>
      <c r="D70" t="s">
        <v>37</v>
      </c>
      <c r="E70" t="s">
        <v>59</v>
      </c>
      <c r="F70" t="s">
        <v>98</v>
      </c>
      <c r="G70" t="s">
        <v>248</v>
      </c>
      <c r="H70" t="s">
        <v>298</v>
      </c>
      <c r="I70" t="s">
        <v>369</v>
      </c>
      <c r="K70" t="s">
        <v>466</v>
      </c>
      <c r="L70" t="s">
        <v>469</v>
      </c>
      <c r="M70" t="s">
        <v>471</v>
      </c>
      <c r="N70" t="s">
        <v>495</v>
      </c>
      <c r="O70" t="s">
        <v>793</v>
      </c>
      <c r="P70" s="1">
        <f>HYPERLINK("https://ec.europa.eu/info/funding-tenders/opportunities/portal/screen/opportunities/topic-details/horizon-cl2-2023-transformations-01-01", "HORIZON-CL2-2023-TRANSFORMATIONS-01-01")</f>
        <v>0</v>
      </c>
      <c r="Q70" t="s">
        <v>1044</v>
      </c>
    </row>
    <row r="71" spans="1:17">
      <c r="A71">
        <v>45640023</v>
      </c>
      <c r="B71">
        <v>2023</v>
      </c>
      <c r="C71" t="s">
        <v>17</v>
      </c>
      <c r="D71" t="s">
        <v>37</v>
      </c>
      <c r="E71" t="s">
        <v>59</v>
      </c>
      <c r="F71" t="s">
        <v>98</v>
      </c>
      <c r="G71" t="s">
        <v>248</v>
      </c>
      <c r="H71" t="s">
        <v>298</v>
      </c>
      <c r="I71" t="s">
        <v>369</v>
      </c>
      <c r="K71" t="s">
        <v>466</v>
      </c>
      <c r="L71" t="s">
        <v>469</v>
      </c>
      <c r="M71" t="s">
        <v>472</v>
      </c>
      <c r="N71" t="s">
        <v>495</v>
      </c>
      <c r="O71" t="s">
        <v>793</v>
      </c>
      <c r="P71" s="1">
        <f>HYPERLINK("https://ec.europa.eu/info/funding-tenders/opportunities/portal/screen/opportunities/topic-details/horizon-cl2-2023-transformations-01-02", "HORIZON-CL2-2023-TRANSFORMATIONS-01-02")</f>
        <v>0</v>
      </c>
      <c r="Q71" t="s">
        <v>1045</v>
      </c>
    </row>
    <row r="72" spans="1:17">
      <c r="A72">
        <v>45640055</v>
      </c>
      <c r="B72">
        <v>2023</v>
      </c>
      <c r="C72" t="s">
        <v>17</v>
      </c>
      <c r="D72" t="s">
        <v>37</v>
      </c>
      <c r="E72" t="s">
        <v>59</v>
      </c>
      <c r="F72" t="s">
        <v>98</v>
      </c>
      <c r="G72" t="s">
        <v>248</v>
      </c>
      <c r="H72" t="s">
        <v>298</v>
      </c>
      <c r="I72" t="s">
        <v>369</v>
      </c>
      <c r="K72" t="s">
        <v>466</v>
      </c>
      <c r="L72" t="s">
        <v>469</v>
      </c>
      <c r="M72" t="s">
        <v>471</v>
      </c>
      <c r="N72" t="s">
        <v>495</v>
      </c>
      <c r="O72" t="s">
        <v>793</v>
      </c>
      <c r="P72" s="1">
        <f>HYPERLINK("https://ec.europa.eu/info/funding-tenders/opportunities/portal/screen/opportunities/topic-details/horizon-cl2-2023-transformations-01-03", "HORIZON-CL2-2023-TRANSFORMATIONS-01-03")</f>
        <v>0</v>
      </c>
      <c r="Q72" t="s">
        <v>1046</v>
      </c>
    </row>
    <row r="73" spans="1:17">
      <c r="A73">
        <v>45639956</v>
      </c>
      <c r="B73">
        <v>2023</v>
      </c>
      <c r="C73" t="s">
        <v>17</v>
      </c>
      <c r="D73" t="s">
        <v>37</v>
      </c>
      <c r="E73" t="s">
        <v>59</v>
      </c>
      <c r="F73" t="s">
        <v>98</v>
      </c>
      <c r="G73" t="s">
        <v>248</v>
      </c>
      <c r="H73" t="s">
        <v>298</v>
      </c>
      <c r="I73" t="s">
        <v>369</v>
      </c>
      <c r="K73" t="s">
        <v>466</v>
      </c>
      <c r="L73" t="s">
        <v>469</v>
      </c>
      <c r="M73" t="s">
        <v>472</v>
      </c>
      <c r="N73" t="s">
        <v>495</v>
      </c>
      <c r="O73" t="s">
        <v>793</v>
      </c>
      <c r="P73" s="1">
        <f>HYPERLINK("https://ec.europa.eu/info/funding-tenders/opportunities/portal/screen/opportunities/topic-details/horizon-cl2-2023-transformations-01-04", "HORIZON-CL2-2023-TRANSFORMATIONS-01-04")</f>
        <v>0</v>
      </c>
      <c r="Q73" t="s">
        <v>1047</v>
      </c>
    </row>
    <row r="74" spans="1:17">
      <c r="A74">
        <v>45640092</v>
      </c>
      <c r="B74">
        <v>2023</v>
      </c>
      <c r="C74" t="s">
        <v>17</v>
      </c>
      <c r="D74" t="s">
        <v>37</v>
      </c>
      <c r="E74" t="s">
        <v>59</v>
      </c>
      <c r="F74" t="s">
        <v>98</v>
      </c>
      <c r="G74" t="s">
        <v>248</v>
      </c>
      <c r="H74" t="s">
        <v>298</v>
      </c>
      <c r="I74" t="s">
        <v>369</v>
      </c>
      <c r="K74" t="s">
        <v>466</v>
      </c>
      <c r="L74" t="s">
        <v>469</v>
      </c>
      <c r="M74" t="s">
        <v>471</v>
      </c>
      <c r="N74" t="s">
        <v>495</v>
      </c>
      <c r="O74" t="s">
        <v>793</v>
      </c>
      <c r="P74" s="1">
        <f>HYPERLINK("https://ec.europa.eu/info/funding-tenders/opportunities/portal/screen/opportunities/topic-details/horizon-cl2-2023-transformations-01-05", "HORIZON-CL2-2023-TRANSFORMATIONS-01-05")</f>
        <v>0</v>
      </c>
      <c r="Q74" t="s">
        <v>1048</v>
      </c>
    </row>
    <row r="75" spans="1:17">
      <c r="A75">
        <v>45640131</v>
      </c>
      <c r="B75">
        <v>2023</v>
      </c>
      <c r="C75" t="s">
        <v>17</v>
      </c>
      <c r="D75" t="s">
        <v>37</v>
      </c>
      <c r="E75" t="s">
        <v>59</v>
      </c>
      <c r="F75" t="s">
        <v>98</v>
      </c>
      <c r="G75" t="s">
        <v>248</v>
      </c>
      <c r="H75" t="s">
        <v>298</v>
      </c>
      <c r="I75" t="s">
        <v>369</v>
      </c>
      <c r="K75" t="s">
        <v>466</v>
      </c>
      <c r="L75" t="s">
        <v>469</v>
      </c>
      <c r="M75" t="s">
        <v>471</v>
      </c>
      <c r="N75" t="s">
        <v>495</v>
      </c>
      <c r="O75" t="s">
        <v>793</v>
      </c>
      <c r="P75" s="1">
        <f>HYPERLINK("https://ec.europa.eu/info/funding-tenders/opportunities/portal/screen/opportunities/topic-details/horizon-cl2-2023-transformations-01-06", "HORIZON-CL2-2023-TRANSFORMATIONS-01-06")</f>
        <v>0</v>
      </c>
      <c r="Q75" t="s">
        <v>1049</v>
      </c>
    </row>
    <row r="76" spans="1:17">
      <c r="A76">
        <v>45640167</v>
      </c>
      <c r="B76">
        <v>2023</v>
      </c>
      <c r="C76" t="s">
        <v>17</v>
      </c>
      <c r="D76" t="s">
        <v>37</v>
      </c>
      <c r="E76" t="s">
        <v>59</v>
      </c>
      <c r="F76" t="s">
        <v>98</v>
      </c>
      <c r="G76" t="s">
        <v>248</v>
      </c>
      <c r="H76" t="s">
        <v>298</v>
      </c>
      <c r="I76" t="s">
        <v>369</v>
      </c>
      <c r="K76" t="s">
        <v>466</v>
      </c>
      <c r="L76" t="s">
        <v>469</v>
      </c>
      <c r="M76" t="s">
        <v>471</v>
      </c>
      <c r="N76" t="s">
        <v>495</v>
      </c>
      <c r="O76" t="s">
        <v>793</v>
      </c>
      <c r="P76" s="1">
        <f>HYPERLINK("https://ec.europa.eu/info/funding-tenders/opportunities/portal/screen/opportunities/topic-details/horizon-cl2-2023-transformations-01-07", "HORIZON-CL2-2023-TRANSFORMATIONS-01-07")</f>
        <v>0</v>
      </c>
      <c r="Q76" t="s">
        <v>1050</v>
      </c>
    </row>
    <row r="77" spans="1:17">
      <c r="A77">
        <v>45640202</v>
      </c>
      <c r="B77">
        <v>2023</v>
      </c>
      <c r="C77" t="s">
        <v>17</v>
      </c>
      <c r="D77" t="s">
        <v>37</v>
      </c>
      <c r="E77" t="s">
        <v>59</v>
      </c>
      <c r="F77" t="s">
        <v>98</v>
      </c>
      <c r="G77" t="s">
        <v>248</v>
      </c>
      <c r="H77" t="s">
        <v>298</v>
      </c>
      <c r="I77" t="s">
        <v>369</v>
      </c>
      <c r="K77" t="s">
        <v>466</v>
      </c>
      <c r="L77" t="s">
        <v>469</v>
      </c>
      <c r="M77" t="s">
        <v>471</v>
      </c>
      <c r="N77" t="s">
        <v>495</v>
      </c>
      <c r="O77" t="s">
        <v>793</v>
      </c>
      <c r="P77" s="1">
        <f>HYPERLINK("https://ec.europa.eu/info/funding-tenders/opportunities/portal/screen/opportunities/topic-details/horizon-cl2-2023-transformations-01-08", "HORIZON-CL2-2023-TRANSFORMATIONS-01-08")</f>
        <v>0</v>
      </c>
      <c r="Q77" t="s">
        <v>1051</v>
      </c>
    </row>
    <row r="78" spans="1:17">
      <c r="A78">
        <v>45640226</v>
      </c>
      <c r="B78">
        <v>2023</v>
      </c>
      <c r="C78" t="s">
        <v>17</v>
      </c>
      <c r="D78" t="s">
        <v>37</v>
      </c>
      <c r="E78" t="s">
        <v>59</v>
      </c>
      <c r="F78" t="s">
        <v>98</v>
      </c>
      <c r="G78" t="s">
        <v>248</v>
      </c>
      <c r="H78" t="s">
        <v>298</v>
      </c>
      <c r="I78" t="s">
        <v>369</v>
      </c>
      <c r="K78" t="s">
        <v>466</v>
      </c>
      <c r="L78" t="s">
        <v>469</v>
      </c>
      <c r="M78" t="s">
        <v>471</v>
      </c>
      <c r="N78" t="s">
        <v>495</v>
      </c>
      <c r="O78" t="s">
        <v>793</v>
      </c>
      <c r="P78" s="1">
        <f>HYPERLINK("https://ec.europa.eu/info/funding-tenders/opportunities/portal/screen/opportunities/topic-details/horizon-cl2-2023-transformations-01-09", "HORIZON-CL2-2023-TRANSFORMATIONS-01-09")</f>
        <v>0</v>
      </c>
      <c r="Q78" t="s">
        <v>1052</v>
      </c>
    </row>
    <row r="79" spans="1:17">
      <c r="A79">
        <v>45640261</v>
      </c>
      <c r="B79">
        <v>2023</v>
      </c>
      <c r="C79" t="s">
        <v>17</v>
      </c>
      <c r="D79" t="s">
        <v>37</v>
      </c>
      <c r="E79" t="s">
        <v>59</v>
      </c>
      <c r="F79" t="s">
        <v>98</v>
      </c>
      <c r="G79" t="s">
        <v>248</v>
      </c>
      <c r="H79" t="s">
        <v>298</v>
      </c>
      <c r="I79" t="s">
        <v>369</v>
      </c>
      <c r="K79" t="s">
        <v>466</v>
      </c>
      <c r="L79" t="s">
        <v>469</v>
      </c>
      <c r="M79" t="s">
        <v>471</v>
      </c>
      <c r="N79" t="s">
        <v>495</v>
      </c>
      <c r="O79" t="s">
        <v>793</v>
      </c>
      <c r="P79" s="1">
        <f>HYPERLINK("https://ec.europa.eu/info/funding-tenders/opportunities/portal/screen/opportunities/topic-details/horizon-cl2-2023-transformations-01-10", "HORIZON-CL2-2023-TRANSFORMATIONS-01-10")</f>
        <v>0</v>
      </c>
      <c r="Q79" t="s">
        <v>1053</v>
      </c>
    </row>
    <row r="80" spans="1:17">
      <c r="A80">
        <v>45702566</v>
      </c>
      <c r="B80">
        <v>2024</v>
      </c>
      <c r="C80" t="s">
        <v>17</v>
      </c>
      <c r="D80" t="s">
        <v>37</v>
      </c>
      <c r="E80" t="s">
        <v>56</v>
      </c>
      <c r="F80" t="s">
        <v>95</v>
      </c>
      <c r="G80" t="s">
        <v>248</v>
      </c>
      <c r="H80" t="s">
        <v>300</v>
      </c>
      <c r="I80" t="s">
        <v>371</v>
      </c>
      <c r="K80" t="s">
        <v>466</v>
      </c>
      <c r="L80" t="s">
        <v>469</v>
      </c>
      <c r="M80" t="s">
        <v>471</v>
      </c>
      <c r="N80" t="s">
        <v>496</v>
      </c>
      <c r="O80" t="s">
        <v>803</v>
      </c>
      <c r="P80" s="1">
        <f>HYPERLINK("https://ec.europa.eu/info/funding-tenders/opportunities/portal/screen/opportunities/topic-details/horizon-cl2-2024-democracy-01-01", "HORIZON-CL2-2024-DEMOCRACY-01-01")</f>
        <v>0</v>
      </c>
      <c r="Q80" t="s">
        <v>1054</v>
      </c>
    </row>
    <row r="81" spans="1:17">
      <c r="A81">
        <v>45702596</v>
      </c>
      <c r="B81">
        <v>2024</v>
      </c>
      <c r="C81" t="s">
        <v>17</v>
      </c>
      <c r="D81" t="s">
        <v>37</v>
      </c>
      <c r="E81" t="s">
        <v>56</v>
      </c>
      <c r="F81" t="s">
        <v>95</v>
      </c>
      <c r="G81" t="s">
        <v>248</v>
      </c>
      <c r="H81" t="s">
        <v>300</v>
      </c>
      <c r="I81" t="s">
        <v>371</v>
      </c>
      <c r="K81" t="s">
        <v>466</v>
      </c>
      <c r="L81" t="s">
        <v>469</v>
      </c>
      <c r="M81" t="s">
        <v>471</v>
      </c>
      <c r="N81" t="s">
        <v>496</v>
      </c>
      <c r="O81" t="s">
        <v>803</v>
      </c>
      <c r="P81" s="1">
        <f>HYPERLINK("https://ec.europa.eu/info/funding-tenders/opportunities/portal/screen/opportunities/topic-details/horizon-cl2-2024-democracy-01-02", "HORIZON-CL2-2024-DEMOCRACY-01-02")</f>
        <v>0</v>
      </c>
      <c r="Q81" t="s">
        <v>1055</v>
      </c>
    </row>
    <row r="82" spans="1:17">
      <c r="A82">
        <v>45702627</v>
      </c>
      <c r="B82">
        <v>2024</v>
      </c>
      <c r="C82" t="s">
        <v>17</v>
      </c>
      <c r="D82" t="s">
        <v>37</v>
      </c>
      <c r="E82" t="s">
        <v>56</v>
      </c>
      <c r="F82" t="s">
        <v>95</v>
      </c>
      <c r="G82" t="s">
        <v>248</v>
      </c>
      <c r="H82" t="s">
        <v>300</v>
      </c>
      <c r="I82" t="s">
        <v>371</v>
      </c>
      <c r="K82" t="s">
        <v>466</v>
      </c>
      <c r="L82" t="s">
        <v>469</v>
      </c>
      <c r="M82" t="s">
        <v>471</v>
      </c>
      <c r="N82" t="s">
        <v>496</v>
      </c>
      <c r="O82" t="s">
        <v>803</v>
      </c>
      <c r="P82" s="1">
        <f>HYPERLINK("https://ec.europa.eu/info/funding-tenders/opportunities/portal/screen/opportunities/topic-details/horizon-cl2-2024-democracy-01-03", "HORIZON-CL2-2024-DEMOCRACY-01-03")</f>
        <v>0</v>
      </c>
      <c r="Q82" t="s">
        <v>1056</v>
      </c>
    </row>
    <row r="83" spans="1:17">
      <c r="A83">
        <v>45702653</v>
      </c>
      <c r="B83">
        <v>2024</v>
      </c>
      <c r="C83" t="s">
        <v>17</v>
      </c>
      <c r="D83" t="s">
        <v>37</v>
      </c>
      <c r="E83" t="s">
        <v>56</v>
      </c>
      <c r="F83" t="s">
        <v>95</v>
      </c>
      <c r="G83" t="s">
        <v>248</v>
      </c>
      <c r="H83" t="s">
        <v>300</v>
      </c>
      <c r="I83" t="s">
        <v>371</v>
      </c>
      <c r="K83" t="s">
        <v>466</v>
      </c>
      <c r="L83" t="s">
        <v>469</v>
      </c>
      <c r="M83" t="s">
        <v>471</v>
      </c>
      <c r="N83" t="s">
        <v>496</v>
      </c>
      <c r="O83" t="s">
        <v>803</v>
      </c>
      <c r="P83" s="1">
        <f>HYPERLINK("https://ec.europa.eu/info/funding-tenders/opportunities/portal/screen/opportunities/topic-details/horizon-cl2-2024-democracy-01-04", "HORIZON-CL2-2024-DEMOCRACY-01-04")</f>
        <v>0</v>
      </c>
      <c r="Q83" t="s">
        <v>1057</v>
      </c>
    </row>
    <row r="84" spans="1:17">
      <c r="A84">
        <v>45702681</v>
      </c>
      <c r="B84">
        <v>2024</v>
      </c>
      <c r="C84" t="s">
        <v>17</v>
      </c>
      <c r="D84" t="s">
        <v>37</v>
      </c>
      <c r="E84" t="s">
        <v>56</v>
      </c>
      <c r="F84" t="s">
        <v>95</v>
      </c>
      <c r="G84" t="s">
        <v>248</v>
      </c>
      <c r="H84" t="s">
        <v>300</v>
      </c>
      <c r="I84" t="s">
        <v>371</v>
      </c>
      <c r="K84" t="s">
        <v>466</v>
      </c>
      <c r="L84" t="s">
        <v>469</v>
      </c>
      <c r="M84" t="s">
        <v>471</v>
      </c>
      <c r="N84" t="s">
        <v>496</v>
      </c>
      <c r="O84" t="s">
        <v>803</v>
      </c>
      <c r="P84" s="1">
        <f>HYPERLINK("https://ec.europa.eu/info/funding-tenders/opportunities/portal/screen/opportunities/topic-details/horizon-cl2-2024-democracy-01-05", "HORIZON-CL2-2024-DEMOCRACY-01-05")</f>
        <v>0</v>
      </c>
      <c r="Q84" t="s">
        <v>1058</v>
      </c>
    </row>
    <row r="85" spans="1:17">
      <c r="A85">
        <v>45702709</v>
      </c>
      <c r="B85">
        <v>2024</v>
      </c>
      <c r="C85" t="s">
        <v>17</v>
      </c>
      <c r="D85" t="s">
        <v>37</v>
      </c>
      <c r="E85" t="s">
        <v>56</v>
      </c>
      <c r="F85" t="s">
        <v>95</v>
      </c>
      <c r="G85" t="s">
        <v>248</v>
      </c>
      <c r="H85" t="s">
        <v>300</v>
      </c>
      <c r="I85" t="s">
        <v>371</v>
      </c>
      <c r="K85" t="s">
        <v>466</v>
      </c>
      <c r="L85" t="s">
        <v>469</v>
      </c>
      <c r="M85" t="s">
        <v>471</v>
      </c>
      <c r="N85" t="s">
        <v>496</v>
      </c>
      <c r="O85" t="s">
        <v>803</v>
      </c>
      <c r="P85" s="1">
        <f>HYPERLINK("https://ec.europa.eu/info/funding-tenders/opportunities/portal/screen/opportunities/topic-details/horizon-cl2-2024-democracy-01-06", "HORIZON-CL2-2024-DEMOCRACY-01-06")</f>
        <v>0</v>
      </c>
      <c r="Q85" t="s">
        <v>1059</v>
      </c>
    </row>
    <row r="86" spans="1:17">
      <c r="A86">
        <v>45702894</v>
      </c>
      <c r="B86">
        <v>2024</v>
      </c>
      <c r="C86" t="s">
        <v>17</v>
      </c>
      <c r="D86" t="s">
        <v>37</v>
      </c>
      <c r="E86" t="s">
        <v>56</v>
      </c>
      <c r="F86" t="s">
        <v>95</v>
      </c>
      <c r="G86" t="s">
        <v>248</v>
      </c>
      <c r="H86" t="s">
        <v>300</v>
      </c>
      <c r="I86" t="s">
        <v>371</v>
      </c>
      <c r="K86" t="s">
        <v>466</v>
      </c>
      <c r="L86" t="s">
        <v>469</v>
      </c>
      <c r="M86" t="s">
        <v>471</v>
      </c>
      <c r="N86" t="s">
        <v>496</v>
      </c>
      <c r="O86" t="s">
        <v>803</v>
      </c>
      <c r="P86" s="1">
        <f>HYPERLINK("https://ec.europa.eu/info/funding-tenders/opportunities/portal/screen/opportunities/topic-details/horizon-cl2-2024-democracy-01-07", "HORIZON-CL2-2024-DEMOCRACY-01-07")</f>
        <v>0</v>
      </c>
      <c r="Q86" t="s">
        <v>1060</v>
      </c>
    </row>
    <row r="87" spans="1:17">
      <c r="A87">
        <v>45702736</v>
      </c>
      <c r="B87">
        <v>2024</v>
      </c>
      <c r="C87" t="s">
        <v>17</v>
      </c>
      <c r="D87" t="s">
        <v>37</v>
      </c>
      <c r="E87" t="s">
        <v>56</v>
      </c>
      <c r="F87" t="s">
        <v>95</v>
      </c>
      <c r="G87" t="s">
        <v>248</v>
      </c>
      <c r="H87" t="s">
        <v>300</v>
      </c>
      <c r="I87" t="s">
        <v>371</v>
      </c>
      <c r="K87" t="s">
        <v>466</v>
      </c>
      <c r="L87" t="s">
        <v>469</v>
      </c>
      <c r="M87" t="s">
        <v>471</v>
      </c>
      <c r="N87" t="s">
        <v>496</v>
      </c>
      <c r="O87" t="s">
        <v>803</v>
      </c>
      <c r="P87" s="1">
        <f>HYPERLINK("https://ec.europa.eu/info/funding-tenders/opportunities/portal/screen/opportunities/topic-details/horizon-cl2-2024-democracy-01-08", "HORIZON-CL2-2024-DEMOCRACY-01-08")</f>
        <v>0</v>
      </c>
      <c r="Q87" t="s">
        <v>1061</v>
      </c>
    </row>
    <row r="88" spans="1:17">
      <c r="A88">
        <v>45702774</v>
      </c>
      <c r="B88">
        <v>2024</v>
      </c>
      <c r="C88" t="s">
        <v>17</v>
      </c>
      <c r="D88" t="s">
        <v>37</v>
      </c>
      <c r="E88" t="s">
        <v>56</v>
      </c>
      <c r="F88" t="s">
        <v>95</v>
      </c>
      <c r="G88" t="s">
        <v>248</v>
      </c>
      <c r="H88" t="s">
        <v>300</v>
      </c>
      <c r="I88" t="s">
        <v>371</v>
      </c>
      <c r="K88" t="s">
        <v>466</v>
      </c>
      <c r="L88" t="s">
        <v>469</v>
      </c>
      <c r="M88" t="s">
        <v>471</v>
      </c>
      <c r="N88" t="s">
        <v>496</v>
      </c>
      <c r="O88" t="s">
        <v>803</v>
      </c>
      <c r="P88" s="1">
        <f>HYPERLINK("https://ec.europa.eu/info/funding-tenders/opportunities/portal/screen/opportunities/topic-details/horizon-cl2-2024-democracy-01-09", "HORIZON-CL2-2024-DEMOCRACY-01-09")</f>
        <v>0</v>
      </c>
      <c r="Q88" t="s">
        <v>1062</v>
      </c>
    </row>
    <row r="89" spans="1:17">
      <c r="A89">
        <v>45702799</v>
      </c>
      <c r="B89">
        <v>2024</v>
      </c>
      <c r="C89" t="s">
        <v>17</v>
      </c>
      <c r="D89" t="s">
        <v>37</v>
      </c>
      <c r="E89" t="s">
        <v>56</v>
      </c>
      <c r="F89" t="s">
        <v>95</v>
      </c>
      <c r="G89" t="s">
        <v>248</v>
      </c>
      <c r="H89" t="s">
        <v>300</v>
      </c>
      <c r="I89" t="s">
        <v>371</v>
      </c>
      <c r="K89" t="s">
        <v>466</v>
      </c>
      <c r="L89" t="s">
        <v>469</v>
      </c>
      <c r="M89" t="s">
        <v>471</v>
      </c>
      <c r="N89" t="s">
        <v>496</v>
      </c>
      <c r="O89" t="s">
        <v>803</v>
      </c>
      <c r="P89" s="1">
        <f>HYPERLINK("https://ec.europa.eu/info/funding-tenders/opportunities/portal/screen/opportunities/topic-details/horizon-cl2-2024-democracy-01-10", "HORIZON-CL2-2024-DEMOCRACY-01-10")</f>
        <v>0</v>
      </c>
      <c r="Q89" t="s">
        <v>1063</v>
      </c>
    </row>
    <row r="90" spans="1:17">
      <c r="A90">
        <v>45702512</v>
      </c>
      <c r="B90">
        <v>2024</v>
      </c>
      <c r="C90" t="s">
        <v>17</v>
      </c>
      <c r="D90" t="s">
        <v>37</v>
      </c>
      <c r="E90" t="s">
        <v>56</v>
      </c>
      <c r="F90" t="s">
        <v>95</v>
      </c>
      <c r="G90" t="s">
        <v>248</v>
      </c>
      <c r="H90" t="s">
        <v>300</v>
      </c>
      <c r="I90" t="s">
        <v>371</v>
      </c>
      <c r="K90" t="s">
        <v>466</v>
      </c>
      <c r="L90" t="s">
        <v>469</v>
      </c>
      <c r="M90" t="s">
        <v>471</v>
      </c>
      <c r="N90" t="s">
        <v>496</v>
      </c>
      <c r="O90" t="s">
        <v>803</v>
      </c>
      <c r="P90" s="1">
        <f>HYPERLINK("https://ec.europa.eu/info/funding-tenders/opportunities/portal/screen/opportunities/topic-details/horizon-cl2-2024-democracy-01-11", "HORIZON-CL2-2024-DEMOCRACY-01-11")</f>
        <v>0</v>
      </c>
      <c r="Q90" t="s">
        <v>1064</v>
      </c>
    </row>
    <row r="91" spans="1:17">
      <c r="A91">
        <v>45702830</v>
      </c>
      <c r="B91">
        <v>2024</v>
      </c>
      <c r="C91" t="s">
        <v>17</v>
      </c>
      <c r="D91" t="s">
        <v>37</v>
      </c>
      <c r="E91" t="s">
        <v>56</v>
      </c>
      <c r="F91" t="s">
        <v>95</v>
      </c>
      <c r="G91" t="s">
        <v>248</v>
      </c>
      <c r="H91" t="s">
        <v>300</v>
      </c>
      <c r="I91" t="s">
        <v>371</v>
      </c>
      <c r="K91" t="s">
        <v>466</v>
      </c>
      <c r="L91" t="s">
        <v>469</v>
      </c>
      <c r="M91" t="s">
        <v>472</v>
      </c>
      <c r="N91" t="s">
        <v>496</v>
      </c>
      <c r="O91" t="s">
        <v>803</v>
      </c>
      <c r="P91" s="1">
        <f>HYPERLINK("https://ec.europa.eu/info/funding-tenders/opportunities/portal/screen/opportunities/topic-details/horizon-cl2-2024-democracy-01-12", "HORIZON-CL2-2024-DEMOCRACY-01-12")</f>
        <v>0</v>
      </c>
      <c r="Q91" t="s">
        <v>1065</v>
      </c>
    </row>
    <row r="92" spans="1:17">
      <c r="A92">
        <v>45702956</v>
      </c>
      <c r="B92">
        <v>2024</v>
      </c>
      <c r="C92" t="s">
        <v>17</v>
      </c>
      <c r="D92" t="s">
        <v>37</v>
      </c>
      <c r="E92" t="s">
        <v>57</v>
      </c>
      <c r="F92" t="s">
        <v>96</v>
      </c>
      <c r="G92" t="s">
        <v>248</v>
      </c>
      <c r="H92" t="s">
        <v>300</v>
      </c>
      <c r="I92" t="s">
        <v>371</v>
      </c>
      <c r="K92" t="s">
        <v>466</v>
      </c>
      <c r="L92" t="s">
        <v>469</v>
      </c>
      <c r="M92" t="s">
        <v>473</v>
      </c>
      <c r="N92" t="s">
        <v>497</v>
      </c>
      <c r="O92" t="s">
        <v>804</v>
      </c>
      <c r="P92" s="1">
        <f>HYPERLINK("https://ec.europa.eu/info/funding-tenders/opportunities/portal/screen/opportunities/topic-details/horizon-cl2-2024-heritage-01-01", "HORIZON-CL2-2024-HERITAGE-01-01")</f>
        <v>0</v>
      </c>
      <c r="Q92" t="s">
        <v>1066</v>
      </c>
    </row>
    <row r="93" spans="1:17">
      <c r="A93">
        <v>45702992</v>
      </c>
      <c r="B93">
        <v>2024</v>
      </c>
      <c r="C93" t="s">
        <v>17</v>
      </c>
      <c r="D93" t="s">
        <v>37</v>
      </c>
      <c r="E93" t="s">
        <v>57</v>
      </c>
      <c r="F93" t="s">
        <v>96</v>
      </c>
      <c r="G93" t="s">
        <v>248</v>
      </c>
      <c r="H93" t="s">
        <v>300</v>
      </c>
      <c r="I93" t="s">
        <v>371</v>
      </c>
      <c r="K93" t="s">
        <v>466</v>
      </c>
      <c r="L93" t="s">
        <v>469</v>
      </c>
      <c r="M93" t="s">
        <v>473</v>
      </c>
      <c r="N93" t="s">
        <v>497</v>
      </c>
      <c r="O93" t="s">
        <v>804</v>
      </c>
      <c r="P93" s="1">
        <f>HYPERLINK("https://ec.europa.eu/info/funding-tenders/opportunities/portal/screen/opportunities/topic-details/horizon-cl2-2024-heritage-01-02", "HORIZON-CL2-2024-HERITAGE-01-02")</f>
        <v>0</v>
      </c>
      <c r="Q93" t="s">
        <v>1035</v>
      </c>
    </row>
    <row r="94" spans="1:17">
      <c r="A94">
        <v>45703024</v>
      </c>
      <c r="B94">
        <v>2024</v>
      </c>
      <c r="C94" t="s">
        <v>17</v>
      </c>
      <c r="D94" t="s">
        <v>37</v>
      </c>
      <c r="E94" t="s">
        <v>57</v>
      </c>
      <c r="F94" t="s">
        <v>96</v>
      </c>
      <c r="G94" t="s">
        <v>248</v>
      </c>
      <c r="H94" t="s">
        <v>300</v>
      </c>
      <c r="I94" t="s">
        <v>371</v>
      </c>
      <c r="K94" t="s">
        <v>466</v>
      </c>
      <c r="L94" t="s">
        <v>469</v>
      </c>
      <c r="M94" t="s">
        <v>473</v>
      </c>
      <c r="N94" t="s">
        <v>497</v>
      </c>
      <c r="O94" t="s">
        <v>804</v>
      </c>
      <c r="P94" s="1">
        <f>HYPERLINK("https://ec.europa.eu/info/funding-tenders/opportunities/portal/screen/opportunities/topic-details/horizon-cl2-2024-heritage-01-03", "HORIZON-CL2-2024-HERITAGE-01-03")</f>
        <v>0</v>
      </c>
      <c r="Q94" t="s">
        <v>1067</v>
      </c>
    </row>
    <row r="95" spans="1:17">
      <c r="A95">
        <v>45703053</v>
      </c>
      <c r="B95">
        <v>2024</v>
      </c>
      <c r="C95" t="s">
        <v>17</v>
      </c>
      <c r="D95" t="s">
        <v>37</v>
      </c>
      <c r="E95" t="s">
        <v>57</v>
      </c>
      <c r="F95" t="s">
        <v>96</v>
      </c>
      <c r="G95" t="s">
        <v>248</v>
      </c>
      <c r="H95" t="s">
        <v>300</v>
      </c>
      <c r="I95" t="s">
        <v>371</v>
      </c>
      <c r="K95" t="s">
        <v>466</v>
      </c>
      <c r="L95" t="s">
        <v>469</v>
      </c>
      <c r="M95" t="s">
        <v>473</v>
      </c>
      <c r="N95" t="s">
        <v>497</v>
      </c>
      <c r="O95" t="s">
        <v>804</v>
      </c>
      <c r="P95" s="1">
        <f>HYPERLINK("https://ec.europa.eu/info/funding-tenders/opportunities/portal/screen/opportunities/topic-details/horizon-cl2-2024-heritage-01-04", "HORIZON-CL2-2024-HERITAGE-01-04")</f>
        <v>0</v>
      </c>
      <c r="Q95" t="s">
        <v>1068</v>
      </c>
    </row>
    <row r="96" spans="1:17">
      <c r="A96">
        <v>45703079</v>
      </c>
      <c r="B96">
        <v>2024</v>
      </c>
      <c r="C96" t="s">
        <v>17</v>
      </c>
      <c r="D96" t="s">
        <v>37</v>
      </c>
      <c r="E96" t="s">
        <v>57</v>
      </c>
      <c r="F96" t="s">
        <v>96</v>
      </c>
      <c r="G96" t="s">
        <v>248</v>
      </c>
      <c r="H96" t="s">
        <v>300</v>
      </c>
      <c r="I96" t="s">
        <v>371</v>
      </c>
      <c r="K96" t="s">
        <v>466</v>
      </c>
      <c r="L96" t="s">
        <v>469</v>
      </c>
      <c r="M96" t="s">
        <v>471</v>
      </c>
      <c r="N96" t="s">
        <v>497</v>
      </c>
      <c r="O96" t="s">
        <v>804</v>
      </c>
      <c r="P96" s="1">
        <f>HYPERLINK("https://ec.europa.eu/info/funding-tenders/opportunities/portal/screen/opportunities/topic-details/horizon-cl2-2024-heritage-01-05", "HORIZON-CL2-2024-HERITAGE-01-05")</f>
        <v>0</v>
      </c>
      <c r="Q96" t="s">
        <v>1069</v>
      </c>
    </row>
    <row r="97" spans="1:17">
      <c r="A97">
        <v>46906192</v>
      </c>
      <c r="B97">
        <v>2024</v>
      </c>
      <c r="C97" t="s">
        <v>17</v>
      </c>
      <c r="D97" t="s">
        <v>37</v>
      </c>
      <c r="E97" t="s">
        <v>57</v>
      </c>
      <c r="F97" t="s">
        <v>101</v>
      </c>
      <c r="G97" t="s">
        <v>249</v>
      </c>
      <c r="H97" t="s">
        <v>301</v>
      </c>
      <c r="I97" t="s">
        <v>372</v>
      </c>
      <c r="K97" t="s">
        <v>467</v>
      </c>
      <c r="L97" t="s">
        <v>469</v>
      </c>
      <c r="M97" t="s">
        <v>473</v>
      </c>
      <c r="N97" t="s">
        <v>498</v>
      </c>
      <c r="O97" t="s">
        <v>805</v>
      </c>
      <c r="P97" s="1">
        <f>HYPERLINK("https://ec.europa.eu/info/funding-tenders/opportunities/portal/screen/opportunities/topic-details/horizon-cl2-2024-heritage-eccch-01-01", "HORIZON-CL2-2024-HERITAGE-ECCCH-01-01")</f>
        <v>0</v>
      </c>
      <c r="Q97" t="s">
        <v>1070</v>
      </c>
    </row>
    <row r="98" spans="1:17">
      <c r="A98">
        <v>46906151</v>
      </c>
      <c r="B98">
        <v>2024</v>
      </c>
      <c r="C98" t="s">
        <v>17</v>
      </c>
      <c r="D98" t="s">
        <v>37</v>
      </c>
      <c r="E98" t="s">
        <v>57</v>
      </c>
      <c r="F98" t="s">
        <v>101</v>
      </c>
      <c r="G98" t="s">
        <v>249</v>
      </c>
      <c r="H98" t="s">
        <v>301</v>
      </c>
      <c r="I98" t="s">
        <v>372</v>
      </c>
      <c r="K98" t="s">
        <v>467</v>
      </c>
      <c r="L98" t="s">
        <v>469</v>
      </c>
      <c r="M98" t="s">
        <v>473</v>
      </c>
      <c r="N98" t="s">
        <v>498</v>
      </c>
      <c r="O98" t="s">
        <v>805</v>
      </c>
      <c r="P98" s="1">
        <f>HYPERLINK("https://ec.europa.eu/info/funding-tenders/opportunities/portal/screen/opportunities/topic-details/horizon-cl2-2024-heritage-eccch-01-02", "HORIZON-CL2-2024-HERITAGE-ECCCH-01-02")</f>
        <v>0</v>
      </c>
      <c r="Q98" t="s">
        <v>1071</v>
      </c>
    </row>
    <row r="99" spans="1:17">
      <c r="A99">
        <v>46906238</v>
      </c>
      <c r="B99">
        <v>2024</v>
      </c>
      <c r="C99" t="s">
        <v>17</v>
      </c>
      <c r="D99" t="s">
        <v>37</v>
      </c>
      <c r="E99" t="s">
        <v>57</v>
      </c>
      <c r="F99" t="s">
        <v>101</v>
      </c>
      <c r="G99" t="s">
        <v>249</v>
      </c>
      <c r="H99" t="s">
        <v>301</v>
      </c>
      <c r="I99" t="s">
        <v>372</v>
      </c>
      <c r="K99" t="s">
        <v>467</v>
      </c>
      <c r="L99" t="s">
        <v>469</v>
      </c>
      <c r="M99" t="s">
        <v>473</v>
      </c>
      <c r="N99" t="s">
        <v>498</v>
      </c>
      <c r="O99" t="s">
        <v>805</v>
      </c>
      <c r="P99" s="1">
        <f>HYPERLINK("https://ec.europa.eu/info/funding-tenders/opportunities/portal/screen/opportunities/topic-details/horizon-cl2-2024-heritage-eccch-01-03", "HORIZON-CL2-2024-HERITAGE-ECCCH-01-03")</f>
        <v>0</v>
      </c>
      <c r="Q99" t="s">
        <v>1072</v>
      </c>
    </row>
    <row r="100" spans="1:17">
      <c r="A100">
        <v>46906346</v>
      </c>
      <c r="B100">
        <v>2024</v>
      </c>
      <c r="C100" t="s">
        <v>17</v>
      </c>
      <c r="D100" t="s">
        <v>37</v>
      </c>
      <c r="E100" t="s">
        <v>57</v>
      </c>
      <c r="F100" t="s">
        <v>101</v>
      </c>
      <c r="G100" t="s">
        <v>249</v>
      </c>
      <c r="H100" t="s">
        <v>301</v>
      </c>
      <c r="I100" t="s">
        <v>372</v>
      </c>
      <c r="K100" t="s">
        <v>467</v>
      </c>
      <c r="L100" t="s">
        <v>469</v>
      </c>
      <c r="M100" t="s">
        <v>473</v>
      </c>
      <c r="N100" t="s">
        <v>498</v>
      </c>
      <c r="O100" t="s">
        <v>805</v>
      </c>
      <c r="P100" s="1">
        <f>HYPERLINK("https://ec.europa.eu/info/funding-tenders/opportunities/portal/screen/opportunities/topic-details/horizon-cl2-2024-heritage-eccch-01-04", "HORIZON-CL2-2024-HERITAGE-ECCCH-01-04")</f>
        <v>0</v>
      </c>
      <c r="Q100" t="s">
        <v>1073</v>
      </c>
    </row>
    <row r="101" spans="1:17">
      <c r="A101">
        <v>46906387</v>
      </c>
      <c r="B101">
        <v>2024</v>
      </c>
      <c r="C101" t="s">
        <v>17</v>
      </c>
      <c r="D101" t="s">
        <v>37</v>
      </c>
      <c r="E101" t="s">
        <v>57</v>
      </c>
      <c r="F101" t="s">
        <v>101</v>
      </c>
      <c r="G101" t="s">
        <v>249</v>
      </c>
      <c r="H101" t="s">
        <v>301</v>
      </c>
      <c r="I101" t="s">
        <v>372</v>
      </c>
      <c r="K101" t="s">
        <v>467</v>
      </c>
      <c r="L101" t="s">
        <v>469</v>
      </c>
      <c r="M101" t="s">
        <v>473</v>
      </c>
      <c r="N101" t="s">
        <v>498</v>
      </c>
      <c r="O101" t="s">
        <v>805</v>
      </c>
      <c r="P101" s="1">
        <f>HYPERLINK("https://ec.europa.eu/info/funding-tenders/opportunities/portal/screen/opportunities/topic-details/horizon-cl2-2024-heritage-eccch-01-05", "HORIZON-CL2-2024-HERITAGE-ECCCH-01-05")</f>
        <v>0</v>
      </c>
      <c r="Q101" t="s">
        <v>1074</v>
      </c>
    </row>
    <row r="102" spans="1:17">
      <c r="A102">
        <v>45703115</v>
      </c>
      <c r="B102">
        <v>2024</v>
      </c>
      <c r="C102" t="s">
        <v>17</v>
      </c>
      <c r="D102" t="s">
        <v>37</v>
      </c>
      <c r="E102" t="s">
        <v>59</v>
      </c>
      <c r="F102" t="s">
        <v>98</v>
      </c>
      <c r="G102" t="s">
        <v>248</v>
      </c>
      <c r="H102" t="s">
        <v>300</v>
      </c>
      <c r="I102" t="s">
        <v>371</v>
      </c>
      <c r="K102" t="s">
        <v>466</v>
      </c>
      <c r="L102" t="s">
        <v>469</v>
      </c>
      <c r="M102" t="s">
        <v>472</v>
      </c>
      <c r="N102" t="s">
        <v>499</v>
      </c>
      <c r="O102" t="s">
        <v>798</v>
      </c>
      <c r="P102" s="1">
        <f>HYPERLINK("https://ec.europa.eu/info/funding-tenders/opportunities/portal/screen/opportunities/topic-details/horizon-cl2-2024-transformations-01-01", "HORIZON-CL2-2024-TRANSFORMATIONS-01-01")</f>
        <v>0</v>
      </c>
      <c r="Q102" t="s">
        <v>1075</v>
      </c>
    </row>
    <row r="103" spans="1:17">
      <c r="A103">
        <v>45703145</v>
      </c>
      <c r="B103">
        <v>2024</v>
      </c>
      <c r="C103" t="s">
        <v>17</v>
      </c>
      <c r="D103" t="s">
        <v>37</v>
      </c>
      <c r="E103" t="s">
        <v>59</v>
      </c>
      <c r="F103" t="s">
        <v>98</v>
      </c>
      <c r="G103" t="s">
        <v>248</v>
      </c>
      <c r="H103" t="s">
        <v>300</v>
      </c>
      <c r="I103" t="s">
        <v>371</v>
      </c>
      <c r="K103" t="s">
        <v>466</v>
      </c>
      <c r="L103" t="s">
        <v>469</v>
      </c>
      <c r="M103" t="s">
        <v>471</v>
      </c>
      <c r="N103" t="s">
        <v>499</v>
      </c>
      <c r="O103" t="s">
        <v>798</v>
      </c>
      <c r="P103" s="1">
        <f>HYPERLINK("https://ec.europa.eu/info/funding-tenders/opportunities/portal/screen/opportunities/topic-details/horizon-cl2-2024-transformations-01-02", "HORIZON-CL2-2024-TRANSFORMATIONS-01-02")</f>
        <v>0</v>
      </c>
      <c r="Q103" t="s">
        <v>1076</v>
      </c>
    </row>
    <row r="104" spans="1:17">
      <c r="A104">
        <v>45703177</v>
      </c>
      <c r="B104">
        <v>2024</v>
      </c>
      <c r="C104" t="s">
        <v>17</v>
      </c>
      <c r="D104" t="s">
        <v>37</v>
      </c>
      <c r="E104" t="s">
        <v>59</v>
      </c>
      <c r="F104" t="s">
        <v>98</v>
      </c>
      <c r="G104" t="s">
        <v>248</v>
      </c>
      <c r="H104" t="s">
        <v>300</v>
      </c>
      <c r="I104" t="s">
        <v>371</v>
      </c>
      <c r="K104" t="s">
        <v>466</v>
      </c>
      <c r="L104" t="s">
        <v>469</v>
      </c>
      <c r="M104" t="s">
        <v>471</v>
      </c>
      <c r="N104" t="s">
        <v>499</v>
      </c>
      <c r="O104" t="s">
        <v>798</v>
      </c>
      <c r="P104" s="1">
        <f>HYPERLINK("https://ec.europa.eu/info/funding-tenders/opportunities/portal/screen/opportunities/topic-details/horizon-cl2-2024-transformations-01-03", "HORIZON-CL2-2024-TRANSFORMATIONS-01-03")</f>
        <v>0</v>
      </c>
      <c r="Q104" t="s">
        <v>1077</v>
      </c>
    </row>
    <row r="105" spans="1:17">
      <c r="A105">
        <v>45703272</v>
      </c>
      <c r="B105">
        <v>2024</v>
      </c>
      <c r="C105" t="s">
        <v>17</v>
      </c>
      <c r="D105" t="s">
        <v>37</v>
      </c>
      <c r="E105" t="s">
        <v>59</v>
      </c>
      <c r="F105" t="s">
        <v>98</v>
      </c>
      <c r="G105" t="s">
        <v>248</v>
      </c>
      <c r="H105" t="s">
        <v>300</v>
      </c>
      <c r="I105" t="s">
        <v>371</v>
      </c>
      <c r="K105" t="s">
        <v>466</v>
      </c>
      <c r="L105" t="s">
        <v>469</v>
      </c>
      <c r="M105" t="s">
        <v>471</v>
      </c>
      <c r="N105" t="s">
        <v>499</v>
      </c>
      <c r="O105" t="s">
        <v>798</v>
      </c>
      <c r="P105" s="1">
        <f>HYPERLINK("https://ec.europa.eu/info/funding-tenders/opportunities/portal/screen/opportunities/topic-details/horizon-cl2-2024-transformations-01-04", "HORIZON-CL2-2024-TRANSFORMATIONS-01-04")</f>
        <v>0</v>
      </c>
      <c r="Q105" t="s">
        <v>1078</v>
      </c>
    </row>
    <row r="106" spans="1:17">
      <c r="A106">
        <v>45703217</v>
      </c>
      <c r="B106">
        <v>2024</v>
      </c>
      <c r="C106" t="s">
        <v>17</v>
      </c>
      <c r="D106" t="s">
        <v>37</v>
      </c>
      <c r="E106" t="s">
        <v>59</v>
      </c>
      <c r="F106" t="s">
        <v>98</v>
      </c>
      <c r="G106" t="s">
        <v>248</v>
      </c>
      <c r="H106" t="s">
        <v>300</v>
      </c>
      <c r="I106" t="s">
        <v>371</v>
      </c>
      <c r="K106" t="s">
        <v>466</v>
      </c>
      <c r="L106" t="s">
        <v>469</v>
      </c>
      <c r="M106" t="s">
        <v>471</v>
      </c>
      <c r="N106" t="s">
        <v>499</v>
      </c>
      <c r="O106" t="s">
        <v>798</v>
      </c>
      <c r="P106" s="1">
        <f>HYPERLINK("https://ec.europa.eu/info/funding-tenders/opportunities/portal/screen/opportunities/topic-details/horizon-cl2-2024-transformations-01-05", "HORIZON-CL2-2024-TRANSFORMATIONS-01-05")</f>
        <v>0</v>
      </c>
      <c r="Q106" t="s">
        <v>1079</v>
      </c>
    </row>
    <row r="107" spans="1:17">
      <c r="A107">
        <v>45703241</v>
      </c>
      <c r="B107">
        <v>2024</v>
      </c>
      <c r="C107" t="s">
        <v>17</v>
      </c>
      <c r="D107" t="s">
        <v>37</v>
      </c>
      <c r="E107" t="s">
        <v>59</v>
      </c>
      <c r="F107" t="s">
        <v>98</v>
      </c>
      <c r="G107" t="s">
        <v>248</v>
      </c>
      <c r="H107" t="s">
        <v>300</v>
      </c>
      <c r="I107" t="s">
        <v>371</v>
      </c>
      <c r="K107" t="s">
        <v>466</v>
      </c>
      <c r="L107" t="s">
        <v>469</v>
      </c>
      <c r="M107" t="s">
        <v>471</v>
      </c>
      <c r="N107" t="s">
        <v>499</v>
      </c>
      <c r="O107" t="s">
        <v>798</v>
      </c>
      <c r="P107" s="1">
        <f>HYPERLINK("https://ec.europa.eu/info/funding-tenders/opportunities/portal/screen/opportunities/topic-details/horizon-cl2-2024-transformations-01-06", "HORIZON-CL2-2024-TRANSFORMATIONS-01-06")</f>
        <v>0</v>
      </c>
      <c r="Q107" t="s">
        <v>1080</v>
      </c>
    </row>
    <row r="108" spans="1:17">
      <c r="A108">
        <v>45702540</v>
      </c>
      <c r="B108">
        <v>2024</v>
      </c>
      <c r="C108" t="s">
        <v>17</v>
      </c>
      <c r="D108" t="s">
        <v>37</v>
      </c>
      <c r="E108" t="s">
        <v>59</v>
      </c>
      <c r="F108" t="s">
        <v>98</v>
      </c>
      <c r="G108" t="s">
        <v>248</v>
      </c>
      <c r="H108" t="s">
        <v>300</v>
      </c>
      <c r="I108" t="s">
        <v>371</v>
      </c>
      <c r="K108" t="s">
        <v>466</v>
      </c>
      <c r="L108" t="s">
        <v>469</v>
      </c>
      <c r="M108" t="s">
        <v>472</v>
      </c>
      <c r="N108" t="s">
        <v>499</v>
      </c>
      <c r="O108" t="s">
        <v>798</v>
      </c>
      <c r="P108" s="1">
        <f>HYPERLINK("https://ec.europa.eu/info/funding-tenders/opportunities/portal/screen/opportunities/topic-details/horizon-cl2-2024-transformations-01-07", "HORIZON-CL2-2024-TRANSFORMATIONS-01-07")</f>
        <v>0</v>
      </c>
      <c r="Q108" t="s">
        <v>1081</v>
      </c>
    </row>
    <row r="109" spans="1:17">
      <c r="A109">
        <v>45703306</v>
      </c>
      <c r="B109">
        <v>2024</v>
      </c>
      <c r="C109" t="s">
        <v>17</v>
      </c>
      <c r="D109" t="s">
        <v>37</v>
      </c>
      <c r="E109" t="s">
        <v>59</v>
      </c>
      <c r="F109" t="s">
        <v>98</v>
      </c>
      <c r="G109" t="s">
        <v>248</v>
      </c>
      <c r="H109" t="s">
        <v>300</v>
      </c>
      <c r="I109" t="s">
        <v>371</v>
      </c>
      <c r="K109" t="s">
        <v>466</v>
      </c>
      <c r="L109" t="s">
        <v>469</v>
      </c>
      <c r="M109" t="s">
        <v>471</v>
      </c>
      <c r="N109" t="s">
        <v>499</v>
      </c>
      <c r="O109" t="s">
        <v>798</v>
      </c>
      <c r="P109" s="1">
        <f>HYPERLINK("https://ec.europa.eu/info/funding-tenders/opportunities/portal/screen/opportunities/topic-details/horizon-cl2-2024-transformations-01-08", "HORIZON-CL2-2024-TRANSFORMATIONS-01-08")</f>
        <v>0</v>
      </c>
      <c r="Q109" t="s">
        <v>1082</v>
      </c>
    </row>
    <row r="110" spans="1:17">
      <c r="A110">
        <v>45703354</v>
      </c>
      <c r="B110">
        <v>2024</v>
      </c>
      <c r="C110" t="s">
        <v>17</v>
      </c>
      <c r="D110" t="s">
        <v>37</v>
      </c>
      <c r="E110" t="s">
        <v>59</v>
      </c>
      <c r="F110" t="s">
        <v>98</v>
      </c>
      <c r="G110" t="s">
        <v>248</v>
      </c>
      <c r="H110" t="s">
        <v>300</v>
      </c>
      <c r="I110" t="s">
        <v>371</v>
      </c>
      <c r="K110" t="s">
        <v>466</v>
      </c>
      <c r="L110" t="s">
        <v>469</v>
      </c>
      <c r="M110" t="s">
        <v>471</v>
      </c>
      <c r="N110" t="s">
        <v>499</v>
      </c>
      <c r="O110" t="s">
        <v>798</v>
      </c>
      <c r="P110" s="1">
        <f>HYPERLINK("https://ec.europa.eu/info/funding-tenders/opportunities/portal/screen/opportunities/topic-details/horizon-cl2-2024-transformations-01-09", "HORIZON-CL2-2024-TRANSFORMATIONS-01-09")</f>
        <v>0</v>
      </c>
      <c r="Q110" t="s">
        <v>1083</v>
      </c>
    </row>
    <row r="111" spans="1:17">
      <c r="A111">
        <v>45703389</v>
      </c>
      <c r="B111">
        <v>2024</v>
      </c>
      <c r="C111" t="s">
        <v>17</v>
      </c>
      <c r="D111" t="s">
        <v>37</v>
      </c>
      <c r="E111" t="s">
        <v>59</v>
      </c>
      <c r="F111" t="s">
        <v>98</v>
      </c>
      <c r="G111" t="s">
        <v>248</v>
      </c>
      <c r="H111" t="s">
        <v>300</v>
      </c>
      <c r="I111" t="s">
        <v>371</v>
      </c>
      <c r="K111" t="s">
        <v>466</v>
      </c>
      <c r="L111" t="s">
        <v>469</v>
      </c>
      <c r="M111" t="s">
        <v>471</v>
      </c>
      <c r="N111" t="s">
        <v>499</v>
      </c>
      <c r="O111" t="s">
        <v>798</v>
      </c>
      <c r="P111" s="1">
        <f>HYPERLINK("https://ec.europa.eu/info/funding-tenders/opportunities/portal/screen/opportunities/topic-details/horizon-cl2-2024-transformations-01-10", "HORIZON-CL2-2024-TRANSFORMATIONS-01-10")</f>
        <v>0</v>
      </c>
      <c r="Q111" t="s">
        <v>1084</v>
      </c>
    </row>
    <row r="112" spans="1:17">
      <c r="A112">
        <v>45703430</v>
      </c>
      <c r="B112">
        <v>2024</v>
      </c>
      <c r="C112" t="s">
        <v>17</v>
      </c>
      <c r="D112" t="s">
        <v>37</v>
      </c>
      <c r="E112" t="s">
        <v>59</v>
      </c>
      <c r="F112" t="s">
        <v>98</v>
      </c>
      <c r="G112" t="s">
        <v>248</v>
      </c>
      <c r="H112" t="s">
        <v>300</v>
      </c>
      <c r="I112" t="s">
        <v>371</v>
      </c>
      <c r="K112" t="s">
        <v>466</v>
      </c>
      <c r="L112" t="s">
        <v>469</v>
      </c>
      <c r="M112" t="s">
        <v>471</v>
      </c>
      <c r="N112" t="s">
        <v>499</v>
      </c>
      <c r="O112" t="s">
        <v>798</v>
      </c>
      <c r="P112" s="1">
        <f>HYPERLINK("https://ec.europa.eu/info/funding-tenders/opportunities/portal/screen/opportunities/topic-details/horizon-cl2-2024-transformations-01-11", "HORIZON-CL2-2024-TRANSFORMATIONS-01-11")</f>
        <v>0</v>
      </c>
      <c r="Q112" t="s">
        <v>1085</v>
      </c>
    </row>
    <row r="113" spans="1:17">
      <c r="A113">
        <v>43974989</v>
      </c>
      <c r="B113">
        <v>2021</v>
      </c>
      <c r="C113" t="s">
        <v>18</v>
      </c>
      <c r="D113" t="s">
        <v>38</v>
      </c>
      <c r="E113" t="s">
        <v>60</v>
      </c>
      <c r="F113" t="s">
        <v>102</v>
      </c>
      <c r="G113" t="s">
        <v>246</v>
      </c>
      <c r="H113" t="s">
        <v>302</v>
      </c>
      <c r="I113" t="s">
        <v>306</v>
      </c>
      <c r="K113" t="s">
        <v>466</v>
      </c>
      <c r="L113" t="s">
        <v>469</v>
      </c>
      <c r="M113" t="s">
        <v>473</v>
      </c>
      <c r="N113" t="s">
        <v>500</v>
      </c>
      <c r="O113" t="s">
        <v>806</v>
      </c>
      <c r="P113" s="1">
        <f>HYPERLINK("https://ec.europa.eu/info/funding-tenders/opportunities/portal/screen/opportunities/topic-details/horizon-cl3-2021-bm-01-01", "HORIZON-CL3-2021-BM-01-01")</f>
        <v>0</v>
      </c>
      <c r="Q113" t="s">
        <v>1086</v>
      </c>
    </row>
    <row r="114" spans="1:17">
      <c r="A114">
        <v>43975022</v>
      </c>
      <c r="B114">
        <v>2021</v>
      </c>
      <c r="C114" t="s">
        <v>18</v>
      </c>
      <c r="D114" t="s">
        <v>38</v>
      </c>
      <c r="E114" t="s">
        <v>60</v>
      </c>
      <c r="F114" t="s">
        <v>102</v>
      </c>
      <c r="G114" t="s">
        <v>246</v>
      </c>
      <c r="H114" t="s">
        <v>302</v>
      </c>
      <c r="I114" t="s">
        <v>306</v>
      </c>
      <c r="K114" t="s">
        <v>466</v>
      </c>
      <c r="L114" t="s">
        <v>469</v>
      </c>
      <c r="M114" t="s">
        <v>472</v>
      </c>
      <c r="N114" t="s">
        <v>500</v>
      </c>
      <c r="O114" t="s">
        <v>806</v>
      </c>
      <c r="P114" s="1">
        <f>HYPERLINK("https://ec.europa.eu/info/funding-tenders/opportunities/portal/screen/opportunities/topic-details/horizon-cl3-2021-bm-01-02", "HORIZON-CL3-2021-BM-01-02")</f>
        <v>0</v>
      </c>
      <c r="Q114" t="s">
        <v>1087</v>
      </c>
    </row>
    <row r="115" spans="1:17">
      <c r="A115">
        <v>43975049</v>
      </c>
      <c r="B115">
        <v>2021</v>
      </c>
      <c r="C115" t="s">
        <v>18</v>
      </c>
      <c r="D115" t="s">
        <v>38</v>
      </c>
      <c r="E115" t="s">
        <v>60</v>
      </c>
      <c r="F115" t="s">
        <v>102</v>
      </c>
      <c r="G115" t="s">
        <v>246</v>
      </c>
      <c r="H115" t="s">
        <v>302</v>
      </c>
      <c r="I115" t="s">
        <v>306</v>
      </c>
      <c r="K115" t="s">
        <v>466</v>
      </c>
      <c r="L115" t="s">
        <v>469</v>
      </c>
      <c r="M115" t="s">
        <v>473</v>
      </c>
      <c r="N115" t="s">
        <v>500</v>
      </c>
      <c r="O115" t="s">
        <v>806</v>
      </c>
      <c r="P115" s="1">
        <f>HYPERLINK("https://ec.europa.eu/info/funding-tenders/opportunities/portal/screen/opportunities/topic-details/horizon-cl3-2021-bm-01-03", "HORIZON-CL3-2021-BM-01-03")</f>
        <v>0</v>
      </c>
      <c r="Q115" t="s">
        <v>1088</v>
      </c>
    </row>
    <row r="116" spans="1:17">
      <c r="A116">
        <v>43975083</v>
      </c>
      <c r="B116">
        <v>2021</v>
      </c>
      <c r="C116" t="s">
        <v>18</v>
      </c>
      <c r="D116" t="s">
        <v>38</v>
      </c>
      <c r="E116" t="s">
        <v>60</v>
      </c>
      <c r="F116" t="s">
        <v>102</v>
      </c>
      <c r="G116" t="s">
        <v>246</v>
      </c>
      <c r="H116" t="s">
        <v>302</v>
      </c>
      <c r="I116" t="s">
        <v>306</v>
      </c>
      <c r="K116" t="s">
        <v>466</v>
      </c>
      <c r="L116" t="s">
        <v>469</v>
      </c>
      <c r="M116" t="s">
        <v>471</v>
      </c>
      <c r="N116" t="s">
        <v>500</v>
      </c>
      <c r="O116" t="s">
        <v>806</v>
      </c>
      <c r="P116" s="1">
        <f>HYPERLINK("https://ec.europa.eu/info/funding-tenders/opportunities/portal/screen/opportunities/topic-details/horizon-cl3-2021-bm-01-04", "HORIZON-CL3-2021-BM-01-04")</f>
        <v>0</v>
      </c>
      <c r="Q116" t="s">
        <v>1089</v>
      </c>
    </row>
    <row r="117" spans="1:17">
      <c r="A117">
        <v>43975116</v>
      </c>
      <c r="B117">
        <v>2021</v>
      </c>
      <c r="C117" t="s">
        <v>18</v>
      </c>
      <c r="D117" t="s">
        <v>38</v>
      </c>
      <c r="E117" t="s">
        <v>60</v>
      </c>
      <c r="F117" t="s">
        <v>102</v>
      </c>
      <c r="G117" t="s">
        <v>246</v>
      </c>
      <c r="H117" t="s">
        <v>302</v>
      </c>
      <c r="I117" t="s">
        <v>306</v>
      </c>
      <c r="K117" t="s">
        <v>466</v>
      </c>
      <c r="L117" t="s">
        <v>469</v>
      </c>
      <c r="M117" t="s">
        <v>473</v>
      </c>
      <c r="N117" t="s">
        <v>500</v>
      </c>
      <c r="O117" t="s">
        <v>806</v>
      </c>
      <c r="P117" s="1">
        <f>HYPERLINK("https://ec.europa.eu/info/funding-tenders/opportunities/portal/screen/opportunities/topic-details/horizon-cl3-2021-bm-01-05", "HORIZON-CL3-2021-BM-01-05")</f>
        <v>0</v>
      </c>
      <c r="Q117" t="s">
        <v>1090</v>
      </c>
    </row>
    <row r="118" spans="1:17">
      <c r="A118">
        <v>44115898</v>
      </c>
      <c r="B118">
        <v>2021</v>
      </c>
      <c r="C118" t="s">
        <v>18</v>
      </c>
      <c r="D118" t="s">
        <v>38</v>
      </c>
      <c r="E118" t="s">
        <v>61</v>
      </c>
      <c r="F118" t="s">
        <v>103</v>
      </c>
      <c r="G118" t="s">
        <v>246</v>
      </c>
      <c r="H118" t="s">
        <v>302</v>
      </c>
      <c r="I118" t="s">
        <v>373</v>
      </c>
      <c r="K118" t="s">
        <v>466</v>
      </c>
      <c r="L118" t="s">
        <v>469</v>
      </c>
      <c r="M118" t="s">
        <v>471</v>
      </c>
      <c r="N118" t="s">
        <v>501</v>
      </c>
      <c r="O118" t="s">
        <v>807</v>
      </c>
      <c r="P118" s="1">
        <f>HYPERLINK("https://ec.europa.eu/info/funding-tenders/opportunities/portal/screen/opportunities/topic-details/horizon-cl3-2021-cs-01-01", "HORIZON-CL3-2021-CS-01-01")</f>
        <v>0</v>
      </c>
      <c r="Q118" t="s">
        <v>1091</v>
      </c>
    </row>
    <row r="119" spans="1:17">
      <c r="A119">
        <v>44114273</v>
      </c>
      <c r="B119">
        <v>2021</v>
      </c>
      <c r="C119" t="s">
        <v>18</v>
      </c>
      <c r="D119" t="s">
        <v>38</v>
      </c>
      <c r="E119" t="s">
        <v>61</v>
      </c>
      <c r="F119" t="s">
        <v>103</v>
      </c>
      <c r="G119" t="s">
        <v>246</v>
      </c>
      <c r="H119" t="s">
        <v>302</v>
      </c>
      <c r="I119" t="s">
        <v>373</v>
      </c>
      <c r="K119" t="s">
        <v>466</v>
      </c>
      <c r="L119" t="s">
        <v>469</v>
      </c>
      <c r="M119" t="s">
        <v>471</v>
      </c>
      <c r="N119" t="s">
        <v>501</v>
      </c>
      <c r="O119" t="s">
        <v>807</v>
      </c>
      <c r="P119" s="1">
        <f>HYPERLINK("https://ec.europa.eu/info/funding-tenders/opportunities/portal/screen/opportunities/topic-details/horizon-cl3-2021-cs-01-02", "HORIZON-CL3-2021-CS-01-02")</f>
        <v>0</v>
      </c>
      <c r="Q119" t="s">
        <v>1092</v>
      </c>
    </row>
    <row r="120" spans="1:17">
      <c r="A120">
        <v>44115632</v>
      </c>
      <c r="B120">
        <v>2021</v>
      </c>
      <c r="C120" t="s">
        <v>18</v>
      </c>
      <c r="D120" t="s">
        <v>38</v>
      </c>
      <c r="E120" t="s">
        <v>61</v>
      </c>
      <c r="F120" t="s">
        <v>103</v>
      </c>
      <c r="G120" t="s">
        <v>246</v>
      </c>
      <c r="H120" t="s">
        <v>302</v>
      </c>
      <c r="I120" t="s">
        <v>373</v>
      </c>
      <c r="K120" t="s">
        <v>466</v>
      </c>
      <c r="L120" t="s">
        <v>469</v>
      </c>
      <c r="M120" t="s">
        <v>471</v>
      </c>
      <c r="N120" t="s">
        <v>501</v>
      </c>
      <c r="O120" t="s">
        <v>807</v>
      </c>
      <c r="P120" s="1">
        <f>HYPERLINK("https://ec.europa.eu/info/funding-tenders/opportunities/portal/screen/opportunities/topic-details/horizon-cl3-2021-cs-01-03", "HORIZON-CL3-2021-CS-01-03")</f>
        <v>0</v>
      </c>
      <c r="Q120" t="s">
        <v>1093</v>
      </c>
    </row>
    <row r="121" spans="1:17">
      <c r="A121">
        <v>44115652</v>
      </c>
      <c r="B121">
        <v>2021</v>
      </c>
      <c r="C121" t="s">
        <v>18</v>
      </c>
      <c r="D121" t="s">
        <v>38</v>
      </c>
      <c r="E121" t="s">
        <v>61</v>
      </c>
      <c r="F121" t="s">
        <v>103</v>
      </c>
      <c r="G121" t="s">
        <v>246</v>
      </c>
      <c r="H121" t="s">
        <v>302</v>
      </c>
      <c r="I121" t="s">
        <v>373</v>
      </c>
      <c r="K121" t="s">
        <v>466</v>
      </c>
      <c r="L121" t="s">
        <v>469</v>
      </c>
      <c r="M121" t="s">
        <v>471</v>
      </c>
      <c r="N121" t="s">
        <v>501</v>
      </c>
      <c r="O121" t="s">
        <v>807</v>
      </c>
      <c r="P121" s="1">
        <f>HYPERLINK("https://ec.europa.eu/info/funding-tenders/opportunities/portal/screen/opportunities/topic-details/horizon-cl3-2021-cs-01-04", "HORIZON-CL3-2021-CS-01-04")</f>
        <v>0</v>
      </c>
      <c r="Q121" t="s">
        <v>1094</v>
      </c>
    </row>
    <row r="122" spans="1:17">
      <c r="A122">
        <v>44115132</v>
      </c>
      <c r="B122">
        <v>2021</v>
      </c>
      <c r="C122" t="s">
        <v>18</v>
      </c>
      <c r="D122" t="s">
        <v>38</v>
      </c>
      <c r="E122" t="s">
        <v>62</v>
      </c>
      <c r="F122" t="s">
        <v>104</v>
      </c>
      <c r="G122" t="s">
        <v>246</v>
      </c>
      <c r="H122" t="s">
        <v>302</v>
      </c>
      <c r="I122" t="s">
        <v>306</v>
      </c>
      <c r="K122" t="s">
        <v>466</v>
      </c>
      <c r="L122" t="s">
        <v>469</v>
      </c>
      <c r="M122" t="s">
        <v>471</v>
      </c>
      <c r="N122" t="s">
        <v>502</v>
      </c>
      <c r="O122" t="s">
        <v>808</v>
      </c>
      <c r="P122" s="1">
        <f>HYPERLINK("https://ec.europa.eu/info/funding-tenders/opportunities/portal/screen/opportunities/topic-details/horizon-cl3-2021-drs-01-01", "HORIZON-CL3-2021-DRS-01-01")</f>
        <v>0</v>
      </c>
      <c r="Q122" t="s">
        <v>1095</v>
      </c>
    </row>
    <row r="123" spans="1:17">
      <c r="A123">
        <v>44115183</v>
      </c>
      <c r="B123">
        <v>2021</v>
      </c>
      <c r="C123" t="s">
        <v>18</v>
      </c>
      <c r="D123" t="s">
        <v>38</v>
      </c>
      <c r="E123" t="s">
        <v>62</v>
      </c>
      <c r="F123" t="s">
        <v>104</v>
      </c>
      <c r="G123" t="s">
        <v>246</v>
      </c>
      <c r="H123" t="s">
        <v>302</v>
      </c>
      <c r="I123" t="s">
        <v>306</v>
      </c>
      <c r="K123" t="s">
        <v>466</v>
      </c>
      <c r="L123" t="s">
        <v>469</v>
      </c>
      <c r="M123" t="s">
        <v>473</v>
      </c>
      <c r="N123" t="s">
        <v>502</v>
      </c>
      <c r="O123" t="s">
        <v>808</v>
      </c>
      <c r="P123" s="1">
        <f>HYPERLINK("https://ec.europa.eu/info/funding-tenders/opportunities/portal/screen/opportunities/topic-details/horizon-cl3-2021-drs-01-02", "HORIZON-CL3-2021-DRS-01-02")</f>
        <v>0</v>
      </c>
      <c r="Q123" t="s">
        <v>1096</v>
      </c>
    </row>
    <row r="124" spans="1:17">
      <c r="A124">
        <v>44115234</v>
      </c>
      <c r="B124">
        <v>2021</v>
      </c>
      <c r="C124" t="s">
        <v>18</v>
      </c>
      <c r="D124" t="s">
        <v>38</v>
      </c>
      <c r="E124" t="s">
        <v>62</v>
      </c>
      <c r="F124" t="s">
        <v>104</v>
      </c>
      <c r="G124" t="s">
        <v>246</v>
      </c>
      <c r="H124" t="s">
        <v>302</v>
      </c>
      <c r="I124" t="s">
        <v>306</v>
      </c>
      <c r="K124" t="s">
        <v>466</v>
      </c>
      <c r="L124" t="s">
        <v>469</v>
      </c>
      <c r="M124" t="s">
        <v>471</v>
      </c>
      <c r="N124" t="s">
        <v>502</v>
      </c>
      <c r="O124" t="s">
        <v>808</v>
      </c>
      <c r="P124" s="1">
        <f>HYPERLINK("https://ec.europa.eu/info/funding-tenders/opportunities/portal/screen/opportunities/topic-details/horizon-cl3-2021-drs-01-03", "HORIZON-CL3-2021-DRS-01-03")</f>
        <v>0</v>
      </c>
      <c r="Q124" t="s">
        <v>1097</v>
      </c>
    </row>
    <row r="125" spans="1:17">
      <c r="A125">
        <v>44115931</v>
      </c>
      <c r="B125">
        <v>2021</v>
      </c>
      <c r="C125" t="s">
        <v>18</v>
      </c>
      <c r="D125" t="s">
        <v>38</v>
      </c>
      <c r="E125" t="s">
        <v>62</v>
      </c>
      <c r="F125" t="s">
        <v>104</v>
      </c>
      <c r="G125" t="s">
        <v>246</v>
      </c>
      <c r="H125" t="s">
        <v>302</v>
      </c>
      <c r="I125" t="s">
        <v>306</v>
      </c>
      <c r="K125" t="s">
        <v>466</v>
      </c>
      <c r="L125" t="s">
        <v>469</v>
      </c>
      <c r="M125" t="s">
        <v>472</v>
      </c>
      <c r="N125" t="s">
        <v>502</v>
      </c>
      <c r="O125" t="s">
        <v>808</v>
      </c>
      <c r="P125" s="1">
        <f>HYPERLINK("https://ec.europa.eu/info/funding-tenders/opportunities/portal/screen/opportunities/topic-details/horizon-cl3-2021-drs-01-04", "HORIZON-CL3-2021-DRS-01-04")</f>
        <v>0</v>
      </c>
      <c r="Q125" t="s">
        <v>1098</v>
      </c>
    </row>
    <row r="126" spans="1:17">
      <c r="A126">
        <v>44115059</v>
      </c>
      <c r="B126">
        <v>2021</v>
      </c>
      <c r="C126" t="s">
        <v>18</v>
      </c>
      <c r="D126" t="s">
        <v>38</v>
      </c>
      <c r="E126" t="s">
        <v>62</v>
      </c>
      <c r="F126" t="s">
        <v>104</v>
      </c>
      <c r="G126" t="s">
        <v>246</v>
      </c>
      <c r="H126" t="s">
        <v>302</v>
      </c>
      <c r="I126" t="s">
        <v>306</v>
      </c>
      <c r="K126" t="s">
        <v>466</v>
      </c>
      <c r="L126" t="s">
        <v>469</v>
      </c>
      <c r="M126" t="s">
        <v>473</v>
      </c>
      <c r="N126" t="s">
        <v>502</v>
      </c>
      <c r="O126" t="s">
        <v>808</v>
      </c>
      <c r="P126" s="1">
        <f>HYPERLINK("https://ec.europa.eu/info/funding-tenders/opportunities/portal/screen/opportunities/topic-details/horizon-cl3-2021-drs-01-05", "HORIZON-CL3-2021-DRS-01-05")</f>
        <v>0</v>
      </c>
      <c r="Q126" t="s">
        <v>1099</v>
      </c>
    </row>
    <row r="127" spans="1:17">
      <c r="A127">
        <v>44114764</v>
      </c>
      <c r="B127">
        <v>2021</v>
      </c>
      <c r="C127" t="s">
        <v>18</v>
      </c>
      <c r="D127" t="s">
        <v>38</v>
      </c>
      <c r="E127" t="s">
        <v>60</v>
      </c>
      <c r="F127" t="s">
        <v>105</v>
      </c>
      <c r="G127" t="s">
        <v>246</v>
      </c>
      <c r="H127" t="s">
        <v>302</v>
      </c>
      <c r="I127" t="s">
        <v>306</v>
      </c>
      <c r="K127" t="s">
        <v>466</v>
      </c>
      <c r="L127" t="s">
        <v>469</v>
      </c>
      <c r="M127" t="s">
        <v>473</v>
      </c>
      <c r="N127" t="s">
        <v>503</v>
      </c>
      <c r="O127" t="s">
        <v>809</v>
      </c>
      <c r="P127" s="1">
        <f>HYPERLINK("https://ec.europa.eu/info/funding-tenders/opportunities/portal/screen/opportunities/topic-details/horizon-cl3-2021-fct-01-01", "HORIZON-CL3-2021-FCT-01-01")</f>
        <v>0</v>
      </c>
      <c r="Q127" t="s">
        <v>1100</v>
      </c>
    </row>
    <row r="128" spans="1:17">
      <c r="A128">
        <v>44114692</v>
      </c>
      <c r="B128">
        <v>2021</v>
      </c>
      <c r="C128" t="s">
        <v>18</v>
      </c>
      <c r="D128" t="s">
        <v>38</v>
      </c>
      <c r="E128" t="s">
        <v>60</v>
      </c>
      <c r="F128" t="s">
        <v>105</v>
      </c>
      <c r="G128" t="s">
        <v>246</v>
      </c>
      <c r="H128" t="s">
        <v>302</v>
      </c>
      <c r="I128" t="s">
        <v>306</v>
      </c>
      <c r="K128" t="s">
        <v>466</v>
      </c>
      <c r="L128" t="s">
        <v>469</v>
      </c>
      <c r="M128" t="s">
        <v>471</v>
      </c>
      <c r="N128" t="s">
        <v>503</v>
      </c>
      <c r="O128" t="s">
        <v>809</v>
      </c>
      <c r="P128" s="1">
        <f>HYPERLINK("https://ec.europa.eu/info/funding-tenders/opportunities/portal/screen/opportunities/topic-details/horizon-cl3-2021-fct-01-02", "HORIZON-CL3-2021-FCT-01-02")</f>
        <v>0</v>
      </c>
      <c r="Q128" t="s">
        <v>1101</v>
      </c>
    </row>
    <row r="129" spans="1:17">
      <c r="A129">
        <v>44116007</v>
      </c>
      <c r="B129">
        <v>2021</v>
      </c>
      <c r="C129" t="s">
        <v>18</v>
      </c>
      <c r="D129" t="s">
        <v>38</v>
      </c>
      <c r="E129" t="s">
        <v>60</v>
      </c>
      <c r="F129" t="s">
        <v>105</v>
      </c>
      <c r="G129" t="s">
        <v>246</v>
      </c>
      <c r="H129" t="s">
        <v>302</v>
      </c>
      <c r="I129" t="s">
        <v>306</v>
      </c>
      <c r="K129" t="s">
        <v>466</v>
      </c>
      <c r="L129" t="s">
        <v>469</v>
      </c>
      <c r="M129" t="s">
        <v>473</v>
      </c>
      <c r="N129" t="s">
        <v>503</v>
      </c>
      <c r="O129" t="s">
        <v>809</v>
      </c>
      <c r="P129" s="1">
        <f>HYPERLINK("https://ec.europa.eu/info/funding-tenders/opportunities/portal/screen/opportunities/topic-details/horizon-cl3-2021-fct-01-03", "HORIZON-CL3-2021-FCT-01-03")</f>
        <v>0</v>
      </c>
      <c r="Q129" t="s">
        <v>1102</v>
      </c>
    </row>
    <row r="130" spans="1:17">
      <c r="A130">
        <v>44115316</v>
      </c>
      <c r="B130">
        <v>2021</v>
      </c>
      <c r="C130" t="s">
        <v>18</v>
      </c>
      <c r="D130" t="s">
        <v>38</v>
      </c>
      <c r="E130" t="s">
        <v>60</v>
      </c>
      <c r="F130" t="s">
        <v>105</v>
      </c>
      <c r="G130" t="s">
        <v>246</v>
      </c>
      <c r="H130" t="s">
        <v>302</v>
      </c>
      <c r="I130" t="s">
        <v>306</v>
      </c>
      <c r="K130" t="s">
        <v>466</v>
      </c>
      <c r="L130" t="s">
        <v>469</v>
      </c>
      <c r="M130" t="s">
        <v>473</v>
      </c>
      <c r="N130" t="s">
        <v>503</v>
      </c>
      <c r="O130" t="s">
        <v>809</v>
      </c>
      <c r="P130" s="1">
        <f>HYPERLINK("https://ec.europa.eu/info/funding-tenders/opportunities/portal/screen/opportunities/topic-details/horizon-cl3-2021-fct-01-04", "HORIZON-CL3-2021-FCT-01-04")</f>
        <v>0</v>
      </c>
      <c r="Q130" t="s">
        <v>1103</v>
      </c>
    </row>
    <row r="131" spans="1:17">
      <c r="A131">
        <v>44114057</v>
      </c>
      <c r="B131">
        <v>2021</v>
      </c>
      <c r="C131" t="s">
        <v>18</v>
      </c>
      <c r="D131" t="s">
        <v>38</v>
      </c>
      <c r="E131" t="s">
        <v>60</v>
      </c>
      <c r="F131" t="s">
        <v>105</v>
      </c>
      <c r="G131" t="s">
        <v>246</v>
      </c>
      <c r="H131" t="s">
        <v>302</v>
      </c>
      <c r="I131" t="s">
        <v>306</v>
      </c>
      <c r="K131" t="s">
        <v>466</v>
      </c>
      <c r="L131" t="s">
        <v>469</v>
      </c>
      <c r="M131" t="s">
        <v>473</v>
      </c>
      <c r="N131" t="s">
        <v>503</v>
      </c>
      <c r="O131" t="s">
        <v>809</v>
      </c>
      <c r="P131" s="1">
        <f>HYPERLINK("https://ec.europa.eu/info/funding-tenders/opportunities/portal/screen/opportunities/topic-details/horizon-cl3-2021-fct-01-05", "HORIZON-CL3-2021-FCT-01-05")</f>
        <v>0</v>
      </c>
      <c r="Q131" t="s">
        <v>1104</v>
      </c>
    </row>
    <row r="132" spans="1:17">
      <c r="A132">
        <v>44114407</v>
      </c>
      <c r="B132">
        <v>2021</v>
      </c>
      <c r="C132" t="s">
        <v>18</v>
      </c>
      <c r="D132" t="s">
        <v>38</v>
      </c>
      <c r="E132" t="s">
        <v>60</v>
      </c>
      <c r="F132" t="s">
        <v>105</v>
      </c>
      <c r="G132" t="s">
        <v>246</v>
      </c>
      <c r="H132" t="s">
        <v>302</v>
      </c>
      <c r="I132" t="s">
        <v>306</v>
      </c>
      <c r="K132" t="s">
        <v>466</v>
      </c>
      <c r="L132" t="s">
        <v>469</v>
      </c>
      <c r="M132" t="s">
        <v>473</v>
      </c>
      <c r="N132" t="s">
        <v>503</v>
      </c>
      <c r="O132" t="s">
        <v>809</v>
      </c>
      <c r="P132" s="1">
        <f>HYPERLINK("https://ec.europa.eu/info/funding-tenders/opportunities/portal/screen/opportunities/topic-details/horizon-cl3-2021-fct-01-06", "HORIZON-CL3-2021-FCT-01-06")</f>
        <v>0</v>
      </c>
      <c r="Q132" t="s">
        <v>1105</v>
      </c>
    </row>
    <row r="133" spans="1:17">
      <c r="A133">
        <v>44115278</v>
      </c>
      <c r="B133">
        <v>2021</v>
      </c>
      <c r="C133" t="s">
        <v>18</v>
      </c>
      <c r="D133" t="s">
        <v>38</v>
      </c>
      <c r="E133" t="s">
        <v>60</v>
      </c>
      <c r="F133" t="s">
        <v>105</v>
      </c>
      <c r="G133" t="s">
        <v>246</v>
      </c>
      <c r="H133" t="s">
        <v>302</v>
      </c>
      <c r="I133" t="s">
        <v>306</v>
      </c>
      <c r="K133" t="s">
        <v>466</v>
      </c>
      <c r="L133" t="s">
        <v>469</v>
      </c>
      <c r="M133" t="s">
        <v>473</v>
      </c>
      <c r="N133" t="s">
        <v>503</v>
      </c>
      <c r="O133" t="s">
        <v>809</v>
      </c>
      <c r="P133" s="1">
        <f>HYPERLINK("https://ec.europa.eu/info/funding-tenders/opportunities/portal/screen/opportunities/topic-details/horizon-cl3-2021-fct-01-07", "HORIZON-CL3-2021-FCT-01-07")</f>
        <v>0</v>
      </c>
      <c r="Q133" t="s">
        <v>1106</v>
      </c>
    </row>
    <row r="134" spans="1:17">
      <c r="A134">
        <v>44115350</v>
      </c>
      <c r="B134">
        <v>2021</v>
      </c>
      <c r="C134" t="s">
        <v>18</v>
      </c>
      <c r="D134" t="s">
        <v>38</v>
      </c>
      <c r="E134" t="s">
        <v>60</v>
      </c>
      <c r="F134" t="s">
        <v>105</v>
      </c>
      <c r="G134" t="s">
        <v>246</v>
      </c>
      <c r="H134" t="s">
        <v>302</v>
      </c>
      <c r="I134" t="s">
        <v>306</v>
      </c>
      <c r="K134" t="s">
        <v>466</v>
      </c>
      <c r="L134" t="s">
        <v>469</v>
      </c>
      <c r="M134" t="s">
        <v>471</v>
      </c>
      <c r="N134" t="s">
        <v>503</v>
      </c>
      <c r="O134" t="s">
        <v>809</v>
      </c>
      <c r="P134" s="1">
        <f>HYPERLINK("https://ec.europa.eu/info/funding-tenders/opportunities/portal/screen/opportunities/topic-details/horizon-cl3-2021-fct-01-08", "HORIZON-CL3-2021-FCT-01-08")</f>
        <v>0</v>
      </c>
      <c r="Q134" t="s">
        <v>1107</v>
      </c>
    </row>
    <row r="135" spans="1:17">
      <c r="A135">
        <v>44115387</v>
      </c>
      <c r="B135">
        <v>2021</v>
      </c>
      <c r="C135" t="s">
        <v>18</v>
      </c>
      <c r="D135" t="s">
        <v>38</v>
      </c>
      <c r="E135" t="s">
        <v>60</v>
      </c>
      <c r="F135" t="s">
        <v>105</v>
      </c>
      <c r="G135" t="s">
        <v>246</v>
      </c>
      <c r="H135" t="s">
        <v>302</v>
      </c>
      <c r="I135" t="s">
        <v>306</v>
      </c>
      <c r="K135" t="s">
        <v>466</v>
      </c>
      <c r="L135" t="s">
        <v>469</v>
      </c>
      <c r="M135" t="s">
        <v>473</v>
      </c>
      <c r="N135" t="s">
        <v>503</v>
      </c>
      <c r="O135" t="s">
        <v>809</v>
      </c>
      <c r="P135" s="1">
        <f>HYPERLINK("https://ec.europa.eu/info/funding-tenders/opportunities/portal/screen/opportunities/topic-details/horizon-cl3-2021-fct-01-09", "HORIZON-CL3-2021-FCT-01-09")</f>
        <v>0</v>
      </c>
      <c r="Q135" t="s">
        <v>1108</v>
      </c>
    </row>
    <row r="136" spans="1:17">
      <c r="A136">
        <v>44116042</v>
      </c>
      <c r="B136">
        <v>2021</v>
      </c>
      <c r="C136" t="s">
        <v>18</v>
      </c>
      <c r="D136" t="s">
        <v>38</v>
      </c>
      <c r="E136" t="s">
        <v>60</v>
      </c>
      <c r="F136" t="s">
        <v>105</v>
      </c>
      <c r="G136" t="s">
        <v>246</v>
      </c>
      <c r="H136" t="s">
        <v>302</v>
      </c>
      <c r="I136" t="s">
        <v>306</v>
      </c>
      <c r="K136" t="s">
        <v>466</v>
      </c>
      <c r="L136" t="s">
        <v>469</v>
      </c>
      <c r="M136" t="s">
        <v>473</v>
      </c>
      <c r="N136" t="s">
        <v>503</v>
      </c>
      <c r="O136" t="s">
        <v>809</v>
      </c>
      <c r="P136" s="1">
        <f>HYPERLINK("https://ec.europa.eu/info/funding-tenders/opportunities/portal/screen/opportunities/topic-details/horizon-cl3-2021-fct-01-10", "HORIZON-CL3-2021-FCT-01-10")</f>
        <v>0</v>
      </c>
      <c r="Q136" t="s">
        <v>1109</v>
      </c>
    </row>
    <row r="137" spans="1:17">
      <c r="A137">
        <v>44114445</v>
      </c>
      <c r="B137">
        <v>2021</v>
      </c>
      <c r="C137" t="s">
        <v>18</v>
      </c>
      <c r="D137" t="s">
        <v>38</v>
      </c>
      <c r="E137" t="s">
        <v>60</v>
      </c>
      <c r="F137" t="s">
        <v>105</v>
      </c>
      <c r="G137" t="s">
        <v>246</v>
      </c>
      <c r="H137" t="s">
        <v>302</v>
      </c>
      <c r="I137" t="s">
        <v>306</v>
      </c>
      <c r="K137" t="s">
        <v>466</v>
      </c>
      <c r="L137" t="s">
        <v>469</v>
      </c>
      <c r="M137" t="s">
        <v>471</v>
      </c>
      <c r="N137" t="s">
        <v>503</v>
      </c>
      <c r="O137" t="s">
        <v>809</v>
      </c>
      <c r="P137" s="1">
        <f>HYPERLINK("https://ec.europa.eu/info/funding-tenders/opportunities/portal/screen/opportunities/topic-details/horizon-cl3-2021-fct-01-11", "HORIZON-CL3-2021-FCT-01-11")</f>
        <v>0</v>
      </c>
      <c r="Q137" t="s">
        <v>1110</v>
      </c>
    </row>
    <row r="138" spans="1:17">
      <c r="A138">
        <v>44114485</v>
      </c>
      <c r="B138">
        <v>2021</v>
      </c>
      <c r="C138" t="s">
        <v>18</v>
      </c>
      <c r="D138" t="s">
        <v>38</v>
      </c>
      <c r="E138" t="s">
        <v>60</v>
      </c>
      <c r="F138" t="s">
        <v>105</v>
      </c>
      <c r="G138" t="s">
        <v>246</v>
      </c>
      <c r="H138" t="s">
        <v>302</v>
      </c>
      <c r="I138" t="s">
        <v>306</v>
      </c>
      <c r="K138" t="s">
        <v>466</v>
      </c>
      <c r="L138" t="s">
        <v>469</v>
      </c>
      <c r="M138" t="s">
        <v>471</v>
      </c>
      <c r="N138" t="s">
        <v>503</v>
      </c>
      <c r="O138" t="s">
        <v>809</v>
      </c>
      <c r="P138" s="1">
        <f>HYPERLINK("https://ec.europa.eu/info/funding-tenders/opportunities/portal/screen/opportunities/topic-details/horizon-cl3-2021-fct-01-12", "HORIZON-CL3-2021-FCT-01-12")</f>
        <v>0</v>
      </c>
      <c r="Q138" t="s">
        <v>1111</v>
      </c>
    </row>
    <row r="139" spans="1:17">
      <c r="A139">
        <v>44086740</v>
      </c>
      <c r="B139">
        <v>2021</v>
      </c>
      <c r="C139" t="s">
        <v>18</v>
      </c>
      <c r="D139" t="s">
        <v>38</v>
      </c>
      <c r="E139" t="s">
        <v>60</v>
      </c>
      <c r="F139" t="s">
        <v>106</v>
      </c>
      <c r="G139" t="s">
        <v>247</v>
      </c>
      <c r="H139" t="s">
        <v>302</v>
      </c>
      <c r="I139" t="s">
        <v>306</v>
      </c>
      <c r="K139" t="s">
        <v>466</v>
      </c>
      <c r="L139" t="s">
        <v>469</v>
      </c>
      <c r="M139" t="s">
        <v>473</v>
      </c>
      <c r="N139" t="s">
        <v>504</v>
      </c>
      <c r="O139" t="s">
        <v>810</v>
      </c>
      <c r="P139" s="1">
        <f>HYPERLINK("https://ec.europa.eu/info/funding-tenders/opportunities/portal/screen/opportunities/topic-details/horizon-cl3-2021-infra-01-01", "HORIZON-CL3-2021-INFRA-01-01")</f>
        <v>0</v>
      </c>
      <c r="Q139" t="s">
        <v>1112</v>
      </c>
    </row>
    <row r="140" spans="1:17">
      <c r="A140">
        <v>44086706</v>
      </c>
      <c r="B140">
        <v>2021</v>
      </c>
      <c r="C140" t="s">
        <v>18</v>
      </c>
      <c r="D140" t="s">
        <v>38</v>
      </c>
      <c r="E140" t="s">
        <v>60</v>
      </c>
      <c r="F140" t="s">
        <v>106</v>
      </c>
      <c r="G140" t="s">
        <v>247</v>
      </c>
      <c r="H140" t="s">
        <v>302</v>
      </c>
      <c r="I140" t="s">
        <v>306</v>
      </c>
      <c r="K140" t="s">
        <v>466</v>
      </c>
      <c r="L140" t="s">
        <v>469</v>
      </c>
      <c r="M140" t="s">
        <v>473</v>
      </c>
      <c r="N140" t="s">
        <v>504</v>
      </c>
      <c r="O140" t="s">
        <v>810</v>
      </c>
      <c r="P140" s="1">
        <f>HYPERLINK("https://ec.europa.eu/info/funding-tenders/opportunities/portal/screen/opportunities/topic-details/horizon-cl3-2021-infra-01-02", "HORIZON-CL3-2021-INFRA-01-02")</f>
        <v>0</v>
      </c>
      <c r="Q140" t="s">
        <v>1113</v>
      </c>
    </row>
    <row r="141" spans="1:17">
      <c r="A141">
        <v>44115503</v>
      </c>
      <c r="B141">
        <v>2021</v>
      </c>
      <c r="C141" t="s">
        <v>18</v>
      </c>
      <c r="D141" t="s">
        <v>38</v>
      </c>
      <c r="E141" t="s">
        <v>62</v>
      </c>
      <c r="F141" t="s">
        <v>107</v>
      </c>
      <c r="G141" t="s">
        <v>246</v>
      </c>
      <c r="H141" t="s">
        <v>302</v>
      </c>
      <c r="I141" t="s">
        <v>306</v>
      </c>
      <c r="K141" t="s">
        <v>466</v>
      </c>
      <c r="L141" t="s">
        <v>469</v>
      </c>
      <c r="M141" t="s">
        <v>471</v>
      </c>
      <c r="N141" t="s">
        <v>505</v>
      </c>
      <c r="O141" t="s">
        <v>811</v>
      </c>
      <c r="P141" s="1">
        <f>HYPERLINK("https://ec.europa.eu/info/funding-tenders/opportunities/portal/screen/opportunities/topic-details/horizon-cl3-2021-ssri-01-01", "HORIZON-CL3-2021-SSRI-01-01")</f>
        <v>0</v>
      </c>
      <c r="Q141" t="s">
        <v>1114</v>
      </c>
    </row>
    <row r="142" spans="1:17">
      <c r="A142">
        <v>44115820</v>
      </c>
      <c r="B142">
        <v>2021</v>
      </c>
      <c r="C142" t="s">
        <v>18</v>
      </c>
      <c r="D142" t="s">
        <v>38</v>
      </c>
      <c r="E142" t="s">
        <v>62</v>
      </c>
      <c r="F142" t="s">
        <v>107</v>
      </c>
      <c r="G142" t="s">
        <v>246</v>
      </c>
      <c r="H142" t="s">
        <v>302</v>
      </c>
      <c r="I142" t="s">
        <v>306</v>
      </c>
      <c r="K142" t="s">
        <v>466</v>
      </c>
      <c r="L142" t="s">
        <v>469</v>
      </c>
      <c r="M142" t="s">
        <v>472</v>
      </c>
      <c r="N142" t="s">
        <v>505</v>
      </c>
      <c r="O142" t="s">
        <v>811</v>
      </c>
      <c r="P142" s="1">
        <f>HYPERLINK("https://ec.europa.eu/info/funding-tenders/opportunities/portal/screen/opportunities/topic-details/horizon-cl3-2021-ssri-01-02", "HORIZON-CL3-2021-SSRI-01-02")</f>
        <v>0</v>
      </c>
      <c r="Q142" t="s">
        <v>1115</v>
      </c>
    </row>
    <row r="143" spans="1:17">
      <c r="A143">
        <v>44115870</v>
      </c>
      <c r="B143">
        <v>2021</v>
      </c>
      <c r="C143" t="s">
        <v>18</v>
      </c>
      <c r="D143" t="s">
        <v>38</v>
      </c>
      <c r="E143" t="s">
        <v>62</v>
      </c>
      <c r="F143" t="s">
        <v>107</v>
      </c>
      <c r="G143" t="s">
        <v>246</v>
      </c>
      <c r="H143" t="s">
        <v>302</v>
      </c>
      <c r="I143" t="s">
        <v>306</v>
      </c>
      <c r="K143" t="s">
        <v>466</v>
      </c>
      <c r="L143" t="s">
        <v>469</v>
      </c>
      <c r="M143" t="s">
        <v>472</v>
      </c>
      <c r="N143" t="s">
        <v>505</v>
      </c>
      <c r="O143" t="s">
        <v>811</v>
      </c>
      <c r="P143" s="1">
        <f>HYPERLINK("https://ec.europa.eu/info/funding-tenders/opportunities/portal/screen/opportunities/topic-details/horizon-cl3-2021-ssri-01-03", "HORIZON-CL3-2021-SSRI-01-03")</f>
        <v>0</v>
      </c>
      <c r="Q143" t="s">
        <v>1116</v>
      </c>
    </row>
    <row r="144" spans="1:17">
      <c r="A144">
        <v>44115538</v>
      </c>
      <c r="B144">
        <v>2021</v>
      </c>
      <c r="C144" t="s">
        <v>18</v>
      </c>
      <c r="D144" t="s">
        <v>38</v>
      </c>
      <c r="E144" t="s">
        <v>62</v>
      </c>
      <c r="F144" t="s">
        <v>107</v>
      </c>
      <c r="G144" t="s">
        <v>246</v>
      </c>
      <c r="H144" t="s">
        <v>302</v>
      </c>
      <c r="I144" t="s">
        <v>306</v>
      </c>
      <c r="K144" t="s">
        <v>466</v>
      </c>
      <c r="L144" t="s">
        <v>469</v>
      </c>
      <c r="M144" t="s">
        <v>474</v>
      </c>
      <c r="N144" t="s">
        <v>505</v>
      </c>
      <c r="O144" t="s">
        <v>811</v>
      </c>
      <c r="P144" s="1">
        <f>HYPERLINK("https://ec.europa.eu/info/funding-tenders/opportunities/portal/screen/opportunities/topic-details/horizon-cl3-2021-ssri-01-04", "HORIZON-CL3-2021-SSRI-01-04")</f>
        <v>0</v>
      </c>
      <c r="Q144" t="s">
        <v>1117</v>
      </c>
    </row>
    <row r="145" spans="1:17">
      <c r="A145">
        <v>44114369</v>
      </c>
      <c r="B145">
        <v>2021</v>
      </c>
      <c r="C145" t="s">
        <v>18</v>
      </c>
      <c r="D145" t="s">
        <v>38</v>
      </c>
      <c r="E145" t="s">
        <v>62</v>
      </c>
      <c r="F145" t="s">
        <v>107</v>
      </c>
      <c r="G145" t="s">
        <v>246</v>
      </c>
      <c r="H145" t="s">
        <v>302</v>
      </c>
      <c r="I145" t="s">
        <v>306</v>
      </c>
      <c r="K145" t="s">
        <v>466</v>
      </c>
      <c r="L145" t="s">
        <v>469</v>
      </c>
      <c r="M145" t="s">
        <v>471</v>
      </c>
      <c r="N145" t="s">
        <v>505</v>
      </c>
      <c r="O145" t="s">
        <v>811</v>
      </c>
      <c r="P145" s="1">
        <f>HYPERLINK("https://ec.europa.eu/info/funding-tenders/opportunities/portal/screen/opportunities/topic-details/horizon-cl3-2021-ssri-01-05", "HORIZON-CL3-2021-SSRI-01-05")</f>
        <v>0</v>
      </c>
      <c r="Q145" t="s">
        <v>1118</v>
      </c>
    </row>
    <row r="146" spans="1:17">
      <c r="A146">
        <v>44115432</v>
      </c>
      <c r="B146">
        <v>2022</v>
      </c>
      <c r="C146" t="s">
        <v>18</v>
      </c>
      <c r="D146" t="s">
        <v>38</v>
      </c>
      <c r="E146" t="s">
        <v>60</v>
      </c>
      <c r="F146" t="s">
        <v>102</v>
      </c>
      <c r="G146" t="s">
        <v>247</v>
      </c>
      <c r="H146" t="s">
        <v>267</v>
      </c>
      <c r="I146" t="s">
        <v>374</v>
      </c>
      <c r="K146" t="s">
        <v>466</v>
      </c>
      <c r="L146" t="s">
        <v>469</v>
      </c>
      <c r="M146" t="s">
        <v>471</v>
      </c>
      <c r="N146" t="s">
        <v>506</v>
      </c>
      <c r="O146" t="s">
        <v>812</v>
      </c>
      <c r="P146" s="1">
        <f>HYPERLINK("https://ec.europa.eu/info/funding-tenders/opportunities/portal/screen/opportunities/topic-details/horizon-cl3-2022-bm-01-01", "HORIZON-CL3-2022-BM-01-01")</f>
        <v>0</v>
      </c>
      <c r="Q146" t="s">
        <v>1119</v>
      </c>
    </row>
    <row r="147" spans="1:17">
      <c r="A147">
        <v>44114122</v>
      </c>
      <c r="B147">
        <v>2022</v>
      </c>
      <c r="C147" t="s">
        <v>18</v>
      </c>
      <c r="D147" t="s">
        <v>38</v>
      </c>
      <c r="E147" t="s">
        <v>60</v>
      </c>
      <c r="F147" t="s">
        <v>102</v>
      </c>
      <c r="G147" t="s">
        <v>247</v>
      </c>
      <c r="H147" t="s">
        <v>267</v>
      </c>
      <c r="I147" t="s">
        <v>374</v>
      </c>
      <c r="K147" t="s">
        <v>466</v>
      </c>
      <c r="L147" t="s">
        <v>469</v>
      </c>
      <c r="M147" t="s">
        <v>473</v>
      </c>
      <c r="N147" t="s">
        <v>506</v>
      </c>
      <c r="O147" t="s">
        <v>812</v>
      </c>
      <c r="P147" s="1">
        <f>HYPERLINK("https://ec.europa.eu/info/funding-tenders/opportunities/portal/screen/opportunities/topic-details/horizon-cl3-2022-bm-01-02", "HORIZON-CL3-2022-BM-01-02")</f>
        <v>0</v>
      </c>
      <c r="Q147" t="s">
        <v>1120</v>
      </c>
    </row>
    <row r="148" spans="1:17">
      <c r="A148">
        <v>44115473</v>
      </c>
      <c r="B148">
        <v>2022</v>
      </c>
      <c r="C148" t="s">
        <v>18</v>
      </c>
      <c r="D148" t="s">
        <v>38</v>
      </c>
      <c r="E148" t="s">
        <v>60</v>
      </c>
      <c r="F148" t="s">
        <v>102</v>
      </c>
      <c r="G148" t="s">
        <v>247</v>
      </c>
      <c r="H148" t="s">
        <v>267</v>
      </c>
      <c r="I148" t="s">
        <v>374</v>
      </c>
      <c r="K148" t="s">
        <v>466</v>
      </c>
      <c r="L148" t="s">
        <v>469</v>
      </c>
      <c r="M148" t="s">
        <v>473</v>
      </c>
      <c r="N148" t="s">
        <v>506</v>
      </c>
      <c r="O148" t="s">
        <v>812</v>
      </c>
      <c r="P148" s="1">
        <f>HYPERLINK("https://ec.europa.eu/info/funding-tenders/opportunities/portal/screen/opportunities/topic-details/horizon-cl3-2022-bm-01-03", "HORIZON-CL3-2022-BM-01-03")</f>
        <v>0</v>
      </c>
      <c r="Q148" t="s">
        <v>1121</v>
      </c>
    </row>
    <row r="149" spans="1:17">
      <c r="A149">
        <v>44114724</v>
      </c>
      <c r="B149">
        <v>2022</v>
      </c>
      <c r="C149" t="s">
        <v>18</v>
      </c>
      <c r="D149" t="s">
        <v>38</v>
      </c>
      <c r="E149" t="s">
        <v>60</v>
      </c>
      <c r="F149" t="s">
        <v>102</v>
      </c>
      <c r="G149" t="s">
        <v>247</v>
      </c>
      <c r="H149" t="s">
        <v>267</v>
      </c>
      <c r="I149" t="s">
        <v>374</v>
      </c>
      <c r="K149" t="s">
        <v>466</v>
      </c>
      <c r="L149" t="s">
        <v>469</v>
      </c>
      <c r="M149" t="s">
        <v>471</v>
      </c>
      <c r="N149" t="s">
        <v>506</v>
      </c>
      <c r="O149" t="s">
        <v>812</v>
      </c>
      <c r="P149" s="1">
        <f>HYPERLINK("https://ec.europa.eu/info/funding-tenders/opportunities/portal/screen/opportunities/topic-details/horizon-cl3-2022-bm-01-04", "HORIZON-CL3-2022-BM-01-04")</f>
        <v>0</v>
      </c>
      <c r="Q149" t="s">
        <v>1122</v>
      </c>
    </row>
    <row r="150" spans="1:17">
      <c r="A150">
        <v>44114744</v>
      </c>
      <c r="B150">
        <v>2022</v>
      </c>
      <c r="C150" t="s">
        <v>18</v>
      </c>
      <c r="D150" t="s">
        <v>38</v>
      </c>
      <c r="E150" t="s">
        <v>60</v>
      </c>
      <c r="F150" t="s">
        <v>102</v>
      </c>
      <c r="G150" t="s">
        <v>247</v>
      </c>
      <c r="H150" t="s">
        <v>267</v>
      </c>
      <c r="I150" t="s">
        <v>374</v>
      </c>
      <c r="K150" t="s">
        <v>466</v>
      </c>
      <c r="L150" t="s">
        <v>469</v>
      </c>
      <c r="M150" t="s">
        <v>473</v>
      </c>
      <c r="N150" t="s">
        <v>506</v>
      </c>
      <c r="O150" t="s">
        <v>812</v>
      </c>
      <c r="P150" s="1">
        <f>HYPERLINK("https://ec.europa.eu/info/funding-tenders/opportunities/portal/screen/opportunities/topic-details/horizon-cl3-2022-bm-01-05", "HORIZON-CL3-2022-BM-01-05")</f>
        <v>0</v>
      </c>
      <c r="Q150" t="s">
        <v>1122</v>
      </c>
    </row>
    <row r="151" spans="1:17">
      <c r="A151">
        <v>44114300</v>
      </c>
      <c r="B151">
        <v>2022</v>
      </c>
      <c r="C151" t="s">
        <v>18</v>
      </c>
      <c r="D151" t="s">
        <v>38</v>
      </c>
      <c r="E151" t="s">
        <v>61</v>
      </c>
      <c r="F151" t="s">
        <v>103</v>
      </c>
      <c r="G151" t="s">
        <v>246</v>
      </c>
      <c r="H151" t="s">
        <v>267</v>
      </c>
      <c r="I151" t="s">
        <v>375</v>
      </c>
      <c r="K151" t="s">
        <v>466</v>
      </c>
      <c r="L151" t="s">
        <v>469</v>
      </c>
      <c r="M151" t="s">
        <v>473</v>
      </c>
      <c r="N151" t="s">
        <v>507</v>
      </c>
      <c r="O151" t="s">
        <v>813</v>
      </c>
      <c r="P151" s="1">
        <f>HYPERLINK("https://ec.europa.eu/info/funding-tenders/opportunities/portal/screen/opportunities/topic-details/horizon-cl3-2022-cs-01-01", "HORIZON-CL3-2022-CS-01-01")</f>
        <v>0</v>
      </c>
      <c r="Q151" t="s">
        <v>1123</v>
      </c>
    </row>
    <row r="152" spans="1:17">
      <c r="A152">
        <v>44114323</v>
      </c>
      <c r="B152">
        <v>2022</v>
      </c>
      <c r="C152" t="s">
        <v>18</v>
      </c>
      <c r="D152" t="s">
        <v>38</v>
      </c>
      <c r="E152" t="s">
        <v>61</v>
      </c>
      <c r="F152" t="s">
        <v>103</v>
      </c>
      <c r="G152" t="s">
        <v>246</v>
      </c>
      <c r="H152" t="s">
        <v>267</v>
      </c>
      <c r="I152" t="s">
        <v>375</v>
      </c>
      <c r="K152" t="s">
        <v>466</v>
      </c>
      <c r="L152" t="s">
        <v>469</v>
      </c>
      <c r="M152" t="s">
        <v>471</v>
      </c>
      <c r="N152" t="s">
        <v>507</v>
      </c>
      <c r="O152" t="s">
        <v>813</v>
      </c>
      <c r="P152" s="1">
        <f>HYPERLINK("https://ec.europa.eu/info/funding-tenders/opportunities/portal/screen/opportunities/topic-details/horizon-cl3-2022-cs-01-02", "HORIZON-CL3-2022-CS-01-02")</f>
        <v>0</v>
      </c>
      <c r="Q152" t="s">
        <v>1124</v>
      </c>
    </row>
    <row r="153" spans="1:17">
      <c r="A153">
        <v>44114033</v>
      </c>
      <c r="B153">
        <v>2022</v>
      </c>
      <c r="C153" t="s">
        <v>18</v>
      </c>
      <c r="D153" t="s">
        <v>38</v>
      </c>
      <c r="E153" t="s">
        <v>61</v>
      </c>
      <c r="F153" t="s">
        <v>103</v>
      </c>
      <c r="G153" t="s">
        <v>246</v>
      </c>
      <c r="H153" t="s">
        <v>267</v>
      </c>
      <c r="I153" t="s">
        <v>375</v>
      </c>
      <c r="K153" t="s">
        <v>466</v>
      </c>
      <c r="L153" t="s">
        <v>469</v>
      </c>
      <c r="M153" t="s">
        <v>473</v>
      </c>
      <c r="N153" t="s">
        <v>507</v>
      </c>
      <c r="O153" t="s">
        <v>813</v>
      </c>
      <c r="P153" s="1">
        <f>HYPERLINK("https://ec.europa.eu/info/funding-tenders/opportunities/portal/screen/opportunities/topic-details/horizon-cl3-2022-cs-01-03", "HORIZON-CL3-2022-CS-01-03")</f>
        <v>0</v>
      </c>
      <c r="Q153" t="s">
        <v>1125</v>
      </c>
    </row>
    <row r="154" spans="1:17">
      <c r="A154">
        <v>44114344</v>
      </c>
      <c r="B154">
        <v>2022</v>
      </c>
      <c r="C154" t="s">
        <v>18</v>
      </c>
      <c r="D154" t="s">
        <v>38</v>
      </c>
      <c r="E154" t="s">
        <v>61</v>
      </c>
      <c r="F154" t="s">
        <v>103</v>
      </c>
      <c r="G154" t="s">
        <v>246</v>
      </c>
      <c r="H154" t="s">
        <v>267</v>
      </c>
      <c r="I154" t="s">
        <v>375</v>
      </c>
      <c r="K154" t="s">
        <v>466</v>
      </c>
      <c r="L154" t="s">
        <v>469</v>
      </c>
      <c r="M154" t="s">
        <v>473</v>
      </c>
      <c r="N154" t="s">
        <v>507</v>
      </c>
      <c r="O154" t="s">
        <v>813</v>
      </c>
      <c r="P154" s="1">
        <f>HYPERLINK("https://ec.europa.eu/info/funding-tenders/opportunities/portal/screen/opportunities/topic-details/horizon-cl3-2022-cs-01-04", "HORIZON-CL3-2022-CS-01-04")</f>
        <v>0</v>
      </c>
      <c r="Q154" t="s">
        <v>1126</v>
      </c>
    </row>
    <row r="155" spans="1:17">
      <c r="A155">
        <v>44115010</v>
      </c>
      <c r="B155">
        <v>2022</v>
      </c>
      <c r="C155" t="s">
        <v>18</v>
      </c>
      <c r="D155" t="s">
        <v>38</v>
      </c>
      <c r="E155" t="s">
        <v>62</v>
      </c>
      <c r="F155" t="s">
        <v>104</v>
      </c>
      <c r="G155" t="s">
        <v>247</v>
      </c>
      <c r="H155" t="s">
        <v>267</v>
      </c>
      <c r="I155" t="s">
        <v>374</v>
      </c>
      <c r="K155" t="s">
        <v>466</v>
      </c>
      <c r="L155" t="s">
        <v>469</v>
      </c>
      <c r="M155" t="s">
        <v>473</v>
      </c>
      <c r="N155" t="s">
        <v>508</v>
      </c>
      <c r="O155" t="s">
        <v>814</v>
      </c>
      <c r="P155" s="1">
        <f>HYPERLINK("https://ec.europa.eu/info/funding-tenders/opportunities/portal/screen/opportunities/topic-details/horizon-cl3-2022-drs-01-01", "HORIZON-CL3-2022-DRS-01-01")</f>
        <v>0</v>
      </c>
      <c r="Q155" t="s">
        <v>1127</v>
      </c>
    </row>
    <row r="156" spans="1:17">
      <c r="A156">
        <v>44115770</v>
      </c>
      <c r="B156">
        <v>2022</v>
      </c>
      <c r="C156" t="s">
        <v>18</v>
      </c>
      <c r="D156" t="s">
        <v>38</v>
      </c>
      <c r="E156" t="s">
        <v>62</v>
      </c>
      <c r="F156" t="s">
        <v>104</v>
      </c>
      <c r="G156" t="s">
        <v>247</v>
      </c>
      <c r="H156" t="s">
        <v>267</v>
      </c>
      <c r="I156" t="s">
        <v>374</v>
      </c>
      <c r="K156" t="s">
        <v>466</v>
      </c>
      <c r="L156" t="s">
        <v>469</v>
      </c>
      <c r="M156" t="s">
        <v>471</v>
      </c>
      <c r="N156" t="s">
        <v>508</v>
      </c>
      <c r="O156" t="s">
        <v>814</v>
      </c>
      <c r="P156" s="1">
        <f>HYPERLINK("https://ec.europa.eu/info/funding-tenders/opportunities/portal/screen/opportunities/topic-details/horizon-cl3-2022-drs-01-02", "HORIZON-CL3-2022-DRS-01-02")</f>
        <v>0</v>
      </c>
      <c r="Q156" t="s">
        <v>1128</v>
      </c>
    </row>
    <row r="157" spans="1:17">
      <c r="A157">
        <v>44114155</v>
      </c>
      <c r="B157">
        <v>2022</v>
      </c>
      <c r="C157" t="s">
        <v>18</v>
      </c>
      <c r="D157" t="s">
        <v>38</v>
      </c>
      <c r="E157" t="s">
        <v>62</v>
      </c>
      <c r="F157" t="s">
        <v>104</v>
      </c>
      <c r="G157" t="s">
        <v>247</v>
      </c>
      <c r="H157" t="s">
        <v>267</v>
      </c>
      <c r="I157" t="s">
        <v>374</v>
      </c>
      <c r="K157" t="s">
        <v>466</v>
      </c>
      <c r="L157" t="s">
        <v>469</v>
      </c>
      <c r="M157" t="s">
        <v>473</v>
      </c>
      <c r="N157" t="s">
        <v>508</v>
      </c>
      <c r="O157" t="s">
        <v>814</v>
      </c>
      <c r="P157" s="1">
        <f>HYPERLINK("https://ec.europa.eu/info/funding-tenders/opportunities/portal/screen/opportunities/topic-details/horizon-cl3-2022-drs-01-03", "HORIZON-CL3-2022-DRS-01-03")</f>
        <v>0</v>
      </c>
      <c r="Q157" t="s">
        <v>1129</v>
      </c>
    </row>
    <row r="158" spans="1:17">
      <c r="A158">
        <v>44114812</v>
      </c>
      <c r="B158">
        <v>2022</v>
      </c>
      <c r="C158" t="s">
        <v>18</v>
      </c>
      <c r="D158" t="s">
        <v>38</v>
      </c>
      <c r="E158" t="s">
        <v>62</v>
      </c>
      <c r="F158" t="s">
        <v>104</v>
      </c>
      <c r="G158" t="s">
        <v>247</v>
      </c>
      <c r="H158" t="s">
        <v>267</v>
      </c>
      <c r="I158" t="s">
        <v>374</v>
      </c>
      <c r="K158" t="s">
        <v>466</v>
      </c>
      <c r="L158" t="s">
        <v>469</v>
      </c>
      <c r="M158" t="s">
        <v>471</v>
      </c>
      <c r="N158" t="s">
        <v>508</v>
      </c>
      <c r="O158" t="s">
        <v>814</v>
      </c>
      <c r="P158" s="1">
        <f>HYPERLINK("https://ec.europa.eu/info/funding-tenders/opportunities/portal/screen/opportunities/topic-details/horizon-cl3-2022-drs-01-04", "HORIZON-CL3-2022-DRS-01-04")</f>
        <v>0</v>
      </c>
      <c r="Q158" t="s">
        <v>1130</v>
      </c>
    </row>
    <row r="159" spans="1:17">
      <c r="A159">
        <v>44114850</v>
      </c>
      <c r="B159">
        <v>2022</v>
      </c>
      <c r="C159" t="s">
        <v>18</v>
      </c>
      <c r="D159" t="s">
        <v>38</v>
      </c>
      <c r="E159" t="s">
        <v>62</v>
      </c>
      <c r="F159" t="s">
        <v>104</v>
      </c>
      <c r="G159" t="s">
        <v>247</v>
      </c>
      <c r="H159" t="s">
        <v>267</v>
      </c>
      <c r="I159" t="s">
        <v>374</v>
      </c>
      <c r="K159" t="s">
        <v>466</v>
      </c>
      <c r="L159" t="s">
        <v>469</v>
      </c>
      <c r="M159" t="s">
        <v>473</v>
      </c>
      <c r="N159" t="s">
        <v>508</v>
      </c>
      <c r="O159" t="s">
        <v>814</v>
      </c>
      <c r="P159" s="1">
        <f>HYPERLINK("https://ec.europa.eu/info/funding-tenders/opportunities/portal/screen/opportunities/topic-details/horizon-cl3-2022-drs-01-05", "HORIZON-CL3-2022-DRS-01-05")</f>
        <v>0</v>
      </c>
      <c r="Q159" t="s">
        <v>1131</v>
      </c>
    </row>
    <row r="160" spans="1:17">
      <c r="A160">
        <v>44115730</v>
      </c>
      <c r="B160">
        <v>2022</v>
      </c>
      <c r="C160" t="s">
        <v>18</v>
      </c>
      <c r="D160" t="s">
        <v>38</v>
      </c>
      <c r="E160" t="s">
        <v>62</v>
      </c>
      <c r="F160" t="s">
        <v>104</v>
      </c>
      <c r="G160" t="s">
        <v>247</v>
      </c>
      <c r="H160" t="s">
        <v>267</v>
      </c>
      <c r="I160" t="s">
        <v>374</v>
      </c>
      <c r="K160" t="s">
        <v>466</v>
      </c>
      <c r="L160" t="s">
        <v>469</v>
      </c>
      <c r="M160" t="s">
        <v>473</v>
      </c>
      <c r="N160" t="s">
        <v>508</v>
      </c>
      <c r="O160" t="s">
        <v>814</v>
      </c>
      <c r="P160" s="1">
        <f>HYPERLINK("https://ec.europa.eu/info/funding-tenders/opportunities/portal/screen/opportunities/topic-details/horizon-cl3-2022-drs-01-06", "HORIZON-CL3-2022-DRS-01-06")</f>
        <v>0</v>
      </c>
      <c r="Q160" t="s">
        <v>1132</v>
      </c>
    </row>
    <row r="161" spans="1:17">
      <c r="A161">
        <v>44114887</v>
      </c>
      <c r="B161">
        <v>2022</v>
      </c>
      <c r="C161" t="s">
        <v>18</v>
      </c>
      <c r="D161" t="s">
        <v>38</v>
      </c>
      <c r="E161" t="s">
        <v>62</v>
      </c>
      <c r="F161" t="s">
        <v>104</v>
      </c>
      <c r="G161" t="s">
        <v>247</v>
      </c>
      <c r="H161" t="s">
        <v>267</v>
      </c>
      <c r="I161" t="s">
        <v>374</v>
      </c>
      <c r="K161" t="s">
        <v>466</v>
      </c>
      <c r="L161" t="s">
        <v>469</v>
      </c>
      <c r="M161" t="s">
        <v>471</v>
      </c>
      <c r="N161" t="s">
        <v>508</v>
      </c>
      <c r="O161" t="s">
        <v>814</v>
      </c>
      <c r="P161" s="1">
        <f>HYPERLINK("https://ec.europa.eu/info/funding-tenders/opportunities/portal/screen/opportunities/topic-details/horizon-cl3-2022-drs-01-07", "HORIZON-CL3-2022-DRS-01-07")</f>
        <v>0</v>
      </c>
      <c r="Q161" t="s">
        <v>1133</v>
      </c>
    </row>
    <row r="162" spans="1:17">
      <c r="A162">
        <v>44114933</v>
      </c>
      <c r="B162">
        <v>2022</v>
      </c>
      <c r="C162" t="s">
        <v>18</v>
      </c>
      <c r="D162" t="s">
        <v>38</v>
      </c>
      <c r="E162" t="s">
        <v>62</v>
      </c>
      <c r="F162" t="s">
        <v>104</v>
      </c>
      <c r="G162" t="s">
        <v>247</v>
      </c>
      <c r="H162" t="s">
        <v>267</v>
      </c>
      <c r="I162" t="s">
        <v>374</v>
      </c>
      <c r="K162" t="s">
        <v>466</v>
      </c>
      <c r="L162" t="s">
        <v>469</v>
      </c>
      <c r="M162" t="s">
        <v>473</v>
      </c>
      <c r="N162" t="s">
        <v>508</v>
      </c>
      <c r="O162" t="s">
        <v>814</v>
      </c>
      <c r="P162" s="1">
        <f>HYPERLINK("https://ec.europa.eu/info/funding-tenders/opportunities/portal/screen/opportunities/topic-details/horizon-cl3-2022-drs-01-08", "HORIZON-CL3-2022-DRS-01-08")</f>
        <v>0</v>
      </c>
      <c r="Q162" t="s">
        <v>1134</v>
      </c>
    </row>
    <row r="163" spans="1:17">
      <c r="A163">
        <v>44114969</v>
      </c>
      <c r="B163">
        <v>2022</v>
      </c>
      <c r="C163" t="s">
        <v>18</v>
      </c>
      <c r="D163" t="s">
        <v>38</v>
      </c>
      <c r="E163" t="s">
        <v>62</v>
      </c>
      <c r="F163" t="s">
        <v>104</v>
      </c>
      <c r="G163" t="s">
        <v>247</v>
      </c>
      <c r="H163" t="s">
        <v>267</v>
      </c>
      <c r="I163" t="s">
        <v>374</v>
      </c>
      <c r="K163" t="s">
        <v>466</v>
      </c>
      <c r="L163" t="s">
        <v>469</v>
      </c>
      <c r="M163" t="s">
        <v>473</v>
      </c>
      <c r="N163" t="s">
        <v>508</v>
      </c>
      <c r="O163" t="s">
        <v>814</v>
      </c>
      <c r="P163" s="1">
        <f>HYPERLINK("https://ec.europa.eu/info/funding-tenders/opportunities/portal/screen/opportunities/topic-details/horizon-cl3-2022-drs-01-09", "HORIZON-CL3-2022-DRS-01-09")</f>
        <v>0</v>
      </c>
      <c r="Q163" t="s">
        <v>1135</v>
      </c>
    </row>
    <row r="164" spans="1:17">
      <c r="A164">
        <v>44114532</v>
      </c>
      <c r="B164">
        <v>2022</v>
      </c>
      <c r="C164" t="s">
        <v>18</v>
      </c>
      <c r="D164" t="s">
        <v>38</v>
      </c>
      <c r="E164" t="s">
        <v>60</v>
      </c>
      <c r="F164" t="s">
        <v>105</v>
      </c>
      <c r="G164" t="s">
        <v>247</v>
      </c>
      <c r="H164" t="s">
        <v>267</v>
      </c>
      <c r="I164" t="s">
        <v>374</v>
      </c>
      <c r="K164" t="s">
        <v>466</v>
      </c>
      <c r="L164" t="s">
        <v>469</v>
      </c>
      <c r="M164" t="s">
        <v>473</v>
      </c>
      <c r="N164" t="s">
        <v>509</v>
      </c>
      <c r="O164" t="s">
        <v>815</v>
      </c>
      <c r="P164" s="1">
        <f>HYPERLINK("https://ec.europa.eu/info/funding-tenders/opportunities/portal/screen/opportunities/topic-details/horizon-cl3-2022-fct-01-01", "HORIZON-CL3-2022-FCT-01-01")</f>
        <v>0</v>
      </c>
      <c r="Q164" t="s">
        <v>1136</v>
      </c>
    </row>
    <row r="165" spans="1:17">
      <c r="A165">
        <v>44114091</v>
      </c>
      <c r="B165">
        <v>2022</v>
      </c>
      <c r="C165" t="s">
        <v>18</v>
      </c>
      <c r="D165" t="s">
        <v>38</v>
      </c>
      <c r="E165" t="s">
        <v>60</v>
      </c>
      <c r="F165" t="s">
        <v>105</v>
      </c>
      <c r="G165" t="s">
        <v>247</v>
      </c>
      <c r="H165" t="s">
        <v>267</v>
      </c>
      <c r="I165" t="s">
        <v>374</v>
      </c>
      <c r="K165" t="s">
        <v>466</v>
      </c>
      <c r="L165" t="s">
        <v>469</v>
      </c>
      <c r="M165" t="s">
        <v>471</v>
      </c>
      <c r="N165" t="s">
        <v>509</v>
      </c>
      <c r="O165" t="s">
        <v>815</v>
      </c>
      <c r="P165" s="1">
        <f>HYPERLINK("https://ec.europa.eu/info/funding-tenders/opportunities/portal/screen/opportunities/topic-details/horizon-cl3-2022-fct-01-02", "HORIZON-CL3-2022-FCT-01-02")</f>
        <v>0</v>
      </c>
      <c r="Q165" t="s">
        <v>1137</v>
      </c>
    </row>
    <row r="166" spans="1:17">
      <c r="A166">
        <v>44114566</v>
      </c>
      <c r="B166">
        <v>2022</v>
      </c>
      <c r="C166" t="s">
        <v>18</v>
      </c>
      <c r="D166" t="s">
        <v>38</v>
      </c>
      <c r="E166" t="s">
        <v>60</v>
      </c>
      <c r="F166" t="s">
        <v>105</v>
      </c>
      <c r="G166" t="s">
        <v>247</v>
      </c>
      <c r="H166" t="s">
        <v>267</v>
      </c>
      <c r="I166" t="s">
        <v>374</v>
      </c>
      <c r="K166" t="s">
        <v>466</v>
      </c>
      <c r="L166" t="s">
        <v>469</v>
      </c>
      <c r="M166" t="s">
        <v>471</v>
      </c>
      <c r="N166" t="s">
        <v>509</v>
      </c>
      <c r="O166" t="s">
        <v>815</v>
      </c>
      <c r="P166" s="1">
        <f>HYPERLINK("https://ec.europa.eu/info/funding-tenders/opportunities/portal/screen/opportunities/topic-details/horizon-cl3-2022-fct-01-03", "HORIZON-CL3-2022-FCT-01-03")</f>
        <v>0</v>
      </c>
      <c r="Q166" t="s">
        <v>1138</v>
      </c>
    </row>
    <row r="167" spans="1:17">
      <c r="A167">
        <v>44115967</v>
      </c>
      <c r="B167">
        <v>2022</v>
      </c>
      <c r="C167" t="s">
        <v>18</v>
      </c>
      <c r="D167" t="s">
        <v>38</v>
      </c>
      <c r="E167" t="s">
        <v>60</v>
      </c>
      <c r="F167" t="s">
        <v>105</v>
      </c>
      <c r="G167" t="s">
        <v>247</v>
      </c>
      <c r="H167" t="s">
        <v>267</v>
      </c>
      <c r="I167" t="s">
        <v>374</v>
      </c>
      <c r="K167" t="s">
        <v>466</v>
      </c>
      <c r="L167" t="s">
        <v>469</v>
      </c>
      <c r="M167" t="s">
        <v>472</v>
      </c>
      <c r="N167" t="s">
        <v>509</v>
      </c>
      <c r="O167" t="s">
        <v>815</v>
      </c>
      <c r="P167" s="1">
        <f>HYPERLINK("https://ec.europa.eu/info/funding-tenders/opportunities/portal/screen/opportunities/topic-details/horizon-cl3-2022-fct-01-04", "HORIZON-CL3-2022-FCT-01-04")</f>
        <v>0</v>
      </c>
      <c r="Q167" t="s">
        <v>1139</v>
      </c>
    </row>
    <row r="168" spans="1:17">
      <c r="A168">
        <v>44114612</v>
      </c>
      <c r="B168">
        <v>2022</v>
      </c>
      <c r="C168" t="s">
        <v>18</v>
      </c>
      <c r="D168" t="s">
        <v>38</v>
      </c>
      <c r="E168" t="s">
        <v>60</v>
      </c>
      <c r="F168" t="s">
        <v>105</v>
      </c>
      <c r="G168" t="s">
        <v>247</v>
      </c>
      <c r="H168" t="s">
        <v>267</v>
      </c>
      <c r="I168" t="s">
        <v>374</v>
      </c>
      <c r="K168" t="s">
        <v>466</v>
      </c>
      <c r="L168" t="s">
        <v>469</v>
      </c>
      <c r="M168" t="s">
        <v>473</v>
      </c>
      <c r="N168" t="s">
        <v>509</v>
      </c>
      <c r="O168" t="s">
        <v>815</v>
      </c>
      <c r="P168" s="1">
        <f>HYPERLINK("https://ec.europa.eu/info/funding-tenders/opportunities/portal/screen/opportunities/topic-details/horizon-cl3-2022-fct-01-05", "HORIZON-CL3-2022-FCT-01-05")</f>
        <v>0</v>
      </c>
      <c r="Q168" t="s">
        <v>1140</v>
      </c>
    </row>
    <row r="169" spans="1:17">
      <c r="A169">
        <v>44115097</v>
      </c>
      <c r="B169">
        <v>2022</v>
      </c>
      <c r="C169" t="s">
        <v>18</v>
      </c>
      <c r="D169" t="s">
        <v>38</v>
      </c>
      <c r="E169" t="s">
        <v>60</v>
      </c>
      <c r="F169" t="s">
        <v>105</v>
      </c>
      <c r="G169" t="s">
        <v>247</v>
      </c>
      <c r="H169" t="s">
        <v>267</v>
      </c>
      <c r="I169" t="s">
        <v>374</v>
      </c>
      <c r="K169" t="s">
        <v>466</v>
      </c>
      <c r="L169" t="s">
        <v>469</v>
      </c>
      <c r="M169" t="s">
        <v>473</v>
      </c>
      <c r="N169" t="s">
        <v>509</v>
      </c>
      <c r="O169" t="s">
        <v>815</v>
      </c>
      <c r="P169" s="1">
        <f>HYPERLINK("https://ec.europa.eu/info/funding-tenders/opportunities/portal/screen/opportunities/topic-details/horizon-cl3-2022-fct-01-06", "HORIZON-CL3-2022-FCT-01-06")</f>
        <v>0</v>
      </c>
      <c r="Q169" t="s">
        <v>1141</v>
      </c>
    </row>
    <row r="170" spans="1:17">
      <c r="A170">
        <v>44114654</v>
      </c>
      <c r="B170">
        <v>2022</v>
      </c>
      <c r="C170" t="s">
        <v>18</v>
      </c>
      <c r="D170" t="s">
        <v>38</v>
      </c>
      <c r="E170" t="s">
        <v>60</v>
      </c>
      <c r="F170" t="s">
        <v>105</v>
      </c>
      <c r="G170" t="s">
        <v>247</v>
      </c>
      <c r="H170" t="s">
        <v>267</v>
      </c>
      <c r="I170" t="s">
        <v>374</v>
      </c>
      <c r="K170" t="s">
        <v>466</v>
      </c>
      <c r="L170" t="s">
        <v>469</v>
      </c>
      <c r="M170" t="s">
        <v>473</v>
      </c>
      <c r="N170" t="s">
        <v>509</v>
      </c>
      <c r="O170" t="s">
        <v>815</v>
      </c>
      <c r="P170" s="1">
        <f>HYPERLINK("https://ec.europa.eu/info/funding-tenders/opportunities/portal/screen/opportunities/topic-details/horizon-cl3-2022-fct-01-07", "HORIZON-CL3-2022-FCT-01-07")</f>
        <v>0</v>
      </c>
      <c r="Q170" t="s">
        <v>1142</v>
      </c>
    </row>
    <row r="171" spans="1:17">
      <c r="A171">
        <v>44086670</v>
      </c>
      <c r="B171">
        <v>2022</v>
      </c>
      <c r="C171" t="s">
        <v>18</v>
      </c>
      <c r="D171" t="s">
        <v>38</v>
      </c>
      <c r="E171" t="s">
        <v>60</v>
      </c>
      <c r="F171" t="s">
        <v>106</v>
      </c>
      <c r="G171" t="s">
        <v>247</v>
      </c>
      <c r="H171" t="s">
        <v>267</v>
      </c>
      <c r="I171" t="s">
        <v>374</v>
      </c>
      <c r="K171" t="s">
        <v>466</v>
      </c>
      <c r="L171" t="s">
        <v>469</v>
      </c>
      <c r="M171" t="s">
        <v>471</v>
      </c>
      <c r="N171" t="s">
        <v>510</v>
      </c>
      <c r="O171" t="s">
        <v>816</v>
      </c>
      <c r="P171" s="1">
        <f>HYPERLINK("https://ec.europa.eu/info/funding-tenders/opportunities/portal/screen/opportunities/topic-details/horizon-cl3-2022-infra-01-01", "HORIZON-CL3-2022-INFRA-01-01")</f>
        <v>0</v>
      </c>
      <c r="Q171" t="s">
        <v>1143</v>
      </c>
    </row>
    <row r="172" spans="1:17">
      <c r="A172">
        <v>44086633</v>
      </c>
      <c r="B172">
        <v>2022</v>
      </c>
      <c r="C172" t="s">
        <v>18</v>
      </c>
      <c r="D172" t="s">
        <v>38</v>
      </c>
      <c r="E172" t="s">
        <v>60</v>
      </c>
      <c r="F172" t="s">
        <v>106</v>
      </c>
      <c r="G172" t="s">
        <v>247</v>
      </c>
      <c r="H172" t="s">
        <v>267</v>
      </c>
      <c r="I172" t="s">
        <v>374</v>
      </c>
      <c r="K172" t="s">
        <v>466</v>
      </c>
      <c r="L172" t="s">
        <v>469</v>
      </c>
      <c r="M172" t="s">
        <v>473</v>
      </c>
      <c r="N172" t="s">
        <v>510</v>
      </c>
      <c r="O172" t="s">
        <v>816</v>
      </c>
      <c r="P172" s="1">
        <f>HYPERLINK("https://ec.europa.eu/info/funding-tenders/opportunities/portal/screen/opportunities/topic-details/horizon-cl3-2022-infra-01-02", "HORIZON-CL3-2022-INFRA-01-02")</f>
        <v>0</v>
      </c>
      <c r="Q172" t="s">
        <v>1144</v>
      </c>
    </row>
    <row r="173" spans="1:17">
      <c r="A173">
        <v>44114190</v>
      </c>
      <c r="B173">
        <v>2022</v>
      </c>
      <c r="C173" t="s">
        <v>18</v>
      </c>
      <c r="D173" t="s">
        <v>38</v>
      </c>
      <c r="E173" t="s">
        <v>62</v>
      </c>
      <c r="F173" t="s">
        <v>107</v>
      </c>
      <c r="G173" t="s">
        <v>247</v>
      </c>
      <c r="H173" t="s">
        <v>267</v>
      </c>
      <c r="I173" t="s">
        <v>374</v>
      </c>
      <c r="K173" t="s">
        <v>466</v>
      </c>
      <c r="L173" t="s">
        <v>469</v>
      </c>
      <c r="M173" t="s">
        <v>472</v>
      </c>
      <c r="N173" t="s">
        <v>511</v>
      </c>
      <c r="O173" t="s">
        <v>817</v>
      </c>
      <c r="P173" s="1">
        <f>HYPERLINK("https://ec.europa.eu/info/funding-tenders/opportunities/portal/screen/opportunities/topic-details/horizon-cl3-2022-ssri-01-01", "HORIZON-CL3-2022-SSRI-01-01")</f>
        <v>0</v>
      </c>
      <c r="Q173" t="s">
        <v>1145</v>
      </c>
    </row>
    <row r="174" spans="1:17">
      <c r="A174">
        <v>44115676</v>
      </c>
      <c r="B174">
        <v>2022</v>
      </c>
      <c r="C174" t="s">
        <v>18</v>
      </c>
      <c r="D174" t="s">
        <v>38</v>
      </c>
      <c r="E174" t="s">
        <v>62</v>
      </c>
      <c r="F174" t="s">
        <v>107</v>
      </c>
      <c r="G174" t="s">
        <v>247</v>
      </c>
      <c r="H174" t="s">
        <v>267</v>
      </c>
      <c r="I174" t="s">
        <v>374</v>
      </c>
      <c r="K174" t="s">
        <v>466</v>
      </c>
      <c r="L174" t="s">
        <v>469</v>
      </c>
      <c r="M174" t="s">
        <v>472</v>
      </c>
      <c r="N174" t="s">
        <v>511</v>
      </c>
      <c r="O174" t="s">
        <v>817</v>
      </c>
      <c r="P174" s="1">
        <f>HYPERLINK("https://ec.europa.eu/info/funding-tenders/opportunities/portal/screen/opportunities/topic-details/horizon-cl3-2022-ssri-01-02", "HORIZON-CL3-2022-SSRI-01-02")</f>
        <v>0</v>
      </c>
      <c r="Q174" t="s">
        <v>1146</v>
      </c>
    </row>
    <row r="175" spans="1:17">
      <c r="A175">
        <v>44115587</v>
      </c>
      <c r="B175">
        <v>2022</v>
      </c>
      <c r="C175" t="s">
        <v>18</v>
      </c>
      <c r="D175" t="s">
        <v>38</v>
      </c>
      <c r="E175" t="s">
        <v>62</v>
      </c>
      <c r="F175" t="s">
        <v>107</v>
      </c>
      <c r="G175" t="s">
        <v>247</v>
      </c>
      <c r="H175" t="s">
        <v>267</v>
      </c>
      <c r="I175" t="s">
        <v>374</v>
      </c>
      <c r="K175" t="s">
        <v>466</v>
      </c>
      <c r="L175" t="s">
        <v>469</v>
      </c>
      <c r="M175" t="s">
        <v>472</v>
      </c>
      <c r="N175" t="s">
        <v>511</v>
      </c>
      <c r="O175" t="s">
        <v>817</v>
      </c>
      <c r="P175" s="1">
        <f>HYPERLINK("https://ec.europa.eu/info/funding-tenders/opportunities/portal/screen/opportunities/topic-details/horizon-cl3-2022-ssri-01-03", "HORIZON-CL3-2022-SSRI-01-03")</f>
        <v>0</v>
      </c>
      <c r="Q175" t="s">
        <v>1147</v>
      </c>
    </row>
    <row r="176" spans="1:17">
      <c r="A176">
        <v>44114230</v>
      </c>
      <c r="B176">
        <v>2022</v>
      </c>
      <c r="C176" t="s">
        <v>18</v>
      </c>
      <c r="D176" t="s">
        <v>38</v>
      </c>
      <c r="E176" t="s">
        <v>62</v>
      </c>
      <c r="F176" t="s">
        <v>107</v>
      </c>
      <c r="G176" t="s">
        <v>247</v>
      </c>
      <c r="H176" t="s">
        <v>267</v>
      </c>
      <c r="I176" t="s">
        <v>374</v>
      </c>
      <c r="K176" t="s">
        <v>466</v>
      </c>
      <c r="L176" t="s">
        <v>469</v>
      </c>
      <c r="M176" t="s">
        <v>471</v>
      </c>
      <c r="N176" t="s">
        <v>511</v>
      </c>
      <c r="O176" t="s">
        <v>817</v>
      </c>
      <c r="P176" s="1">
        <f>HYPERLINK("https://ec.europa.eu/info/funding-tenders/opportunities/portal/screen/opportunities/topic-details/horizon-cl3-2022-ssri-01-04", "HORIZON-CL3-2022-SSRI-01-04")</f>
        <v>0</v>
      </c>
      <c r="Q176" t="s">
        <v>1148</v>
      </c>
    </row>
    <row r="177" spans="1:17">
      <c r="A177">
        <v>45763159</v>
      </c>
      <c r="B177">
        <v>2023</v>
      </c>
      <c r="C177" t="s">
        <v>18</v>
      </c>
      <c r="D177" t="s">
        <v>38</v>
      </c>
      <c r="E177" t="s">
        <v>60</v>
      </c>
      <c r="F177" t="s">
        <v>102</v>
      </c>
      <c r="G177" t="s">
        <v>248</v>
      </c>
      <c r="H177" t="s">
        <v>294</v>
      </c>
      <c r="I177" t="s">
        <v>376</v>
      </c>
      <c r="K177" t="s">
        <v>466</v>
      </c>
      <c r="L177" t="s">
        <v>469</v>
      </c>
      <c r="M177" t="s">
        <v>473</v>
      </c>
      <c r="N177" t="s">
        <v>512</v>
      </c>
      <c r="O177" t="s">
        <v>818</v>
      </c>
      <c r="P177" s="1">
        <f>HYPERLINK("https://ec.europa.eu/info/funding-tenders/opportunities/portal/screen/opportunities/topic-details/horizon-cl3-2023-bm-01-01", "HORIZON-CL3-2023-BM-01-01")</f>
        <v>0</v>
      </c>
      <c r="Q177" t="s">
        <v>1149</v>
      </c>
    </row>
    <row r="178" spans="1:17">
      <c r="A178">
        <v>45763196</v>
      </c>
      <c r="B178">
        <v>2023</v>
      </c>
      <c r="C178" t="s">
        <v>18</v>
      </c>
      <c r="D178" t="s">
        <v>38</v>
      </c>
      <c r="E178" t="s">
        <v>60</v>
      </c>
      <c r="F178" t="s">
        <v>102</v>
      </c>
      <c r="G178" t="s">
        <v>248</v>
      </c>
      <c r="H178" t="s">
        <v>294</v>
      </c>
      <c r="I178" t="s">
        <v>376</v>
      </c>
      <c r="K178" t="s">
        <v>466</v>
      </c>
      <c r="L178" t="s">
        <v>469</v>
      </c>
      <c r="M178" t="s">
        <v>471</v>
      </c>
      <c r="N178" t="s">
        <v>512</v>
      </c>
      <c r="O178" t="s">
        <v>818</v>
      </c>
      <c r="P178" s="1">
        <f>HYPERLINK("https://ec.europa.eu/info/funding-tenders/opportunities/portal/screen/opportunities/topic-details/horizon-cl3-2023-bm-01-02", "HORIZON-CL3-2023-BM-01-02")</f>
        <v>0</v>
      </c>
      <c r="Q178" t="s">
        <v>1150</v>
      </c>
    </row>
    <row r="179" spans="1:17">
      <c r="A179">
        <v>45763233</v>
      </c>
      <c r="B179">
        <v>2023</v>
      </c>
      <c r="C179" t="s">
        <v>18</v>
      </c>
      <c r="D179" t="s">
        <v>38</v>
      </c>
      <c r="E179" t="s">
        <v>60</v>
      </c>
      <c r="F179" t="s">
        <v>102</v>
      </c>
      <c r="G179" t="s">
        <v>248</v>
      </c>
      <c r="H179" t="s">
        <v>294</v>
      </c>
      <c r="I179" t="s">
        <v>376</v>
      </c>
      <c r="K179" t="s">
        <v>466</v>
      </c>
      <c r="L179" t="s">
        <v>469</v>
      </c>
      <c r="M179" t="s">
        <v>471</v>
      </c>
      <c r="N179" t="s">
        <v>512</v>
      </c>
      <c r="O179" t="s">
        <v>818</v>
      </c>
      <c r="P179" s="1">
        <f>HYPERLINK("https://ec.europa.eu/info/funding-tenders/opportunities/portal/screen/opportunities/topic-details/horizon-cl3-2023-bm-01-03", "HORIZON-CL3-2023-BM-01-03")</f>
        <v>0</v>
      </c>
      <c r="Q179" t="s">
        <v>1151</v>
      </c>
    </row>
    <row r="180" spans="1:17">
      <c r="A180">
        <v>45763271</v>
      </c>
      <c r="B180">
        <v>2023</v>
      </c>
      <c r="C180" t="s">
        <v>18</v>
      </c>
      <c r="D180" t="s">
        <v>38</v>
      </c>
      <c r="E180" t="s">
        <v>60</v>
      </c>
      <c r="F180" t="s">
        <v>102</v>
      </c>
      <c r="G180" t="s">
        <v>248</v>
      </c>
      <c r="H180" t="s">
        <v>294</v>
      </c>
      <c r="I180" t="s">
        <v>376</v>
      </c>
      <c r="K180" t="s">
        <v>466</v>
      </c>
      <c r="L180" t="s">
        <v>469</v>
      </c>
      <c r="M180" t="s">
        <v>473</v>
      </c>
      <c r="N180" t="s">
        <v>512</v>
      </c>
      <c r="O180" t="s">
        <v>818</v>
      </c>
      <c r="P180" s="1">
        <f>HYPERLINK("https://ec.europa.eu/info/funding-tenders/opportunities/portal/screen/opportunities/topic-details/horizon-cl3-2023-bm-01-04", "HORIZON-CL3-2023-BM-01-04")</f>
        <v>0</v>
      </c>
      <c r="Q180" t="s">
        <v>1152</v>
      </c>
    </row>
    <row r="181" spans="1:17">
      <c r="A181">
        <v>45763702</v>
      </c>
      <c r="B181">
        <v>2023</v>
      </c>
      <c r="C181" t="s">
        <v>18</v>
      </c>
      <c r="D181" t="s">
        <v>38</v>
      </c>
      <c r="E181" t="s">
        <v>61</v>
      </c>
      <c r="F181" t="s">
        <v>103</v>
      </c>
      <c r="G181" t="s">
        <v>248</v>
      </c>
      <c r="H181" t="s">
        <v>294</v>
      </c>
      <c r="I181" t="s">
        <v>376</v>
      </c>
      <c r="K181" t="s">
        <v>466</v>
      </c>
      <c r="L181" t="s">
        <v>469</v>
      </c>
      <c r="M181" t="s">
        <v>473</v>
      </c>
      <c r="N181" t="s">
        <v>513</v>
      </c>
      <c r="O181" t="s">
        <v>819</v>
      </c>
      <c r="P181" s="1">
        <f>HYPERLINK("https://ec.europa.eu/info/funding-tenders/opportunities/portal/screen/opportunities/topic-details/horizon-cl3-2023-cs-01-01", "HORIZON-CL3-2023-CS-01-01")</f>
        <v>0</v>
      </c>
      <c r="Q181" t="s">
        <v>1153</v>
      </c>
    </row>
    <row r="182" spans="1:17">
      <c r="A182">
        <v>45763720</v>
      </c>
      <c r="B182">
        <v>2023</v>
      </c>
      <c r="C182" t="s">
        <v>18</v>
      </c>
      <c r="D182" t="s">
        <v>38</v>
      </c>
      <c r="E182" t="s">
        <v>61</v>
      </c>
      <c r="F182" t="s">
        <v>103</v>
      </c>
      <c r="G182" t="s">
        <v>248</v>
      </c>
      <c r="H182" t="s">
        <v>294</v>
      </c>
      <c r="I182" t="s">
        <v>376</v>
      </c>
      <c r="K182" t="s">
        <v>466</v>
      </c>
      <c r="L182" t="s">
        <v>469</v>
      </c>
      <c r="M182" t="s">
        <v>473</v>
      </c>
      <c r="N182" t="s">
        <v>513</v>
      </c>
      <c r="O182" t="s">
        <v>819</v>
      </c>
      <c r="P182" s="1">
        <f>HYPERLINK("https://ec.europa.eu/info/funding-tenders/opportunities/portal/screen/opportunities/topic-details/horizon-cl3-2023-cs-01-02", "HORIZON-CL3-2023-CS-01-02")</f>
        <v>0</v>
      </c>
      <c r="Q182" t="s">
        <v>1154</v>
      </c>
    </row>
    <row r="183" spans="1:17">
      <c r="A183">
        <v>45763739</v>
      </c>
      <c r="B183">
        <v>2023</v>
      </c>
      <c r="C183" t="s">
        <v>18</v>
      </c>
      <c r="D183" t="s">
        <v>38</v>
      </c>
      <c r="E183" t="s">
        <v>61</v>
      </c>
      <c r="F183" t="s">
        <v>103</v>
      </c>
      <c r="G183" t="s">
        <v>248</v>
      </c>
      <c r="H183" t="s">
        <v>294</v>
      </c>
      <c r="I183" t="s">
        <v>376</v>
      </c>
      <c r="K183" t="s">
        <v>466</v>
      </c>
      <c r="L183" t="s">
        <v>469</v>
      </c>
      <c r="M183" t="s">
        <v>471</v>
      </c>
      <c r="N183" t="s">
        <v>513</v>
      </c>
      <c r="O183" t="s">
        <v>819</v>
      </c>
      <c r="P183" s="1">
        <f>HYPERLINK("https://ec.europa.eu/info/funding-tenders/opportunities/portal/screen/opportunities/topic-details/horizon-cl3-2023-cs-01-03", "HORIZON-CL3-2023-CS-01-03")</f>
        <v>0</v>
      </c>
      <c r="Q183" t="s">
        <v>1155</v>
      </c>
    </row>
    <row r="184" spans="1:17">
      <c r="A184">
        <v>45763307</v>
      </c>
      <c r="B184">
        <v>2023</v>
      </c>
      <c r="C184" t="s">
        <v>18</v>
      </c>
      <c r="D184" t="s">
        <v>38</v>
      </c>
      <c r="E184" t="s">
        <v>62</v>
      </c>
      <c r="F184" t="s">
        <v>104</v>
      </c>
      <c r="G184" t="s">
        <v>248</v>
      </c>
      <c r="H184" t="s">
        <v>294</v>
      </c>
      <c r="I184" t="s">
        <v>376</v>
      </c>
      <c r="K184" t="s">
        <v>466</v>
      </c>
      <c r="L184" t="s">
        <v>469</v>
      </c>
      <c r="M184" t="s">
        <v>471</v>
      </c>
      <c r="N184" t="s">
        <v>514</v>
      </c>
      <c r="O184" t="s">
        <v>820</v>
      </c>
      <c r="P184" s="1">
        <f>HYPERLINK("https://ec.europa.eu/info/funding-tenders/opportunities/portal/screen/opportunities/topic-details/horizon-cl3-2023-drs-01-01", "HORIZON-CL3-2023-DRS-01-01")</f>
        <v>0</v>
      </c>
      <c r="Q184" t="s">
        <v>1156</v>
      </c>
    </row>
    <row r="185" spans="1:17">
      <c r="A185">
        <v>45944018</v>
      </c>
      <c r="B185">
        <v>2023</v>
      </c>
      <c r="C185" t="s">
        <v>18</v>
      </c>
      <c r="D185" t="s">
        <v>38</v>
      </c>
      <c r="E185" t="s">
        <v>62</v>
      </c>
      <c r="F185" t="s">
        <v>104</v>
      </c>
      <c r="G185" t="s">
        <v>248</v>
      </c>
      <c r="H185" t="s">
        <v>294</v>
      </c>
      <c r="I185" t="s">
        <v>376</v>
      </c>
      <c r="K185" t="s">
        <v>466</v>
      </c>
      <c r="L185" t="s">
        <v>469</v>
      </c>
      <c r="M185" t="s">
        <v>471</v>
      </c>
      <c r="N185" t="s">
        <v>514</v>
      </c>
      <c r="O185" t="s">
        <v>820</v>
      </c>
      <c r="P185" s="1">
        <f>HYPERLINK("https://ec.europa.eu/info/funding-tenders/opportunities/portal/screen/opportunities/topic-details/horizon-cl3-2023-drs-01-02", "HORIZON-CL3-2023-DRS-01-02")</f>
        <v>0</v>
      </c>
      <c r="Q185" t="s">
        <v>1157</v>
      </c>
    </row>
    <row r="186" spans="1:17">
      <c r="A186">
        <v>45763330</v>
      </c>
      <c r="B186">
        <v>2023</v>
      </c>
      <c r="C186" t="s">
        <v>18</v>
      </c>
      <c r="D186" t="s">
        <v>38</v>
      </c>
      <c r="E186" t="s">
        <v>62</v>
      </c>
      <c r="F186" t="s">
        <v>104</v>
      </c>
      <c r="G186" t="s">
        <v>248</v>
      </c>
      <c r="H186" t="s">
        <v>294</v>
      </c>
      <c r="I186" t="s">
        <v>376</v>
      </c>
      <c r="K186" t="s">
        <v>466</v>
      </c>
      <c r="L186" t="s">
        <v>469</v>
      </c>
      <c r="M186" t="s">
        <v>471</v>
      </c>
      <c r="N186" t="s">
        <v>514</v>
      </c>
      <c r="O186" t="s">
        <v>820</v>
      </c>
      <c r="P186" s="1">
        <f>HYPERLINK("https://ec.europa.eu/info/funding-tenders/opportunities/portal/screen/opportunities/topic-details/horizon-cl3-2023-drs-01-03", "HORIZON-CL3-2023-DRS-01-03")</f>
        <v>0</v>
      </c>
      <c r="Q186" t="s">
        <v>1158</v>
      </c>
    </row>
    <row r="187" spans="1:17">
      <c r="A187">
        <v>45763359</v>
      </c>
      <c r="B187">
        <v>2023</v>
      </c>
      <c r="C187" t="s">
        <v>18</v>
      </c>
      <c r="D187" t="s">
        <v>38</v>
      </c>
      <c r="E187" t="s">
        <v>62</v>
      </c>
      <c r="F187" t="s">
        <v>104</v>
      </c>
      <c r="G187" t="s">
        <v>248</v>
      </c>
      <c r="H187" t="s">
        <v>294</v>
      </c>
      <c r="I187" t="s">
        <v>376</v>
      </c>
      <c r="K187" t="s">
        <v>466</v>
      </c>
      <c r="L187" t="s">
        <v>469</v>
      </c>
      <c r="M187" t="s">
        <v>473</v>
      </c>
      <c r="N187" t="s">
        <v>514</v>
      </c>
      <c r="O187" t="s">
        <v>820</v>
      </c>
      <c r="P187" s="1">
        <f>HYPERLINK("https://ec.europa.eu/info/funding-tenders/opportunities/portal/screen/opportunities/topic-details/horizon-cl3-2023-drs-01-04", "HORIZON-CL3-2023-DRS-01-04")</f>
        <v>0</v>
      </c>
      <c r="Q187" t="s">
        <v>1159</v>
      </c>
    </row>
    <row r="188" spans="1:17">
      <c r="A188">
        <v>45763384</v>
      </c>
      <c r="B188">
        <v>2023</v>
      </c>
      <c r="C188" t="s">
        <v>18</v>
      </c>
      <c r="D188" t="s">
        <v>38</v>
      </c>
      <c r="E188" t="s">
        <v>61</v>
      </c>
      <c r="F188" t="s">
        <v>104</v>
      </c>
      <c r="G188" t="s">
        <v>248</v>
      </c>
      <c r="H188" t="s">
        <v>294</v>
      </c>
      <c r="I188" t="s">
        <v>376</v>
      </c>
      <c r="K188" t="s">
        <v>466</v>
      </c>
      <c r="L188" t="s">
        <v>469</v>
      </c>
      <c r="M188" t="s">
        <v>471</v>
      </c>
      <c r="N188" t="s">
        <v>514</v>
      </c>
      <c r="O188" t="s">
        <v>820</v>
      </c>
      <c r="P188" s="1">
        <f>HYPERLINK("https://ec.europa.eu/info/funding-tenders/opportunities/portal/screen/opportunities/topic-details/horizon-cl3-2023-drs-01-05", "HORIZON-CL3-2023-DRS-01-05")</f>
        <v>0</v>
      </c>
      <c r="Q188" t="s">
        <v>1160</v>
      </c>
    </row>
    <row r="189" spans="1:17">
      <c r="A189">
        <v>45763408</v>
      </c>
      <c r="B189">
        <v>2023</v>
      </c>
      <c r="C189" t="s">
        <v>18</v>
      </c>
      <c r="D189" t="s">
        <v>38</v>
      </c>
      <c r="E189" t="s">
        <v>62</v>
      </c>
      <c r="F189" t="s">
        <v>104</v>
      </c>
      <c r="G189" t="s">
        <v>248</v>
      </c>
      <c r="H189" t="s">
        <v>294</v>
      </c>
      <c r="I189" t="s">
        <v>376</v>
      </c>
      <c r="K189" t="s">
        <v>466</v>
      </c>
      <c r="L189" t="s">
        <v>469</v>
      </c>
      <c r="M189" t="s">
        <v>471</v>
      </c>
      <c r="N189" t="s">
        <v>514</v>
      </c>
      <c r="O189" t="s">
        <v>820</v>
      </c>
      <c r="P189" s="1">
        <f>HYPERLINK("https://ec.europa.eu/info/funding-tenders/opportunities/portal/screen/opportunities/topic-details/horizon-cl3-2023-drs-01-06", "HORIZON-CL3-2023-DRS-01-06")</f>
        <v>0</v>
      </c>
      <c r="Q189" t="s">
        <v>1161</v>
      </c>
    </row>
    <row r="190" spans="1:17">
      <c r="A190">
        <v>45763426</v>
      </c>
      <c r="B190">
        <v>2023</v>
      </c>
      <c r="C190" t="s">
        <v>18</v>
      </c>
      <c r="D190" t="s">
        <v>38</v>
      </c>
      <c r="E190" t="s">
        <v>60</v>
      </c>
      <c r="F190" t="s">
        <v>105</v>
      </c>
      <c r="G190" t="s">
        <v>248</v>
      </c>
      <c r="H190" t="s">
        <v>294</v>
      </c>
      <c r="I190" t="s">
        <v>376</v>
      </c>
      <c r="K190" t="s">
        <v>466</v>
      </c>
      <c r="L190" t="s">
        <v>469</v>
      </c>
      <c r="M190" t="s">
        <v>473</v>
      </c>
      <c r="N190" t="s">
        <v>515</v>
      </c>
      <c r="O190" t="s">
        <v>821</v>
      </c>
      <c r="P190" s="1">
        <f>HYPERLINK("https://ec.europa.eu/info/funding-tenders/opportunities/portal/screen/opportunities/topic-details/horizon-cl3-2023-fct-01-01", "HORIZON-CL3-2023-FCT-01-01")</f>
        <v>0</v>
      </c>
      <c r="Q190" t="s">
        <v>1162</v>
      </c>
    </row>
    <row r="191" spans="1:17">
      <c r="A191">
        <v>45763457</v>
      </c>
      <c r="B191">
        <v>2023</v>
      </c>
      <c r="C191" t="s">
        <v>18</v>
      </c>
      <c r="D191" t="s">
        <v>38</v>
      </c>
      <c r="E191" t="s">
        <v>60</v>
      </c>
      <c r="F191" t="s">
        <v>105</v>
      </c>
      <c r="G191" t="s">
        <v>248</v>
      </c>
      <c r="H191" t="s">
        <v>294</v>
      </c>
      <c r="I191" t="s">
        <v>376</v>
      </c>
      <c r="K191" t="s">
        <v>466</v>
      </c>
      <c r="L191" t="s">
        <v>469</v>
      </c>
      <c r="M191" t="s">
        <v>473</v>
      </c>
      <c r="N191" t="s">
        <v>515</v>
      </c>
      <c r="O191" t="s">
        <v>821</v>
      </c>
      <c r="P191" s="1">
        <f>HYPERLINK("https://ec.europa.eu/info/funding-tenders/opportunities/portal/screen/opportunities/topic-details/horizon-cl3-2023-fct-01-02", "HORIZON-CL3-2023-FCT-01-02")</f>
        <v>0</v>
      </c>
      <c r="Q191" t="s">
        <v>1163</v>
      </c>
    </row>
    <row r="192" spans="1:17">
      <c r="A192">
        <v>45763486</v>
      </c>
      <c r="B192">
        <v>2023</v>
      </c>
      <c r="C192" t="s">
        <v>18</v>
      </c>
      <c r="D192" t="s">
        <v>38</v>
      </c>
      <c r="E192" t="s">
        <v>60</v>
      </c>
      <c r="F192" t="s">
        <v>105</v>
      </c>
      <c r="G192" t="s">
        <v>248</v>
      </c>
      <c r="H192" t="s">
        <v>294</v>
      </c>
      <c r="I192" t="s">
        <v>376</v>
      </c>
      <c r="K192" t="s">
        <v>466</v>
      </c>
      <c r="L192" t="s">
        <v>469</v>
      </c>
      <c r="M192" t="s">
        <v>471</v>
      </c>
      <c r="N192" t="s">
        <v>515</v>
      </c>
      <c r="O192" t="s">
        <v>821</v>
      </c>
      <c r="P192" s="1">
        <f>HYPERLINK("https://ec.europa.eu/info/funding-tenders/opportunities/portal/screen/opportunities/topic-details/horizon-cl3-2023-fct-01-03", "HORIZON-CL3-2023-FCT-01-03")</f>
        <v>0</v>
      </c>
      <c r="Q192" t="s">
        <v>1164</v>
      </c>
    </row>
    <row r="193" spans="1:17">
      <c r="A193">
        <v>45763522</v>
      </c>
      <c r="B193">
        <v>2023</v>
      </c>
      <c r="C193" t="s">
        <v>18</v>
      </c>
      <c r="D193" t="s">
        <v>38</v>
      </c>
      <c r="E193" t="s">
        <v>60</v>
      </c>
      <c r="F193" t="s">
        <v>105</v>
      </c>
      <c r="G193" t="s">
        <v>248</v>
      </c>
      <c r="H193" t="s">
        <v>294</v>
      </c>
      <c r="I193" t="s">
        <v>376</v>
      </c>
      <c r="K193" t="s">
        <v>466</v>
      </c>
      <c r="L193" t="s">
        <v>469</v>
      </c>
      <c r="M193" t="s">
        <v>471</v>
      </c>
      <c r="N193" t="s">
        <v>515</v>
      </c>
      <c r="O193" t="s">
        <v>821</v>
      </c>
      <c r="P193" s="1">
        <f>HYPERLINK("https://ec.europa.eu/info/funding-tenders/opportunities/portal/screen/opportunities/topic-details/horizon-cl3-2023-fct-01-04", "HORIZON-CL3-2023-FCT-01-04")</f>
        <v>0</v>
      </c>
      <c r="Q193" t="s">
        <v>1165</v>
      </c>
    </row>
    <row r="194" spans="1:17">
      <c r="A194">
        <v>45763550</v>
      </c>
      <c r="B194">
        <v>2023</v>
      </c>
      <c r="C194" t="s">
        <v>18</v>
      </c>
      <c r="D194" t="s">
        <v>38</v>
      </c>
      <c r="E194" t="s">
        <v>60</v>
      </c>
      <c r="F194" t="s">
        <v>105</v>
      </c>
      <c r="G194" t="s">
        <v>248</v>
      </c>
      <c r="H194" t="s">
        <v>294</v>
      </c>
      <c r="I194" t="s">
        <v>376</v>
      </c>
      <c r="K194" t="s">
        <v>466</v>
      </c>
      <c r="L194" t="s">
        <v>469</v>
      </c>
      <c r="M194" t="s">
        <v>471</v>
      </c>
      <c r="N194" t="s">
        <v>515</v>
      </c>
      <c r="O194" t="s">
        <v>821</v>
      </c>
      <c r="P194" s="1">
        <f>HYPERLINK("https://ec.europa.eu/info/funding-tenders/opportunities/portal/screen/opportunities/topic-details/horizon-cl3-2023-fct-01-05", "HORIZON-CL3-2023-FCT-01-05")</f>
        <v>0</v>
      </c>
      <c r="Q194" t="s">
        <v>1166</v>
      </c>
    </row>
    <row r="195" spans="1:17">
      <c r="A195">
        <v>45763579</v>
      </c>
      <c r="B195">
        <v>2023</v>
      </c>
      <c r="C195" t="s">
        <v>18</v>
      </c>
      <c r="D195" t="s">
        <v>38</v>
      </c>
      <c r="E195" t="s">
        <v>60</v>
      </c>
      <c r="F195" t="s">
        <v>105</v>
      </c>
      <c r="G195" t="s">
        <v>248</v>
      </c>
      <c r="H195" t="s">
        <v>294</v>
      </c>
      <c r="I195" t="s">
        <v>376</v>
      </c>
      <c r="K195" t="s">
        <v>466</v>
      </c>
      <c r="L195" t="s">
        <v>469</v>
      </c>
      <c r="M195" t="s">
        <v>471</v>
      </c>
      <c r="N195" t="s">
        <v>515</v>
      </c>
      <c r="O195" t="s">
        <v>821</v>
      </c>
      <c r="P195" s="1">
        <f>HYPERLINK("https://ec.europa.eu/info/funding-tenders/opportunities/portal/screen/opportunities/topic-details/horizon-cl3-2023-fct-01-06", "HORIZON-CL3-2023-FCT-01-06")</f>
        <v>0</v>
      </c>
      <c r="Q195" t="s">
        <v>1167</v>
      </c>
    </row>
    <row r="196" spans="1:17">
      <c r="A196">
        <v>45763614</v>
      </c>
      <c r="B196">
        <v>2023</v>
      </c>
      <c r="C196" t="s">
        <v>18</v>
      </c>
      <c r="D196" t="s">
        <v>38</v>
      </c>
      <c r="E196" t="s">
        <v>60</v>
      </c>
      <c r="F196" t="s">
        <v>106</v>
      </c>
      <c r="G196" t="s">
        <v>248</v>
      </c>
      <c r="H196" t="s">
        <v>294</v>
      </c>
      <c r="I196" t="s">
        <v>376</v>
      </c>
      <c r="K196" t="s">
        <v>466</v>
      </c>
      <c r="L196" t="s">
        <v>469</v>
      </c>
      <c r="M196" t="s">
        <v>473</v>
      </c>
      <c r="N196" t="s">
        <v>516</v>
      </c>
      <c r="O196" t="s">
        <v>822</v>
      </c>
      <c r="P196" s="1">
        <f>HYPERLINK("https://ec.europa.eu/info/funding-tenders/opportunities/portal/screen/opportunities/topic-details/horizon-cl3-2023-infra-01-01", "HORIZON-CL3-2023-INFRA-01-01")</f>
        <v>0</v>
      </c>
      <c r="Q196" t="s">
        <v>1168</v>
      </c>
    </row>
    <row r="197" spans="1:17">
      <c r="A197">
        <v>45763638</v>
      </c>
      <c r="B197">
        <v>2023</v>
      </c>
      <c r="C197" t="s">
        <v>18</v>
      </c>
      <c r="D197" t="s">
        <v>38</v>
      </c>
      <c r="E197" t="s">
        <v>60</v>
      </c>
      <c r="F197" t="s">
        <v>106</v>
      </c>
      <c r="G197" t="s">
        <v>248</v>
      </c>
      <c r="H197" t="s">
        <v>294</v>
      </c>
      <c r="I197" t="s">
        <v>376</v>
      </c>
      <c r="K197" t="s">
        <v>466</v>
      </c>
      <c r="L197" t="s">
        <v>469</v>
      </c>
      <c r="M197" t="s">
        <v>473</v>
      </c>
      <c r="N197" t="s">
        <v>516</v>
      </c>
      <c r="O197" t="s">
        <v>822</v>
      </c>
      <c r="P197" s="1">
        <f>HYPERLINK("https://ec.europa.eu/info/funding-tenders/opportunities/portal/screen/opportunities/topic-details/horizon-cl3-2023-infra-01-02", "HORIZON-CL3-2023-INFRA-01-02")</f>
        <v>0</v>
      </c>
      <c r="Q197" t="s">
        <v>1169</v>
      </c>
    </row>
    <row r="198" spans="1:17">
      <c r="A198">
        <v>45763663</v>
      </c>
      <c r="B198">
        <v>2023</v>
      </c>
      <c r="C198" t="s">
        <v>18</v>
      </c>
      <c r="D198" t="s">
        <v>38</v>
      </c>
      <c r="E198" t="s">
        <v>60</v>
      </c>
      <c r="F198" t="s">
        <v>107</v>
      </c>
      <c r="G198" t="s">
        <v>248</v>
      </c>
      <c r="H198" t="s">
        <v>294</v>
      </c>
      <c r="I198" t="s">
        <v>376</v>
      </c>
      <c r="K198" t="s">
        <v>466</v>
      </c>
      <c r="L198" t="s">
        <v>469</v>
      </c>
      <c r="M198" t="s">
        <v>472</v>
      </c>
      <c r="N198" t="s">
        <v>517</v>
      </c>
      <c r="O198" t="s">
        <v>823</v>
      </c>
      <c r="P198" s="1">
        <f>HYPERLINK("https://ec.europa.eu/info/funding-tenders/opportunities/portal/screen/opportunities/topic-details/horizon-cl3-2023-ssri-01-01", "HORIZON-CL3-2023-SSRI-01-01")</f>
        <v>0</v>
      </c>
      <c r="Q198" t="s">
        <v>1170</v>
      </c>
    </row>
    <row r="199" spans="1:17">
      <c r="A199">
        <v>45763682</v>
      </c>
      <c r="B199">
        <v>2023</v>
      </c>
      <c r="C199" t="s">
        <v>18</v>
      </c>
      <c r="D199" t="s">
        <v>38</v>
      </c>
      <c r="E199" t="s">
        <v>60</v>
      </c>
      <c r="F199" t="s">
        <v>107</v>
      </c>
      <c r="G199" t="s">
        <v>248</v>
      </c>
      <c r="H199" t="s">
        <v>294</v>
      </c>
      <c r="I199" t="s">
        <v>376</v>
      </c>
      <c r="K199" t="s">
        <v>466</v>
      </c>
      <c r="L199" t="s">
        <v>469</v>
      </c>
      <c r="M199" t="s">
        <v>473</v>
      </c>
      <c r="N199" t="s">
        <v>517</v>
      </c>
      <c r="O199" t="s">
        <v>823</v>
      </c>
      <c r="P199" s="1">
        <f>HYPERLINK("https://ec.europa.eu/info/funding-tenders/opportunities/portal/screen/opportunities/topic-details/horizon-cl3-2023-ssri-01-02", "HORIZON-CL3-2023-SSRI-01-02")</f>
        <v>0</v>
      </c>
      <c r="Q199" t="s">
        <v>1171</v>
      </c>
    </row>
    <row r="200" spans="1:17">
      <c r="A200">
        <v>45944077</v>
      </c>
      <c r="B200">
        <v>2024</v>
      </c>
      <c r="C200" t="s">
        <v>18</v>
      </c>
      <c r="D200" t="s">
        <v>38</v>
      </c>
      <c r="E200" t="s">
        <v>60</v>
      </c>
      <c r="F200" t="s">
        <v>102</v>
      </c>
      <c r="G200" t="s">
        <v>248</v>
      </c>
      <c r="H200" t="s">
        <v>303</v>
      </c>
      <c r="I200" t="s">
        <v>377</v>
      </c>
      <c r="K200" t="s">
        <v>468</v>
      </c>
      <c r="L200" t="s">
        <v>469</v>
      </c>
      <c r="M200" t="s">
        <v>471</v>
      </c>
      <c r="N200" t="s">
        <v>518</v>
      </c>
      <c r="O200" t="s">
        <v>824</v>
      </c>
      <c r="P200" s="1">
        <f>HYPERLINK("https://ec.europa.eu/info/funding-tenders/opportunities/portal/screen/opportunities/topic-details/horizon-cl3-2024-bm-01-01", "HORIZON-CL3-2024-BM-01-01")</f>
        <v>0</v>
      </c>
      <c r="Q200" t="s">
        <v>1165</v>
      </c>
    </row>
    <row r="201" spans="1:17">
      <c r="A201">
        <v>45764004</v>
      </c>
      <c r="B201">
        <v>2024</v>
      </c>
      <c r="C201" t="s">
        <v>18</v>
      </c>
      <c r="D201" t="s">
        <v>38</v>
      </c>
      <c r="E201" t="s">
        <v>60</v>
      </c>
      <c r="F201" t="s">
        <v>102</v>
      </c>
      <c r="G201" t="s">
        <v>248</v>
      </c>
      <c r="H201" t="s">
        <v>303</v>
      </c>
      <c r="I201" t="s">
        <v>377</v>
      </c>
      <c r="K201" t="s">
        <v>468</v>
      </c>
      <c r="L201" t="s">
        <v>469</v>
      </c>
      <c r="M201" t="s">
        <v>473</v>
      </c>
      <c r="N201" t="s">
        <v>518</v>
      </c>
      <c r="O201" t="s">
        <v>824</v>
      </c>
      <c r="P201" s="1">
        <f>HYPERLINK("https://ec.europa.eu/info/funding-tenders/opportunities/portal/screen/opportunities/topic-details/horizon-cl3-2024-bm-01-02", "HORIZON-CL3-2024-BM-01-02")</f>
        <v>0</v>
      </c>
      <c r="Q201" t="s">
        <v>1172</v>
      </c>
    </row>
    <row r="202" spans="1:17">
      <c r="A202">
        <v>45764050</v>
      </c>
      <c r="B202">
        <v>2024</v>
      </c>
      <c r="C202" t="s">
        <v>18</v>
      </c>
      <c r="D202" t="s">
        <v>38</v>
      </c>
      <c r="E202" t="s">
        <v>60</v>
      </c>
      <c r="F202" t="s">
        <v>102</v>
      </c>
      <c r="G202" t="s">
        <v>248</v>
      </c>
      <c r="H202" t="s">
        <v>303</v>
      </c>
      <c r="I202" t="s">
        <v>377</v>
      </c>
      <c r="K202" t="s">
        <v>468</v>
      </c>
      <c r="L202" t="s">
        <v>469</v>
      </c>
      <c r="M202" t="s">
        <v>473</v>
      </c>
      <c r="N202" t="s">
        <v>518</v>
      </c>
      <c r="O202" t="s">
        <v>824</v>
      </c>
      <c r="P202" s="1">
        <f>HYPERLINK("https://ec.europa.eu/info/funding-tenders/opportunities/portal/screen/opportunities/topic-details/horizon-cl3-2024-bm-01-03", "HORIZON-CL3-2024-BM-01-03")</f>
        <v>0</v>
      </c>
      <c r="Q202" t="s">
        <v>1173</v>
      </c>
    </row>
    <row r="203" spans="1:17">
      <c r="A203">
        <v>45764086</v>
      </c>
      <c r="B203">
        <v>2024</v>
      </c>
      <c r="C203" t="s">
        <v>18</v>
      </c>
      <c r="D203" t="s">
        <v>38</v>
      </c>
      <c r="E203" t="s">
        <v>60</v>
      </c>
      <c r="F203" t="s">
        <v>102</v>
      </c>
      <c r="G203" t="s">
        <v>248</v>
      </c>
      <c r="H203" t="s">
        <v>303</v>
      </c>
      <c r="I203" t="s">
        <v>377</v>
      </c>
      <c r="K203" t="s">
        <v>468</v>
      </c>
      <c r="L203" t="s">
        <v>469</v>
      </c>
      <c r="M203" t="s">
        <v>473</v>
      </c>
      <c r="N203" t="s">
        <v>518</v>
      </c>
      <c r="O203" t="s">
        <v>824</v>
      </c>
      <c r="P203" s="1">
        <f>HYPERLINK("https://ec.europa.eu/info/funding-tenders/opportunities/portal/screen/opportunities/topic-details/horizon-cl3-2024-bm-01-04", "HORIZON-CL3-2024-BM-01-04")</f>
        <v>0</v>
      </c>
      <c r="Q203" t="s">
        <v>1174</v>
      </c>
    </row>
    <row r="204" spans="1:17">
      <c r="A204">
        <v>45764108</v>
      </c>
      <c r="B204">
        <v>2024</v>
      </c>
      <c r="C204" t="s">
        <v>18</v>
      </c>
      <c r="D204" t="s">
        <v>38</v>
      </c>
      <c r="E204" t="s">
        <v>60</v>
      </c>
      <c r="F204" t="s">
        <v>102</v>
      </c>
      <c r="G204" t="s">
        <v>248</v>
      </c>
      <c r="H204" t="s">
        <v>303</v>
      </c>
      <c r="I204" t="s">
        <v>377</v>
      </c>
      <c r="K204" t="s">
        <v>468</v>
      </c>
      <c r="L204" t="s">
        <v>469</v>
      </c>
      <c r="M204" t="s">
        <v>471</v>
      </c>
      <c r="N204" t="s">
        <v>518</v>
      </c>
      <c r="O204" t="s">
        <v>824</v>
      </c>
      <c r="P204" s="1">
        <f>HYPERLINK("https://ec.europa.eu/info/funding-tenders/opportunities/portal/screen/opportunities/topic-details/horizon-cl3-2024-bm-01-05", "HORIZON-CL3-2024-BM-01-05")</f>
        <v>0</v>
      </c>
      <c r="Q204" t="s">
        <v>1175</v>
      </c>
    </row>
    <row r="205" spans="1:17">
      <c r="A205">
        <v>45763967</v>
      </c>
      <c r="B205">
        <v>2024</v>
      </c>
      <c r="C205" t="s">
        <v>18</v>
      </c>
      <c r="D205" t="s">
        <v>38</v>
      </c>
      <c r="E205" t="s">
        <v>61</v>
      </c>
      <c r="F205" t="s">
        <v>103</v>
      </c>
      <c r="G205" t="s">
        <v>248</v>
      </c>
      <c r="H205" t="s">
        <v>303</v>
      </c>
      <c r="I205" t="s">
        <v>377</v>
      </c>
      <c r="K205" t="s">
        <v>468</v>
      </c>
      <c r="L205" t="s">
        <v>469</v>
      </c>
      <c r="M205" t="s">
        <v>473</v>
      </c>
      <c r="N205" t="s">
        <v>519</v>
      </c>
      <c r="O205" t="s">
        <v>825</v>
      </c>
      <c r="P205" s="1">
        <f>HYPERLINK("https://ec.europa.eu/info/funding-tenders/opportunities/portal/screen/opportunities/topic-details/horizon-cl3-2024-cs-01-01", "HORIZON-CL3-2024-CS-01-01")</f>
        <v>0</v>
      </c>
      <c r="Q205" t="s">
        <v>1176</v>
      </c>
    </row>
    <row r="206" spans="1:17">
      <c r="A206">
        <v>45763985</v>
      </c>
      <c r="B206">
        <v>2024</v>
      </c>
      <c r="C206" t="s">
        <v>18</v>
      </c>
      <c r="D206" t="s">
        <v>38</v>
      </c>
      <c r="E206" t="s">
        <v>61</v>
      </c>
      <c r="F206" t="s">
        <v>103</v>
      </c>
      <c r="G206" t="s">
        <v>248</v>
      </c>
      <c r="H206" t="s">
        <v>303</v>
      </c>
      <c r="I206" t="s">
        <v>377</v>
      </c>
      <c r="K206" t="s">
        <v>468</v>
      </c>
      <c r="L206" t="s">
        <v>469</v>
      </c>
      <c r="M206" t="s">
        <v>471</v>
      </c>
      <c r="N206" t="s">
        <v>519</v>
      </c>
      <c r="O206" t="s">
        <v>825</v>
      </c>
      <c r="P206" s="1">
        <f>HYPERLINK("https://ec.europa.eu/info/funding-tenders/opportunities/portal/screen/opportunities/topic-details/horizon-cl3-2024-cs-01-02", "HORIZON-CL3-2024-CS-01-02")</f>
        <v>0</v>
      </c>
      <c r="Q206" t="s">
        <v>1177</v>
      </c>
    </row>
    <row r="207" spans="1:17">
      <c r="A207">
        <v>45764130</v>
      </c>
      <c r="B207">
        <v>2024</v>
      </c>
      <c r="C207" t="s">
        <v>18</v>
      </c>
      <c r="D207" t="s">
        <v>38</v>
      </c>
      <c r="E207" t="s">
        <v>62</v>
      </c>
      <c r="F207" t="s">
        <v>104</v>
      </c>
      <c r="G207" t="s">
        <v>248</v>
      </c>
      <c r="H207" t="s">
        <v>303</v>
      </c>
      <c r="I207" t="s">
        <v>377</v>
      </c>
      <c r="K207" t="s">
        <v>468</v>
      </c>
      <c r="L207" t="s">
        <v>469</v>
      </c>
      <c r="M207" t="s">
        <v>471</v>
      </c>
      <c r="N207" t="s">
        <v>520</v>
      </c>
      <c r="O207" t="s">
        <v>826</v>
      </c>
      <c r="P207" s="1">
        <f>HYPERLINK("https://ec.europa.eu/info/funding-tenders/opportunities/portal/screen/opportunities/topic-details/horizon-cl3-2024-drs-01-01", "HORIZON-CL3-2024-DRS-01-01")</f>
        <v>0</v>
      </c>
      <c r="Q207" t="s">
        <v>1178</v>
      </c>
    </row>
    <row r="208" spans="1:17">
      <c r="A208">
        <v>45944199</v>
      </c>
      <c r="B208">
        <v>2024</v>
      </c>
      <c r="C208" t="s">
        <v>18</v>
      </c>
      <c r="D208" t="s">
        <v>38</v>
      </c>
      <c r="E208" t="s">
        <v>62</v>
      </c>
      <c r="F208" t="s">
        <v>104</v>
      </c>
      <c r="G208" t="s">
        <v>248</v>
      </c>
      <c r="H208" t="s">
        <v>303</v>
      </c>
      <c r="I208" t="s">
        <v>377</v>
      </c>
      <c r="K208" t="s">
        <v>468</v>
      </c>
      <c r="L208" t="s">
        <v>469</v>
      </c>
      <c r="M208" t="s">
        <v>471</v>
      </c>
      <c r="N208" t="s">
        <v>520</v>
      </c>
      <c r="O208" t="s">
        <v>826</v>
      </c>
      <c r="P208" s="1">
        <f>HYPERLINK("https://ec.europa.eu/info/funding-tenders/opportunities/portal/screen/opportunities/topic-details/horizon-cl3-2024-drs-01-02", "HORIZON-CL3-2024-DRS-01-02")</f>
        <v>0</v>
      </c>
      <c r="Q208" t="s">
        <v>1165</v>
      </c>
    </row>
    <row r="209" spans="1:17">
      <c r="A209">
        <v>45764158</v>
      </c>
      <c r="B209">
        <v>2024</v>
      </c>
      <c r="C209" t="s">
        <v>18</v>
      </c>
      <c r="D209" t="s">
        <v>38</v>
      </c>
      <c r="E209" t="s">
        <v>62</v>
      </c>
      <c r="F209" t="s">
        <v>104</v>
      </c>
      <c r="G209" t="s">
        <v>248</v>
      </c>
      <c r="H209" t="s">
        <v>303</v>
      </c>
      <c r="I209" t="s">
        <v>377</v>
      </c>
      <c r="K209" t="s">
        <v>468</v>
      </c>
      <c r="L209" t="s">
        <v>469</v>
      </c>
      <c r="M209" t="s">
        <v>473</v>
      </c>
      <c r="N209" t="s">
        <v>520</v>
      </c>
      <c r="O209" t="s">
        <v>826</v>
      </c>
      <c r="P209" s="1">
        <f>HYPERLINK("https://ec.europa.eu/info/funding-tenders/opportunities/portal/screen/opportunities/topic-details/horizon-cl3-2024-drs-01-03", "HORIZON-CL3-2024-DRS-01-03")</f>
        <v>0</v>
      </c>
      <c r="Q209" t="s">
        <v>1179</v>
      </c>
    </row>
    <row r="210" spans="1:17">
      <c r="A210">
        <v>45764181</v>
      </c>
      <c r="B210">
        <v>2024</v>
      </c>
      <c r="C210" t="s">
        <v>18</v>
      </c>
      <c r="D210" t="s">
        <v>38</v>
      </c>
      <c r="E210" t="s">
        <v>62</v>
      </c>
      <c r="F210" t="s">
        <v>104</v>
      </c>
      <c r="G210" t="s">
        <v>248</v>
      </c>
      <c r="H210" t="s">
        <v>303</v>
      </c>
      <c r="I210" t="s">
        <v>377</v>
      </c>
      <c r="K210" t="s">
        <v>468</v>
      </c>
      <c r="L210" t="s">
        <v>469</v>
      </c>
      <c r="M210" t="s">
        <v>471</v>
      </c>
      <c r="N210" t="s">
        <v>520</v>
      </c>
      <c r="O210" t="s">
        <v>826</v>
      </c>
      <c r="P210" s="1">
        <f>HYPERLINK("https://ec.europa.eu/info/funding-tenders/opportunities/portal/screen/opportunities/topic-details/horizon-cl3-2024-drs-01-04", "HORIZON-CL3-2024-DRS-01-04")</f>
        <v>0</v>
      </c>
      <c r="Q210" t="s">
        <v>1180</v>
      </c>
    </row>
    <row r="211" spans="1:17">
      <c r="A211">
        <v>45764207</v>
      </c>
      <c r="B211">
        <v>2024</v>
      </c>
      <c r="C211" t="s">
        <v>18</v>
      </c>
      <c r="D211" t="s">
        <v>38</v>
      </c>
      <c r="E211" t="s">
        <v>62</v>
      </c>
      <c r="F211" t="s">
        <v>104</v>
      </c>
      <c r="G211" t="s">
        <v>248</v>
      </c>
      <c r="H211" t="s">
        <v>303</v>
      </c>
      <c r="I211" t="s">
        <v>377</v>
      </c>
      <c r="K211" t="s">
        <v>468</v>
      </c>
      <c r="L211" t="s">
        <v>469</v>
      </c>
      <c r="M211" t="s">
        <v>471</v>
      </c>
      <c r="N211" t="s">
        <v>520</v>
      </c>
      <c r="O211" t="s">
        <v>826</v>
      </c>
      <c r="P211" s="1">
        <f>HYPERLINK("https://ec.europa.eu/info/funding-tenders/opportunities/portal/screen/opportunities/topic-details/horizon-cl3-2024-drs-01-05", "HORIZON-CL3-2024-DRS-01-05")</f>
        <v>0</v>
      </c>
      <c r="Q211" t="s">
        <v>1181</v>
      </c>
    </row>
    <row r="212" spans="1:17">
      <c r="A212">
        <v>45764233</v>
      </c>
      <c r="B212">
        <v>2024</v>
      </c>
      <c r="C212" t="s">
        <v>18</v>
      </c>
      <c r="D212" t="s">
        <v>38</v>
      </c>
      <c r="E212" t="s">
        <v>60</v>
      </c>
      <c r="F212" t="s">
        <v>105</v>
      </c>
      <c r="G212" t="s">
        <v>248</v>
      </c>
      <c r="H212" t="s">
        <v>303</v>
      </c>
      <c r="I212" t="s">
        <v>377</v>
      </c>
      <c r="K212" t="s">
        <v>468</v>
      </c>
      <c r="L212" t="s">
        <v>469</v>
      </c>
      <c r="M212" t="s">
        <v>471</v>
      </c>
      <c r="N212" t="s">
        <v>521</v>
      </c>
      <c r="O212" t="s">
        <v>827</v>
      </c>
      <c r="P212" s="1">
        <f>HYPERLINK("https://ec.europa.eu/info/funding-tenders/opportunities/portal/screen/opportunities/topic-details/horizon-cl3-2024-fct-01-01", "HORIZON-CL3-2024-FCT-01-01")</f>
        <v>0</v>
      </c>
      <c r="Q212" t="s">
        <v>1182</v>
      </c>
    </row>
    <row r="213" spans="1:17">
      <c r="A213">
        <v>45764266</v>
      </c>
      <c r="B213">
        <v>2024</v>
      </c>
      <c r="C213" t="s">
        <v>18</v>
      </c>
      <c r="D213" t="s">
        <v>38</v>
      </c>
      <c r="E213" t="s">
        <v>60</v>
      </c>
      <c r="F213" t="s">
        <v>105</v>
      </c>
      <c r="G213" t="s">
        <v>248</v>
      </c>
      <c r="H213" t="s">
        <v>303</v>
      </c>
      <c r="I213" t="s">
        <v>377</v>
      </c>
      <c r="K213" t="s">
        <v>468</v>
      </c>
      <c r="L213" t="s">
        <v>469</v>
      </c>
      <c r="M213" t="s">
        <v>471</v>
      </c>
      <c r="N213" t="s">
        <v>521</v>
      </c>
      <c r="O213" t="s">
        <v>827</v>
      </c>
      <c r="P213" s="1">
        <f>HYPERLINK("https://ec.europa.eu/info/funding-tenders/opportunities/portal/screen/opportunities/topic-details/horizon-cl3-2024-fct-01-02", "HORIZON-CL3-2024-FCT-01-02")</f>
        <v>0</v>
      </c>
      <c r="Q213" t="s">
        <v>1165</v>
      </c>
    </row>
    <row r="214" spans="1:17">
      <c r="A214">
        <v>45764295</v>
      </c>
      <c r="B214">
        <v>2024</v>
      </c>
      <c r="C214" t="s">
        <v>18</v>
      </c>
      <c r="D214" t="s">
        <v>38</v>
      </c>
      <c r="E214" t="s">
        <v>60</v>
      </c>
      <c r="F214" t="s">
        <v>105</v>
      </c>
      <c r="G214" t="s">
        <v>248</v>
      </c>
      <c r="H214" t="s">
        <v>303</v>
      </c>
      <c r="I214" t="s">
        <v>377</v>
      </c>
      <c r="K214" t="s">
        <v>468</v>
      </c>
      <c r="L214" t="s">
        <v>469</v>
      </c>
      <c r="M214" t="s">
        <v>471</v>
      </c>
      <c r="N214" t="s">
        <v>521</v>
      </c>
      <c r="O214" t="s">
        <v>827</v>
      </c>
      <c r="P214" s="1">
        <f>HYPERLINK("https://ec.europa.eu/info/funding-tenders/opportunities/portal/screen/opportunities/topic-details/horizon-cl3-2024-fct-01-03", "HORIZON-CL3-2024-FCT-01-03")</f>
        <v>0</v>
      </c>
      <c r="Q214" t="s">
        <v>1183</v>
      </c>
    </row>
    <row r="215" spans="1:17">
      <c r="A215">
        <v>45764331</v>
      </c>
      <c r="B215">
        <v>2024</v>
      </c>
      <c r="C215" t="s">
        <v>18</v>
      </c>
      <c r="D215" t="s">
        <v>38</v>
      </c>
      <c r="E215" t="s">
        <v>60</v>
      </c>
      <c r="F215" t="s">
        <v>105</v>
      </c>
      <c r="G215" t="s">
        <v>248</v>
      </c>
      <c r="H215" t="s">
        <v>303</v>
      </c>
      <c r="I215" t="s">
        <v>377</v>
      </c>
      <c r="K215" t="s">
        <v>468</v>
      </c>
      <c r="L215" t="s">
        <v>469</v>
      </c>
      <c r="M215" t="s">
        <v>471</v>
      </c>
      <c r="N215" t="s">
        <v>521</v>
      </c>
      <c r="O215" t="s">
        <v>827</v>
      </c>
      <c r="P215" s="1">
        <f>HYPERLINK("https://ec.europa.eu/info/funding-tenders/opportunities/portal/screen/opportunities/topic-details/horizon-cl3-2024-fct-01-04", "HORIZON-CL3-2024-FCT-01-04")</f>
        <v>0</v>
      </c>
      <c r="Q215" t="s">
        <v>1184</v>
      </c>
    </row>
    <row r="216" spans="1:17">
      <c r="A216">
        <v>45944421</v>
      </c>
      <c r="B216">
        <v>2024</v>
      </c>
      <c r="C216" t="s">
        <v>18</v>
      </c>
      <c r="D216" t="s">
        <v>38</v>
      </c>
      <c r="E216" t="s">
        <v>60</v>
      </c>
      <c r="F216" t="s">
        <v>105</v>
      </c>
      <c r="G216" t="s">
        <v>248</v>
      </c>
      <c r="H216" t="s">
        <v>303</v>
      </c>
      <c r="I216" t="s">
        <v>377</v>
      </c>
      <c r="K216" t="s">
        <v>468</v>
      </c>
      <c r="L216" t="s">
        <v>469</v>
      </c>
      <c r="M216" t="s">
        <v>473</v>
      </c>
      <c r="N216" t="s">
        <v>521</v>
      </c>
      <c r="O216" t="s">
        <v>827</v>
      </c>
      <c r="P216" s="1">
        <f>HYPERLINK("https://ec.europa.eu/info/funding-tenders/opportunities/portal/screen/opportunities/topic-details/horizon-cl3-2024-fct-01-05", "HORIZON-CL3-2024-FCT-01-05")</f>
        <v>0</v>
      </c>
      <c r="Q216" t="s">
        <v>1185</v>
      </c>
    </row>
    <row r="217" spans="1:17">
      <c r="A217">
        <v>45944433</v>
      </c>
      <c r="B217">
        <v>2024</v>
      </c>
      <c r="C217" t="s">
        <v>18</v>
      </c>
      <c r="D217" t="s">
        <v>38</v>
      </c>
      <c r="E217" t="s">
        <v>60</v>
      </c>
      <c r="F217" t="s">
        <v>105</v>
      </c>
      <c r="G217" t="s">
        <v>248</v>
      </c>
      <c r="H217" t="s">
        <v>303</v>
      </c>
      <c r="I217" t="s">
        <v>377</v>
      </c>
      <c r="K217" t="s">
        <v>468</v>
      </c>
      <c r="L217" t="s">
        <v>469</v>
      </c>
      <c r="M217" t="s">
        <v>471</v>
      </c>
      <c r="N217" t="s">
        <v>521</v>
      </c>
      <c r="O217" t="s">
        <v>827</v>
      </c>
      <c r="P217" s="1">
        <f>HYPERLINK("https://ec.europa.eu/info/funding-tenders/opportunities/portal/screen/opportunities/topic-details/horizon-cl3-2024-fct-01-06", "HORIZON-CL3-2024-FCT-01-06")</f>
        <v>0</v>
      </c>
      <c r="Q217" t="s">
        <v>1165</v>
      </c>
    </row>
    <row r="218" spans="1:17">
      <c r="A218">
        <v>45764370</v>
      </c>
      <c r="B218">
        <v>2024</v>
      </c>
      <c r="C218" t="s">
        <v>18</v>
      </c>
      <c r="D218" t="s">
        <v>38</v>
      </c>
      <c r="E218" t="s">
        <v>60</v>
      </c>
      <c r="F218" t="s">
        <v>105</v>
      </c>
      <c r="G218" t="s">
        <v>248</v>
      </c>
      <c r="H218" t="s">
        <v>303</v>
      </c>
      <c r="I218" t="s">
        <v>377</v>
      </c>
      <c r="K218" t="s">
        <v>468</v>
      </c>
      <c r="L218" t="s">
        <v>469</v>
      </c>
      <c r="M218" t="s">
        <v>473</v>
      </c>
      <c r="N218" t="s">
        <v>521</v>
      </c>
      <c r="O218" t="s">
        <v>827</v>
      </c>
      <c r="P218" s="1">
        <f>HYPERLINK("https://ec.europa.eu/info/funding-tenders/opportunities/portal/screen/opportunities/topic-details/horizon-cl3-2024-fct-01-07", "HORIZON-CL3-2024-FCT-01-07")</f>
        <v>0</v>
      </c>
      <c r="Q218" t="s">
        <v>1186</v>
      </c>
    </row>
    <row r="219" spans="1:17">
      <c r="A219">
        <v>45764412</v>
      </c>
      <c r="B219">
        <v>2024</v>
      </c>
      <c r="C219" t="s">
        <v>18</v>
      </c>
      <c r="D219" t="s">
        <v>38</v>
      </c>
      <c r="E219" t="s">
        <v>60</v>
      </c>
      <c r="F219" t="s">
        <v>105</v>
      </c>
      <c r="G219" t="s">
        <v>248</v>
      </c>
      <c r="H219" t="s">
        <v>303</v>
      </c>
      <c r="I219" t="s">
        <v>377</v>
      </c>
      <c r="K219" t="s">
        <v>468</v>
      </c>
      <c r="L219" t="s">
        <v>469</v>
      </c>
      <c r="M219" t="s">
        <v>473</v>
      </c>
      <c r="N219" t="s">
        <v>521</v>
      </c>
      <c r="O219" t="s">
        <v>827</v>
      </c>
      <c r="P219" s="1">
        <f>HYPERLINK("https://ec.europa.eu/info/funding-tenders/opportunities/portal/screen/opportunities/topic-details/horizon-cl3-2024-fct-01-08", "HORIZON-CL3-2024-FCT-01-08")</f>
        <v>0</v>
      </c>
      <c r="Q219" t="s">
        <v>1187</v>
      </c>
    </row>
    <row r="220" spans="1:17">
      <c r="A220">
        <v>45946070</v>
      </c>
      <c r="B220">
        <v>2024</v>
      </c>
      <c r="C220" t="s">
        <v>18</v>
      </c>
      <c r="D220" t="s">
        <v>38</v>
      </c>
      <c r="E220" t="s">
        <v>60</v>
      </c>
      <c r="F220" t="s">
        <v>106</v>
      </c>
      <c r="G220" t="s">
        <v>248</v>
      </c>
      <c r="H220" t="s">
        <v>303</v>
      </c>
      <c r="I220" t="s">
        <v>377</v>
      </c>
      <c r="K220" t="s">
        <v>468</v>
      </c>
      <c r="L220" t="s">
        <v>469</v>
      </c>
      <c r="M220" t="s">
        <v>473</v>
      </c>
      <c r="N220" t="s">
        <v>522</v>
      </c>
      <c r="O220" t="s">
        <v>828</v>
      </c>
      <c r="P220" s="1">
        <f>HYPERLINK("https://ec.europa.eu/info/funding-tenders/opportunities/portal/screen/opportunities/topic-details/horizon-cl3-2024-infra-01-01", "HORIZON-CL3-2024-INFRA-01-01")</f>
        <v>0</v>
      </c>
      <c r="Q220" t="s">
        <v>1165</v>
      </c>
    </row>
    <row r="221" spans="1:17">
      <c r="A221">
        <v>45764449</v>
      </c>
      <c r="B221">
        <v>2024</v>
      </c>
      <c r="C221" t="s">
        <v>18</v>
      </c>
      <c r="D221" t="s">
        <v>38</v>
      </c>
      <c r="E221" t="s">
        <v>60</v>
      </c>
      <c r="F221" t="s">
        <v>106</v>
      </c>
      <c r="G221" t="s">
        <v>248</v>
      </c>
      <c r="H221" t="s">
        <v>303</v>
      </c>
      <c r="I221" t="s">
        <v>377</v>
      </c>
      <c r="K221" t="s">
        <v>468</v>
      </c>
      <c r="L221" t="s">
        <v>469</v>
      </c>
      <c r="M221" t="s">
        <v>473</v>
      </c>
      <c r="N221" t="s">
        <v>522</v>
      </c>
      <c r="O221" t="s">
        <v>828</v>
      </c>
      <c r="P221" s="1">
        <f>HYPERLINK("https://ec.europa.eu/info/funding-tenders/opportunities/portal/screen/opportunities/topic-details/horizon-cl3-2024-infra-01-02", "HORIZON-CL3-2024-INFRA-01-02")</f>
        <v>0</v>
      </c>
      <c r="Q221" t="s">
        <v>1188</v>
      </c>
    </row>
    <row r="222" spans="1:17">
      <c r="A222">
        <v>45764475</v>
      </c>
      <c r="B222">
        <v>2024</v>
      </c>
      <c r="C222" t="s">
        <v>18</v>
      </c>
      <c r="D222" t="s">
        <v>38</v>
      </c>
      <c r="E222" t="s">
        <v>60</v>
      </c>
      <c r="F222" t="s">
        <v>106</v>
      </c>
      <c r="G222" t="s">
        <v>248</v>
      </c>
      <c r="H222" t="s">
        <v>303</v>
      </c>
      <c r="I222" t="s">
        <v>377</v>
      </c>
      <c r="K222" t="s">
        <v>468</v>
      </c>
      <c r="L222" t="s">
        <v>469</v>
      </c>
      <c r="M222" t="s">
        <v>471</v>
      </c>
      <c r="N222" t="s">
        <v>522</v>
      </c>
      <c r="O222" t="s">
        <v>828</v>
      </c>
      <c r="P222" s="1">
        <f>HYPERLINK("https://ec.europa.eu/info/funding-tenders/opportunities/portal/screen/opportunities/topic-details/horizon-cl3-2024-infra-01-03", "HORIZON-CL3-2024-INFRA-01-03")</f>
        <v>0</v>
      </c>
      <c r="Q222" t="s">
        <v>1189</v>
      </c>
    </row>
    <row r="223" spans="1:17">
      <c r="A223">
        <v>45764502</v>
      </c>
      <c r="B223">
        <v>2024</v>
      </c>
      <c r="C223" t="s">
        <v>18</v>
      </c>
      <c r="D223" t="s">
        <v>38</v>
      </c>
      <c r="E223" t="s">
        <v>60</v>
      </c>
      <c r="F223" t="s">
        <v>107</v>
      </c>
      <c r="G223" t="s">
        <v>248</v>
      </c>
      <c r="H223" t="s">
        <v>303</v>
      </c>
      <c r="I223" t="s">
        <v>377</v>
      </c>
      <c r="K223" t="s">
        <v>468</v>
      </c>
      <c r="L223" t="s">
        <v>469</v>
      </c>
      <c r="M223" t="s">
        <v>474</v>
      </c>
      <c r="N223" t="s">
        <v>523</v>
      </c>
      <c r="O223" t="s">
        <v>829</v>
      </c>
      <c r="P223" s="1">
        <f>HYPERLINK("https://ec.europa.eu/info/funding-tenders/opportunities/portal/screen/opportunities/topic-details/horizon-cl3-2024-ssri-01-01", "HORIZON-CL3-2024-SSRI-01-01")</f>
        <v>0</v>
      </c>
      <c r="Q223" t="s">
        <v>1190</v>
      </c>
    </row>
    <row r="224" spans="1:17">
      <c r="A224">
        <v>45764521</v>
      </c>
      <c r="B224">
        <v>2024</v>
      </c>
      <c r="C224" t="s">
        <v>18</v>
      </c>
      <c r="D224" t="s">
        <v>38</v>
      </c>
      <c r="E224" t="s">
        <v>60</v>
      </c>
      <c r="F224" t="s">
        <v>107</v>
      </c>
      <c r="G224" t="s">
        <v>248</v>
      </c>
      <c r="H224" t="s">
        <v>303</v>
      </c>
      <c r="I224" t="s">
        <v>377</v>
      </c>
      <c r="K224" t="s">
        <v>468</v>
      </c>
      <c r="L224" t="s">
        <v>469</v>
      </c>
      <c r="M224" t="s">
        <v>473</v>
      </c>
      <c r="N224" t="s">
        <v>523</v>
      </c>
      <c r="O224" t="s">
        <v>829</v>
      </c>
      <c r="P224" s="1">
        <f>HYPERLINK("https://ec.europa.eu/info/funding-tenders/opportunities/portal/screen/opportunities/topic-details/horizon-cl3-2024-ssri-01-02", "HORIZON-CL3-2024-SSRI-01-02")</f>
        <v>0</v>
      </c>
      <c r="Q224" t="s">
        <v>1171</v>
      </c>
    </row>
    <row r="225" spans="1:17">
      <c r="A225">
        <v>44130557</v>
      </c>
      <c r="B225">
        <v>2021</v>
      </c>
      <c r="C225" t="s">
        <v>19</v>
      </c>
      <c r="D225" t="s">
        <v>39</v>
      </c>
      <c r="E225" t="s">
        <v>63</v>
      </c>
      <c r="F225" t="s">
        <v>108</v>
      </c>
      <c r="G225" t="s">
        <v>246</v>
      </c>
      <c r="H225" t="s">
        <v>295</v>
      </c>
      <c r="I225" t="s">
        <v>373</v>
      </c>
      <c r="K225" t="s">
        <v>466</v>
      </c>
      <c r="L225" t="s">
        <v>469</v>
      </c>
      <c r="M225" t="s">
        <v>471</v>
      </c>
      <c r="N225" t="s">
        <v>524</v>
      </c>
      <c r="O225" t="s">
        <v>830</v>
      </c>
      <c r="P225" s="1">
        <f>HYPERLINK("https://ec.europa.eu/info/funding-tenders/opportunities/portal/screen/opportunities/topic-details/horizon-cl4-2021-data-01-01", "HORIZON-CL4-2021-DATA-01-01")</f>
        <v>0</v>
      </c>
      <c r="Q225" t="s">
        <v>1191</v>
      </c>
    </row>
    <row r="226" spans="1:17">
      <c r="A226">
        <v>44130667</v>
      </c>
      <c r="B226">
        <v>2021</v>
      </c>
      <c r="C226" t="s">
        <v>19</v>
      </c>
      <c r="D226" t="s">
        <v>39</v>
      </c>
      <c r="E226" t="s">
        <v>63</v>
      </c>
      <c r="F226" t="s">
        <v>108</v>
      </c>
      <c r="G226" t="s">
        <v>246</v>
      </c>
      <c r="H226" t="s">
        <v>295</v>
      </c>
      <c r="I226" t="s">
        <v>373</v>
      </c>
      <c r="K226" t="s">
        <v>466</v>
      </c>
      <c r="L226" t="s">
        <v>469</v>
      </c>
      <c r="M226" t="s">
        <v>473</v>
      </c>
      <c r="N226" t="s">
        <v>524</v>
      </c>
      <c r="O226" t="s">
        <v>830</v>
      </c>
      <c r="P226" s="1">
        <f>HYPERLINK("https://ec.europa.eu/info/funding-tenders/opportunities/portal/screen/opportunities/topic-details/horizon-cl4-2021-data-01-03", "HORIZON-CL4-2021-DATA-01-03")</f>
        <v>0</v>
      </c>
      <c r="Q226" t="s">
        <v>1192</v>
      </c>
    </row>
    <row r="227" spans="1:17">
      <c r="A227">
        <v>44130615</v>
      </c>
      <c r="B227">
        <v>2021</v>
      </c>
      <c r="C227" t="s">
        <v>19</v>
      </c>
      <c r="D227" t="s">
        <v>39</v>
      </c>
      <c r="E227" t="s">
        <v>63</v>
      </c>
      <c r="F227" t="s">
        <v>108</v>
      </c>
      <c r="G227" t="s">
        <v>246</v>
      </c>
      <c r="H227" t="s">
        <v>295</v>
      </c>
      <c r="I227" t="s">
        <v>373</v>
      </c>
      <c r="K227" t="s">
        <v>466</v>
      </c>
      <c r="L227" t="s">
        <v>469</v>
      </c>
      <c r="M227" t="s">
        <v>471</v>
      </c>
      <c r="N227" t="s">
        <v>524</v>
      </c>
      <c r="O227" t="s">
        <v>830</v>
      </c>
      <c r="P227" s="1">
        <f>HYPERLINK("https://ec.europa.eu/info/funding-tenders/opportunities/portal/screen/opportunities/topic-details/horizon-cl4-2021-data-01-05", "HORIZON-CL4-2021-DATA-01-05")</f>
        <v>0</v>
      </c>
      <c r="Q227" t="s">
        <v>1193</v>
      </c>
    </row>
    <row r="228" spans="1:17">
      <c r="A228">
        <v>44130786</v>
      </c>
      <c r="B228">
        <v>2021</v>
      </c>
      <c r="C228" t="s">
        <v>19</v>
      </c>
      <c r="D228" t="s">
        <v>39</v>
      </c>
      <c r="E228" t="s">
        <v>63</v>
      </c>
      <c r="F228" t="s">
        <v>108</v>
      </c>
      <c r="G228" t="s">
        <v>246</v>
      </c>
      <c r="H228" t="s">
        <v>295</v>
      </c>
      <c r="I228" t="s">
        <v>373</v>
      </c>
      <c r="K228" t="s">
        <v>466</v>
      </c>
      <c r="L228" t="s">
        <v>469</v>
      </c>
      <c r="M228" t="s">
        <v>472</v>
      </c>
      <c r="N228" t="s">
        <v>524</v>
      </c>
      <c r="O228" t="s">
        <v>830</v>
      </c>
      <c r="P228" s="1">
        <f>HYPERLINK("https://ec.europa.eu/info/funding-tenders/opportunities/portal/screen/opportunities/topic-details/horizon-cl4-2021-data-01-07", "HORIZON-CL4-2021-DATA-01-07")</f>
        <v>0</v>
      </c>
      <c r="Q228" t="s">
        <v>1194</v>
      </c>
    </row>
    <row r="229" spans="1:17">
      <c r="A229">
        <v>44130873</v>
      </c>
      <c r="B229">
        <v>2021</v>
      </c>
      <c r="C229" t="s">
        <v>19</v>
      </c>
      <c r="D229" t="s">
        <v>39</v>
      </c>
      <c r="E229" t="s">
        <v>63</v>
      </c>
      <c r="F229" t="s">
        <v>108</v>
      </c>
      <c r="G229" t="s">
        <v>246</v>
      </c>
      <c r="H229" t="s">
        <v>295</v>
      </c>
      <c r="I229" t="s">
        <v>373</v>
      </c>
      <c r="K229" t="s">
        <v>466</v>
      </c>
      <c r="L229" t="s">
        <v>469</v>
      </c>
      <c r="M229" t="s">
        <v>472</v>
      </c>
      <c r="N229" t="s">
        <v>524</v>
      </c>
      <c r="O229" t="s">
        <v>830</v>
      </c>
      <c r="P229" s="1">
        <f>HYPERLINK("https://ec.europa.eu/info/funding-tenders/opportunities/portal/screen/opportunities/topic-details/horizon-cl4-2021-data-01-08", "HORIZON-CL4-2021-DATA-01-08")</f>
        <v>0</v>
      </c>
      <c r="Q229" t="s">
        <v>1195</v>
      </c>
    </row>
    <row r="230" spans="1:17">
      <c r="A230">
        <v>44130913</v>
      </c>
      <c r="B230">
        <v>2021</v>
      </c>
      <c r="C230" t="s">
        <v>19</v>
      </c>
      <c r="D230" t="s">
        <v>39</v>
      </c>
      <c r="E230" t="s">
        <v>64</v>
      </c>
      <c r="F230" t="s">
        <v>109</v>
      </c>
      <c r="G230" t="s">
        <v>246</v>
      </c>
      <c r="H230" t="s">
        <v>295</v>
      </c>
      <c r="I230" t="s">
        <v>373</v>
      </c>
      <c r="K230" t="s">
        <v>466</v>
      </c>
      <c r="L230" t="s">
        <v>469</v>
      </c>
      <c r="M230" t="s">
        <v>471</v>
      </c>
      <c r="N230" t="s">
        <v>525</v>
      </c>
      <c r="O230" t="s">
        <v>831</v>
      </c>
      <c r="P230" s="1">
        <f>HYPERLINK("https://ec.europa.eu/info/funding-tenders/opportunities/portal/screen/opportunities/topic-details/horizon-cl4-2021-digital-emerging-01-01", "HORIZON-CL4-2021-DIGITAL-EMERGING-01-01")</f>
        <v>0</v>
      </c>
      <c r="Q230" t="s">
        <v>1196</v>
      </c>
    </row>
    <row r="231" spans="1:17">
      <c r="A231">
        <v>44130973</v>
      </c>
      <c r="B231">
        <v>2021</v>
      </c>
      <c r="C231" t="s">
        <v>19</v>
      </c>
      <c r="D231" t="s">
        <v>39</v>
      </c>
      <c r="E231" t="s">
        <v>64</v>
      </c>
      <c r="F231" t="s">
        <v>109</v>
      </c>
      <c r="G231" t="s">
        <v>246</v>
      </c>
      <c r="H231" t="s">
        <v>295</v>
      </c>
      <c r="I231" t="s">
        <v>373</v>
      </c>
      <c r="K231" t="s">
        <v>466</v>
      </c>
      <c r="L231" t="s">
        <v>469</v>
      </c>
      <c r="M231" t="s">
        <v>472</v>
      </c>
      <c r="N231" t="s">
        <v>525</v>
      </c>
      <c r="O231" t="s">
        <v>831</v>
      </c>
      <c r="P231" s="1">
        <f>HYPERLINK("https://ec.europa.eu/info/funding-tenders/opportunities/portal/screen/opportunities/topic-details/horizon-cl4-2021-digital-emerging-01-05", "HORIZON-CL4-2021-DIGITAL-EMERGING-01-05")</f>
        <v>0</v>
      </c>
      <c r="Q231" t="s">
        <v>1197</v>
      </c>
    </row>
    <row r="232" spans="1:17">
      <c r="A232">
        <v>44130997</v>
      </c>
      <c r="B232">
        <v>2021</v>
      </c>
      <c r="C232" t="s">
        <v>19</v>
      </c>
      <c r="D232" t="s">
        <v>39</v>
      </c>
      <c r="E232" t="s">
        <v>64</v>
      </c>
      <c r="F232" t="s">
        <v>109</v>
      </c>
      <c r="G232" t="s">
        <v>246</v>
      </c>
      <c r="H232" t="s">
        <v>295</v>
      </c>
      <c r="I232" t="s">
        <v>373</v>
      </c>
      <c r="K232" t="s">
        <v>466</v>
      </c>
      <c r="L232" t="s">
        <v>469</v>
      </c>
      <c r="M232" t="s">
        <v>473</v>
      </c>
      <c r="N232" t="s">
        <v>525</v>
      </c>
      <c r="O232" t="s">
        <v>831</v>
      </c>
      <c r="P232" s="1">
        <f>HYPERLINK("https://ec.europa.eu/info/funding-tenders/opportunities/portal/screen/opportunities/topic-details/horizon-cl4-2021-digital-emerging-01-06", "HORIZON-CL4-2021-DIGITAL-EMERGING-01-06")</f>
        <v>0</v>
      </c>
      <c r="Q232" t="s">
        <v>1198</v>
      </c>
    </row>
    <row r="233" spans="1:17">
      <c r="A233">
        <v>44131069</v>
      </c>
      <c r="B233">
        <v>2021</v>
      </c>
      <c r="C233" t="s">
        <v>19</v>
      </c>
      <c r="D233" t="s">
        <v>39</v>
      </c>
      <c r="E233" t="s">
        <v>64</v>
      </c>
      <c r="F233" t="s">
        <v>109</v>
      </c>
      <c r="G233" t="s">
        <v>246</v>
      </c>
      <c r="H233" t="s">
        <v>295</v>
      </c>
      <c r="I233" t="s">
        <v>373</v>
      </c>
      <c r="K233" t="s">
        <v>466</v>
      </c>
      <c r="L233" t="s">
        <v>469</v>
      </c>
      <c r="M233" t="s">
        <v>471</v>
      </c>
      <c r="N233" t="s">
        <v>525</v>
      </c>
      <c r="O233" t="s">
        <v>831</v>
      </c>
      <c r="P233" s="1">
        <f>HYPERLINK("https://ec.europa.eu/info/funding-tenders/opportunities/portal/screen/opportunities/topic-details/horizon-cl4-2021-digital-emerging-01-07", "HORIZON-CL4-2021-DIGITAL-EMERGING-01-07")</f>
        <v>0</v>
      </c>
      <c r="Q233" t="s">
        <v>1199</v>
      </c>
    </row>
    <row r="234" spans="1:17">
      <c r="A234">
        <v>44131103</v>
      </c>
      <c r="B234">
        <v>2021</v>
      </c>
      <c r="C234" t="s">
        <v>19</v>
      </c>
      <c r="D234" t="s">
        <v>39</v>
      </c>
      <c r="E234" t="s">
        <v>65</v>
      </c>
      <c r="F234" t="s">
        <v>109</v>
      </c>
      <c r="G234" t="s">
        <v>246</v>
      </c>
      <c r="H234" t="s">
        <v>295</v>
      </c>
      <c r="I234" t="s">
        <v>373</v>
      </c>
      <c r="K234" t="s">
        <v>466</v>
      </c>
      <c r="L234" t="s">
        <v>469</v>
      </c>
      <c r="M234" t="s">
        <v>473</v>
      </c>
      <c r="N234" t="s">
        <v>525</v>
      </c>
      <c r="O234" t="s">
        <v>831</v>
      </c>
      <c r="P234" s="1">
        <f>HYPERLINK("https://ec.europa.eu/info/funding-tenders/opportunities/portal/screen/opportunities/topic-details/horizon-cl4-2021-digital-emerging-01-09", "HORIZON-CL4-2021-DIGITAL-EMERGING-01-09")</f>
        <v>0</v>
      </c>
      <c r="Q234" t="s">
        <v>1200</v>
      </c>
    </row>
    <row r="235" spans="1:17">
      <c r="A235">
        <v>44131156</v>
      </c>
      <c r="B235">
        <v>2021</v>
      </c>
      <c r="C235" t="s">
        <v>19</v>
      </c>
      <c r="D235" t="s">
        <v>39</v>
      </c>
      <c r="E235" t="s">
        <v>65</v>
      </c>
      <c r="F235" t="s">
        <v>109</v>
      </c>
      <c r="G235" t="s">
        <v>246</v>
      </c>
      <c r="H235" t="s">
        <v>295</v>
      </c>
      <c r="I235" t="s">
        <v>373</v>
      </c>
      <c r="K235" t="s">
        <v>466</v>
      </c>
      <c r="L235" t="s">
        <v>469</v>
      </c>
      <c r="M235" t="s">
        <v>473</v>
      </c>
      <c r="N235" t="s">
        <v>525</v>
      </c>
      <c r="O235" t="s">
        <v>831</v>
      </c>
      <c r="P235" s="1">
        <f>HYPERLINK("https://ec.europa.eu/info/funding-tenders/opportunities/portal/screen/opportunities/topic-details/horizon-cl4-2021-digital-emerging-01-10", "HORIZON-CL4-2021-DIGITAL-EMERGING-01-10")</f>
        <v>0</v>
      </c>
      <c r="Q235" t="s">
        <v>1201</v>
      </c>
    </row>
    <row r="236" spans="1:17">
      <c r="A236">
        <v>44131256</v>
      </c>
      <c r="B236">
        <v>2021</v>
      </c>
      <c r="C236" t="s">
        <v>19</v>
      </c>
      <c r="D236" t="s">
        <v>39</v>
      </c>
      <c r="E236" t="s">
        <v>65</v>
      </c>
      <c r="F236" t="s">
        <v>109</v>
      </c>
      <c r="G236" t="s">
        <v>246</v>
      </c>
      <c r="H236" t="s">
        <v>295</v>
      </c>
      <c r="I236" t="s">
        <v>373</v>
      </c>
      <c r="K236" t="s">
        <v>466</v>
      </c>
      <c r="L236" t="s">
        <v>469</v>
      </c>
      <c r="M236" t="s">
        <v>471</v>
      </c>
      <c r="N236" t="s">
        <v>525</v>
      </c>
      <c r="O236" t="s">
        <v>831</v>
      </c>
      <c r="P236" s="1">
        <f>HYPERLINK("https://ec.europa.eu/info/funding-tenders/opportunities/portal/screen/opportunities/topic-details/horizon-cl4-2021-digital-emerging-01-11", "HORIZON-CL4-2021-DIGITAL-EMERGING-01-11")</f>
        <v>0</v>
      </c>
      <c r="Q236" t="s">
        <v>1202</v>
      </c>
    </row>
    <row r="237" spans="1:17">
      <c r="A237">
        <v>44131325</v>
      </c>
      <c r="B237">
        <v>2021</v>
      </c>
      <c r="C237" t="s">
        <v>19</v>
      </c>
      <c r="D237" t="s">
        <v>39</v>
      </c>
      <c r="E237" t="s">
        <v>65</v>
      </c>
      <c r="F237" t="s">
        <v>109</v>
      </c>
      <c r="G237" t="s">
        <v>246</v>
      </c>
      <c r="H237" t="s">
        <v>295</v>
      </c>
      <c r="I237" t="s">
        <v>373</v>
      </c>
      <c r="K237" t="s">
        <v>466</v>
      </c>
      <c r="L237" t="s">
        <v>469</v>
      </c>
      <c r="M237" t="s">
        <v>471</v>
      </c>
      <c r="N237" t="s">
        <v>525</v>
      </c>
      <c r="O237" t="s">
        <v>831</v>
      </c>
      <c r="P237" s="1">
        <f>HYPERLINK("https://ec.europa.eu/info/funding-tenders/opportunities/portal/screen/opportunities/topic-details/horizon-cl4-2021-digital-emerging-01-12", "HORIZON-CL4-2021-DIGITAL-EMERGING-01-12")</f>
        <v>0</v>
      </c>
      <c r="Q237" t="s">
        <v>1203</v>
      </c>
    </row>
    <row r="238" spans="1:17">
      <c r="A238">
        <v>44131503</v>
      </c>
      <c r="B238">
        <v>2021</v>
      </c>
      <c r="C238" t="s">
        <v>19</v>
      </c>
      <c r="D238" t="s">
        <v>39</v>
      </c>
      <c r="E238" t="s">
        <v>64</v>
      </c>
      <c r="F238" t="s">
        <v>109</v>
      </c>
      <c r="G238" t="s">
        <v>246</v>
      </c>
      <c r="H238" t="s">
        <v>295</v>
      </c>
      <c r="I238" t="s">
        <v>373</v>
      </c>
      <c r="K238" t="s">
        <v>466</v>
      </c>
      <c r="L238" t="s">
        <v>469</v>
      </c>
      <c r="M238" t="s">
        <v>472</v>
      </c>
      <c r="N238" t="s">
        <v>525</v>
      </c>
      <c r="O238" t="s">
        <v>831</v>
      </c>
      <c r="P238" s="1">
        <f>HYPERLINK("https://ec.europa.eu/info/funding-tenders/opportunities/portal/screen/opportunities/topic-details/horizon-cl4-2021-digital-emerging-01-13", "HORIZON-CL4-2021-DIGITAL-EMERGING-01-13")</f>
        <v>0</v>
      </c>
      <c r="Q238" t="s">
        <v>1204</v>
      </c>
    </row>
    <row r="239" spans="1:17">
      <c r="A239">
        <v>44131547</v>
      </c>
      <c r="B239">
        <v>2021</v>
      </c>
      <c r="C239" t="s">
        <v>19</v>
      </c>
      <c r="D239" t="s">
        <v>39</v>
      </c>
      <c r="E239" t="s">
        <v>64</v>
      </c>
      <c r="F239" t="s">
        <v>109</v>
      </c>
      <c r="G239" t="s">
        <v>246</v>
      </c>
      <c r="H239" t="s">
        <v>295</v>
      </c>
      <c r="I239" t="s">
        <v>373</v>
      </c>
      <c r="K239" t="s">
        <v>466</v>
      </c>
      <c r="L239" t="s">
        <v>469</v>
      </c>
      <c r="M239" t="s">
        <v>471</v>
      </c>
      <c r="N239" t="s">
        <v>525</v>
      </c>
      <c r="O239" t="s">
        <v>831</v>
      </c>
      <c r="P239" s="1">
        <f>HYPERLINK("https://ec.europa.eu/info/funding-tenders/opportunities/portal/screen/opportunities/topic-details/horizon-cl4-2021-digital-emerging-01-14", "HORIZON-CL4-2021-DIGITAL-EMERGING-01-14")</f>
        <v>0</v>
      </c>
      <c r="Q239" t="s">
        <v>1205</v>
      </c>
    </row>
    <row r="240" spans="1:17">
      <c r="A240">
        <v>44127390</v>
      </c>
      <c r="B240">
        <v>2021</v>
      </c>
      <c r="C240" t="s">
        <v>19</v>
      </c>
      <c r="D240" t="s">
        <v>39</v>
      </c>
      <c r="E240" t="s">
        <v>64</v>
      </c>
      <c r="F240" t="s">
        <v>109</v>
      </c>
      <c r="G240" t="s">
        <v>246</v>
      </c>
      <c r="H240" t="s">
        <v>295</v>
      </c>
      <c r="I240" t="s">
        <v>373</v>
      </c>
      <c r="K240" t="s">
        <v>466</v>
      </c>
      <c r="L240" t="s">
        <v>469</v>
      </c>
      <c r="M240" t="s">
        <v>471</v>
      </c>
      <c r="N240" t="s">
        <v>525</v>
      </c>
      <c r="O240" t="s">
        <v>831</v>
      </c>
      <c r="P240" s="1">
        <f>HYPERLINK("https://ec.europa.eu/info/funding-tenders/opportunities/portal/screen/opportunities/topic-details/horizon-cl4-2021-digital-emerging-01-21", "HORIZON-CL4-2021-DIGITAL-EMERGING-01-21")</f>
        <v>0</v>
      </c>
      <c r="Q240" t="s">
        <v>1206</v>
      </c>
    </row>
    <row r="241" spans="1:17">
      <c r="A241">
        <v>44127437</v>
      </c>
      <c r="B241">
        <v>2021</v>
      </c>
      <c r="C241" t="s">
        <v>19</v>
      </c>
      <c r="D241" t="s">
        <v>39</v>
      </c>
      <c r="E241" t="s">
        <v>64</v>
      </c>
      <c r="F241" t="s">
        <v>109</v>
      </c>
      <c r="G241" t="s">
        <v>246</v>
      </c>
      <c r="H241" t="s">
        <v>295</v>
      </c>
      <c r="I241" t="s">
        <v>373</v>
      </c>
      <c r="K241" t="s">
        <v>466</v>
      </c>
      <c r="L241" t="s">
        <v>469</v>
      </c>
      <c r="M241" t="s">
        <v>471</v>
      </c>
      <c r="N241" t="s">
        <v>525</v>
      </c>
      <c r="O241" t="s">
        <v>831</v>
      </c>
      <c r="P241" s="1">
        <f>HYPERLINK("https://ec.europa.eu/info/funding-tenders/opportunities/portal/screen/opportunities/topic-details/horizon-cl4-2021-digital-emerging-01-23", "HORIZON-CL4-2021-DIGITAL-EMERGING-01-23")</f>
        <v>0</v>
      </c>
      <c r="Q241" t="s">
        <v>1207</v>
      </c>
    </row>
    <row r="242" spans="1:17">
      <c r="A242">
        <v>44127280</v>
      </c>
      <c r="B242">
        <v>2021</v>
      </c>
      <c r="C242" t="s">
        <v>19</v>
      </c>
      <c r="D242" t="s">
        <v>39</v>
      </c>
      <c r="E242" t="s">
        <v>64</v>
      </c>
      <c r="F242" t="s">
        <v>109</v>
      </c>
      <c r="G242" t="s">
        <v>246</v>
      </c>
      <c r="H242" t="s">
        <v>295</v>
      </c>
      <c r="I242" t="s">
        <v>373</v>
      </c>
      <c r="K242" t="s">
        <v>466</v>
      </c>
      <c r="L242" t="s">
        <v>469</v>
      </c>
      <c r="M242" t="s">
        <v>472</v>
      </c>
      <c r="N242" t="s">
        <v>525</v>
      </c>
      <c r="O242" t="s">
        <v>831</v>
      </c>
      <c r="P242" s="1">
        <f>HYPERLINK("https://ec.europa.eu/info/funding-tenders/opportunities/portal/screen/opportunities/topic-details/horizon-cl4-2021-digital-emerging-01-26", "HORIZON-CL4-2021-DIGITAL-EMERGING-01-26")</f>
        <v>0</v>
      </c>
      <c r="Q242" t="s">
        <v>1208</v>
      </c>
    </row>
    <row r="243" spans="1:17">
      <c r="A243">
        <v>44127233</v>
      </c>
      <c r="B243">
        <v>2021</v>
      </c>
      <c r="C243" t="s">
        <v>19</v>
      </c>
      <c r="D243" t="s">
        <v>39</v>
      </c>
      <c r="E243" t="s">
        <v>64</v>
      </c>
      <c r="F243" t="s">
        <v>109</v>
      </c>
      <c r="G243" t="s">
        <v>246</v>
      </c>
      <c r="H243" t="s">
        <v>295</v>
      </c>
      <c r="I243" t="s">
        <v>373</v>
      </c>
      <c r="K243" t="s">
        <v>466</v>
      </c>
      <c r="L243" t="s">
        <v>469</v>
      </c>
      <c r="M243" t="s">
        <v>471</v>
      </c>
      <c r="N243" t="s">
        <v>525</v>
      </c>
      <c r="O243" t="s">
        <v>831</v>
      </c>
      <c r="P243" s="1">
        <f>HYPERLINK("https://ec.europa.eu/info/funding-tenders/opportunities/portal/screen/opportunities/topic-details/horizon-cl4-2021-digital-emerging-01-27", "HORIZON-CL4-2021-DIGITAL-EMERGING-01-27")</f>
        <v>0</v>
      </c>
      <c r="Q243" t="s">
        <v>1209</v>
      </c>
    </row>
    <row r="244" spans="1:17">
      <c r="A244">
        <v>44127252</v>
      </c>
      <c r="B244">
        <v>2021</v>
      </c>
      <c r="C244" t="s">
        <v>19</v>
      </c>
      <c r="D244" t="s">
        <v>39</v>
      </c>
      <c r="E244" t="s">
        <v>64</v>
      </c>
      <c r="F244" t="s">
        <v>109</v>
      </c>
      <c r="G244" t="s">
        <v>246</v>
      </c>
      <c r="H244" t="s">
        <v>295</v>
      </c>
      <c r="I244" t="s">
        <v>373</v>
      </c>
      <c r="K244" t="s">
        <v>466</v>
      </c>
      <c r="L244" t="s">
        <v>469</v>
      </c>
      <c r="M244" t="s">
        <v>471</v>
      </c>
      <c r="N244" t="s">
        <v>525</v>
      </c>
      <c r="O244" t="s">
        <v>831</v>
      </c>
      <c r="P244" s="1">
        <f>HYPERLINK("https://ec.europa.eu/info/funding-tenders/opportunities/portal/screen/opportunities/topic-details/horizon-cl4-2021-digital-emerging-01-30", "HORIZON-CL4-2021-DIGITAL-EMERGING-01-30")</f>
        <v>0</v>
      </c>
      <c r="Q244" t="s">
        <v>1210</v>
      </c>
    </row>
    <row r="245" spans="1:17">
      <c r="A245">
        <v>44130935</v>
      </c>
      <c r="B245">
        <v>2021</v>
      </c>
      <c r="C245" t="s">
        <v>19</v>
      </c>
      <c r="D245" t="s">
        <v>39</v>
      </c>
      <c r="E245" t="s">
        <v>64</v>
      </c>
      <c r="F245" t="s">
        <v>109</v>
      </c>
      <c r="G245" t="s">
        <v>246</v>
      </c>
      <c r="H245" t="s">
        <v>295</v>
      </c>
      <c r="I245" t="s">
        <v>373</v>
      </c>
      <c r="K245" t="s">
        <v>466</v>
      </c>
      <c r="L245" t="s">
        <v>469</v>
      </c>
      <c r="M245" t="s">
        <v>471</v>
      </c>
      <c r="N245" t="s">
        <v>525</v>
      </c>
      <c r="O245" t="s">
        <v>831</v>
      </c>
      <c r="P245" s="1">
        <f>HYPERLINK("https://ec.europa.eu/info/funding-tenders/opportunities/portal/screen/opportunities/topic-details/horizon-cl4-2021-digital-emerging-01-31", "HORIZON-CL4-2021-DIGITAL-EMERGING-01-31")</f>
        <v>0</v>
      </c>
      <c r="Q245" t="s">
        <v>1211</v>
      </c>
    </row>
    <row r="246" spans="1:17">
      <c r="A246">
        <v>44132797</v>
      </c>
      <c r="B246">
        <v>2021</v>
      </c>
      <c r="C246" t="s">
        <v>19</v>
      </c>
      <c r="D246" t="s">
        <v>39</v>
      </c>
      <c r="E246" t="s">
        <v>64</v>
      </c>
      <c r="F246" t="s">
        <v>109</v>
      </c>
      <c r="G246" t="s">
        <v>246</v>
      </c>
      <c r="H246" t="s">
        <v>295</v>
      </c>
      <c r="I246" t="s">
        <v>373</v>
      </c>
      <c r="K246" t="s">
        <v>466</v>
      </c>
      <c r="L246" t="s">
        <v>469</v>
      </c>
      <c r="M246" t="s">
        <v>472</v>
      </c>
      <c r="N246" t="s">
        <v>525</v>
      </c>
      <c r="O246" t="s">
        <v>831</v>
      </c>
      <c r="P246" s="1">
        <f>HYPERLINK("https://ec.europa.eu/info/funding-tenders/opportunities/portal/screen/opportunities/topic-details/horizon-cl4-2021-digital-emerging-01-32", "HORIZON-CL4-2021-DIGITAL-EMERGING-01-32")</f>
        <v>0</v>
      </c>
      <c r="Q246" t="s">
        <v>1212</v>
      </c>
    </row>
    <row r="247" spans="1:17">
      <c r="A247">
        <v>44127463</v>
      </c>
      <c r="B247">
        <v>2021</v>
      </c>
      <c r="C247" t="s">
        <v>19</v>
      </c>
      <c r="D247" t="s">
        <v>39</v>
      </c>
      <c r="E247" t="s">
        <v>64</v>
      </c>
      <c r="F247" t="s">
        <v>110</v>
      </c>
      <c r="G247" t="s">
        <v>247</v>
      </c>
      <c r="H247" t="s">
        <v>304</v>
      </c>
      <c r="I247" t="s">
        <v>334</v>
      </c>
      <c r="K247" t="s">
        <v>466</v>
      </c>
      <c r="L247" t="s">
        <v>469</v>
      </c>
      <c r="M247" t="s">
        <v>471</v>
      </c>
      <c r="N247" t="s">
        <v>526</v>
      </c>
      <c r="O247" t="s">
        <v>831</v>
      </c>
      <c r="P247" s="1">
        <f>HYPERLINK("https://ec.europa.eu/info/funding-tenders/opportunities/portal/screen/opportunities/topic-details/horizon-cl4-2021-digital-emerging-02-10", "HORIZON-CL4-2021-DIGITAL-EMERGING-02-10")</f>
        <v>0</v>
      </c>
      <c r="Q247" t="s">
        <v>1213</v>
      </c>
    </row>
    <row r="248" spans="1:17">
      <c r="A248">
        <v>44131589</v>
      </c>
      <c r="B248">
        <v>2021</v>
      </c>
      <c r="C248" t="s">
        <v>19</v>
      </c>
      <c r="D248" t="s">
        <v>39</v>
      </c>
      <c r="E248" t="s">
        <v>64</v>
      </c>
      <c r="F248" t="s">
        <v>110</v>
      </c>
      <c r="G248" t="s">
        <v>247</v>
      </c>
      <c r="H248" t="s">
        <v>304</v>
      </c>
      <c r="I248" t="s">
        <v>334</v>
      </c>
      <c r="K248" t="s">
        <v>466</v>
      </c>
      <c r="L248" t="s">
        <v>469</v>
      </c>
      <c r="M248" t="s">
        <v>475</v>
      </c>
      <c r="N248" t="s">
        <v>526</v>
      </c>
      <c r="O248" t="s">
        <v>831</v>
      </c>
      <c r="P248" s="1">
        <f>HYPERLINK("https://ec.europa.eu/info/funding-tenders/opportunities/portal/screen/opportunities/topic-details/horizon-cl4-2021-digital-emerging-02-15", "HORIZON-CL4-2021-DIGITAL-EMERGING-02-15")</f>
        <v>0</v>
      </c>
      <c r="Q248" t="s">
        <v>1214</v>
      </c>
    </row>
    <row r="249" spans="1:17">
      <c r="A249">
        <v>44127490</v>
      </c>
      <c r="B249">
        <v>2021</v>
      </c>
      <c r="C249" t="s">
        <v>19</v>
      </c>
      <c r="D249" t="s">
        <v>39</v>
      </c>
      <c r="E249" t="s">
        <v>64</v>
      </c>
      <c r="F249" t="s">
        <v>110</v>
      </c>
      <c r="G249" t="s">
        <v>247</v>
      </c>
      <c r="H249" t="s">
        <v>304</v>
      </c>
      <c r="I249" t="s">
        <v>334</v>
      </c>
      <c r="K249" t="s">
        <v>466</v>
      </c>
      <c r="L249" t="s">
        <v>469</v>
      </c>
      <c r="M249" t="s">
        <v>471</v>
      </c>
      <c r="N249" t="s">
        <v>526</v>
      </c>
      <c r="O249" t="s">
        <v>831</v>
      </c>
      <c r="P249" s="1">
        <f>HYPERLINK("https://ec.europa.eu/info/funding-tenders/opportunities/portal/screen/opportunities/topic-details/horizon-cl4-2021-digital-emerging-02-16", "HORIZON-CL4-2021-DIGITAL-EMERGING-02-16")</f>
        <v>0</v>
      </c>
      <c r="Q249" t="s">
        <v>1215</v>
      </c>
    </row>
    <row r="250" spans="1:17">
      <c r="A250">
        <v>44131614</v>
      </c>
      <c r="B250">
        <v>2021</v>
      </c>
      <c r="C250" t="s">
        <v>19</v>
      </c>
      <c r="D250" t="s">
        <v>39</v>
      </c>
      <c r="E250" t="s">
        <v>64</v>
      </c>
      <c r="F250" t="s">
        <v>110</v>
      </c>
      <c r="G250" t="s">
        <v>247</v>
      </c>
      <c r="H250" t="s">
        <v>304</v>
      </c>
      <c r="I250" t="s">
        <v>334</v>
      </c>
      <c r="K250" t="s">
        <v>466</v>
      </c>
      <c r="L250" t="s">
        <v>469</v>
      </c>
      <c r="M250" t="s">
        <v>475</v>
      </c>
      <c r="N250" t="s">
        <v>526</v>
      </c>
      <c r="O250" t="s">
        <v>831</v>
      </c>
      <c r="P250" s="1">
        <f>HYPERLINK("https://ec.europa.eu/info/funding-tenders/opportunities/portal/screen/opportunities/topic-details/horizon-cl4-2021-digital-emerging-02-17", "HORIZON-CL4-2021-DIGITAL-EMERGING-02-17")</f>
        <v>0</v>
      </c>
      <c r="Q250" t="s">
        <v>1216</v>
      </c>
    </row>
    <row r="251" spans="1:17">
      <c r="A251">
        <v>44127336</v>
      </c>
      <c r="B251">
        <v>2021</v>
      </c>
      <c r="C251" t="s">
        <v>19</v>
      </c>
      <c r="D251" t="s">
        <v>39</v>
      </c>
      <c r="E251" t="s">
        <v>64</v>
      </c>
      <c r="F251" t="s">
        <v>110</v>
      </c>
      <c r="G251" t="s">
        <v>247</v>
      </c>
      <c r="H251" t="s">
        <v>304</v>
      </c>
      <c r="I251" t="s">
        <v>334</v>
      </c>
      <c r="K251" t="s">
        <v>466</v>
      </c>
      <c r="L251" t="s">
        <v>469</v>
      </c>
      <c r="M251" t="s">
        <v>475</v>
      </c>
      <c r="N251" t="s">
        <v>526</v>
      </c>
      <c r="O251" t="s">
        <v>831</v>
      </c>
      <c r="P251" s="1">
        <f>HYPERLINK("https://ec.europa.eu/info/funding-tenders/opportunities/portal/screen/opportunities/topic-details/horizon-cl4-2021-digital-emerging-02-19", "HORIZON-CL4-2021-DIGITAL-EMERGING-02-19")</f>
        <v>0</v>
      </c>
      <c r="Q251" t="s">
        <v>1217</v>
      </c>
    </row>
    <row r="252" spans="1:17">
      <c r="A252">
        <v>44127364</v>
      </c>
      <c r="B252">
        <v>2021</v>
      </c>
      <c r="C252" t="s">
        <v>19</v>
      </c>
      <c r="D252" t="s">
        <v>39</v>
      </c>
      <c r="E252" t="s">
        <v>64</v>
      </c>
      <c r="F252" t="s">
        <v>110</v>
      </c>
      <c r="G252" t="s">
        <v>247</v>
      </c>
      <c r="H252" t="s">
        <v>304</v>
      </c>
      <c r="I252" t="s">
        <v>334</v>
      </c>
      <c r="K252" t="s">
        <v>466</v>
      </c>
      <c r="L252" t="s">
        <v>469</v>
      </c>
      <c r="M252" t="s">
        <v>473</v>
      </c>
      <c r="N252" t="s">
        <v>526</v>
      </c>
      <c r="O252" t="s">
        <v>831</v>
      </c>
      <c r="P252" s="1">
        <f>HYPERLINK("https://ec.europa.eu/info/funding-tenders/opportunities/portal/screen/opportunities/topic-details/horizon-cl4-2021-digital-emerging-02-20", "HORIZON-CL4-2021-DIGITAL-EMERGING-02-20")</f>
        <v>0</v>
      </c>
      <c r="Q252" t="s">
        <v>1218</v>
      </c>
    </row>
    <row r="253" spans="1:17">
      <c r="A253">
        <v>44127415</v>
      </c>
      <c r="B253">
        <v>2021</v>
      </c>
      <c r="C253" t="s">
        <v>19</v>
      </c>
      <c r="D253" t="s">
        <v>39</v>
      </c>
      <c r="E253" t="s">
        <v>64</v>
      </c>
      <c r="F253" t="s">
        <v>110</v>
      </c>
      <c r="G253" t="s">
        <v>247</v>
      </c>
      <c r="H253" t="s">
        <v>304</v>
      </c>
      <c r="I253" t="s">
        <v>334</v>
      </c>
      <c r="K253" t="s">
        <v>466</v>
      </c>
      <c r="L253" t="s">
        <v>469</v>
      </c>
      <c r="M253" t="s">
        <v>475</v>
      </c>
      <c r="N253" t="s">
        <v>526</v>
      </c>
      <c r="O253" t="s">
        <v>831</v>
      </c>
      <c r="P253" s="1">
        <f>HYPERLINK("https://ec.europa.eu/info/funding-tenders/opportunities/portal/screen/opportunities/topic-details/horizon-cl4-2021-digital-emerging-02-22", "HORIZON-CL4-2021-DIGITAL-EMERGING-02-22")</f>
        <v>0</v>
      </c>
      <c r="Q253" t="s">
        <v>1219</v>
      </c>
    </row>
    <row r="254" spans="1:17">
      <c r="A254">
        <v>44128755</v>
      </c>
      <c r="B254">
        <v>2021</v>
      </c>
      <c r="C254" t="s">
        <v>19</v>
      </c>
      <c r="D254" t="s">
        <v>39</v>
      </c>
      <c r="E254" t="s">
        <v>65</v>
      </c>
      <c r="F254" t="s">
        <v>111</v>
      </c>
      <c r="G254" t="s">
        <v>246</v>
      </c>
      <c r="H254" t="s">
        <v>295</v>
      </c>
      <c r="I254" t="s">
        <v>373</v>
      </c>
      <c r="K254" t="s">
        <v>466</v>
      </c>
      <c r="L254" t="s">
        <v>469</v>
      </c>
      <c r="M254" t="s">
        <v>471</v>
      </c>
      <c r="N254" t="s">
        <v>527</v>
      </c>
      <c r="O254" t="s">
        <v>832</v>
      </c>
      <c r="P254" s="1">
        <f>HYPERLINK("https://ec.europa.eu/info/funding-tenders/opportunities/portal/screen/opportunities/topic-details/horizon-cl4-2021-human-01-01", "HORIZON-CL4-2021-HUMAN-01-01")</f>
        <v>0</v>
      </c>
      <c r="Q254" t="s">
        <v>1220</v>
      </c>
    </row>
    <row r="255" spans="1:17">
      <c r="A255">
        <v>44128790</v>
      </c>
      <c r="B255">
        <v>2021</v>
      </c>
      <c r="C255" t="s">
        <v>19</v>
      </c>
      <c r="D255" t="s">
        <v>39</v>
      </c>
      <c r="E255" t="s">
        <v>65</v>
      </c>
      <c r="F255" t="s">
        <v>111</v>
      </c>
      <c r="G255" t="s">
        <v>246</v>
      </c>
      <c r="H255" t="s">
        <v>295</v>
      </c>
      <c r="I255" t="s">
        <v>373</v>
      </c>
      <c r="K255" t="s">
        <v>466</v>
      </c>
      <c r="L255" t="s">
        <v>469</v>
      </c>
      <c r="M255" t="s">
        <v>472</v>
      </c>
      <c r="N255" t="s">
        <v>527</v>
      </c>
      <c r="O255" t="s">
        <v>832</v>
      </c>
      <c r="P255" s="1">
        <f>HYPERLINK("https://ec.europa.eu/info/funding-tenders/opportunities/portal/screen/opportunities/topic-details/horizon-cl4-2021-human-01-02", "HORIZON-CL4-2021-HUMAN-01-02")</f>
        <v>0</v>
      </c>
      <c r="Q255" t="s">
        <v>1221</v>
      </c>
    </row>
    <row r="256" spans="1:17">
      <c r="A256">
        <v>44128820</v>
      </c>
      <c r="B256">
        <v>2021</v>
      </c>
      <c r="C256" t="s">
        <v>19</v>
      </c>
      <c r="D256" t="s">
        <v>39</v>
      </c>
      <c r="E256" t="s">
        <v>65</v>
      </c>
      <c r="F256" t="s">
        <v>111</v>
      </c>
      <c r="G256" t="s">
        <v>246</v>
      </c>
      <c r="H256" t="s">
        <v>295</v>
      </c>
      <c r="I256" t="s">
        <v>373</v>
      </c>
      <c r="K256" t="s">
        <v>466</v>
      </c>
      <c r="L256" t="s">
        <v>469</v>
      </c>
      <c r="M256" t="s">
        <v>471</v>
      </c>
      <c r="N256" t="s">
        <v>527</v>
      </c>
      <c r="O256" t="s">
        <v>832</v>
      </c>
      <c r="P256" s="1">
        <f>HYPERLINK("https://ec.europa.eu/info/funding-tenders/opportunities/portal/screen/opportunities/topic-details/horizon-cl4-2021-human-01-03", "HORIZON-CL4-2021-HUMAN-01-03")</f>
        <v>0</v>
      </c>
      <c r="Q256" t="s">
        <v>1222</v>
      </c>
    </row>
    <row r="257" spans="1:17">
      <c r="A257">
        <v>44128862</v>
      </c>
      <c r="B257">
        <v>2021</v>
      </c>
      <c r="C257" t="s">
        <v>19</v>
      </c>
      <c r="D257" t="s">
        <v>39</v>
      </c>
      <c r="E257" t="s">
        <v>66</v>
      </c>
      <c r="F257" t="s">
        <v>111</v>
      </c>
      <c r="G257" t="s">
        <v>246</v>
      </c>
      <c r="H257" t="s">
        <v>295</v>
      </c>
      <c r="I257" t="s">
        <v>373</v>
      </c>
      <c r="K257" t="s">
        <v>466</v>
      </c>
      <c r="L257" t="s">
        <v>469</v>
      </c>
      <c r="M257" t="s">
        <v>471</v>
      </c>
      <c r="N257" t="s">
        <v>527</v>
      </c>
      <c r="O257" t="s">
        <v>832</v>
      </c>
      <c r="P257" s="1">
        <f>HYPERLINK("https://ec.europa.eu/info/funding-tenders/opportunities/portal/screen/opportunities/topic-details/horizon-cl4-2021-human-01-04", "HORIZON-CL4-2021-HUMAN-01-04")</f>
        <v>0</v>
      </c>
      <c r="Q257" t="s">
        <v>1223</v>
      </c>
    </row>
    <row r="258" spans="1:17">
      <c r="A258">
        <v>44128902</v>
      </c>
      <c r="B258">
        <v>2021</v>
      </c>
      <c r="C258" t="s">
        <v>19</v>
      </c>
      <c r="D258" t="s">
        <v>39</v>
      </c>
      <c r="E258" t="s">
        <v>66</v>
      </c>
      <c r="F258" t="s">
        <v>111</v>
      </c>
      <c r="G258" t="s">
        <v>246</v>
      </c>
      <c r="H258" t="s">
        <v>295</v>
      </c>
      <c r="I258" t="s">
        <v>373</v>
      </c>
      <c r="K258" t="s">
        <v>466</v>
      </c>
      <c r="L258" t="s">
        <v>469</v>
      </c>
      <c r="M258" t="s">
        <v>471</v>
      </c>
      <c r="N258" t="s">
        <v>527</v>
      </c>
      <c r="O258" t="s">
        <v>832</v>
      </c>
      <c r="P258" s="1">
        <f>HYPERLINK("https://ec.europa.eu/info/funding-tenders/opportunities/portal/screen/opportunities/topic-details/horizon-cl4-2021-human-01-05", "HORIZON-CL4-2021-HUMAN-01-05")</f>
        <v>0</v>
      </c>
      <c r="Q258" t="s">
        <v>1224</v>
      </c>
    </row>
    <row r="259" spans="1:17">
      <c r="A259">
        <v>44128940</v>
      </c>
      <c r="B259">
        <v>2021</v>
      </c>
      <c r="C259" t="s">
        <v>19</v>
      </c>
      <c r="D259" t="s">
        <v>39</v>
      </c>
      <c r="E259" t="s">
        <v>66</v>
      </c>
      <c r="F259" t="s">
        <v>111</v>
      </c>
      <c r="G259" t="s">
        <v>246</v>
      </c>
      <c r="H259" t="s">
        <v>295</v>
      </c>
      <c r="I259" t="s">
        <v>373</v>
      </c>
      <c r="K259" t="s">
        <v>466</v>
      </c>
      <c r="L259" t="s">
        <v>469</v>
      </c>
      <c r="M259" t="s">
        <v>473</v>
      </c>
      <c r="N259" t="s">
        <v>527</v>
      </c>
      <c r="O259" t="s">
        <v>832</v>
      </c>
      <c r="P259" s="1">
        <f>HYPERLINK("https://ec.europa.eu/info/funding-tenders/opportunities/portal/screen/opportunities/topic-details/horizon-cl4-2021-human-01-06", "HORIZON-CL4-2021-HUMAN-01-06")</f>
        <v>0</v>
      </c>
      <c r="Q259" t="s">
        <v>1225</v>
      </c>
    </row>
    <row r="260" spans="1:17">
      <c r="A260">
        <v>44128965</v>
      </c>
      <c r="B260">
        <v>2021</v>
      </c>
      <c r="C260" t="s">
        <v>19</v>
      </c>
      <c r="D260" t="s">
        <v>39</v>
      </c>
      <c r="E260" t="s">
        <v>66</v>
      </c>
      <c r="F260" t="s">
        <v>111</v>
      </c>
      <c r="G260" t="s">
        <v>246</v>
      </c>
      <c r="H260" t="s">
        <v>295</v>
      </c>
      <c r="I260" t="s">
        <v>373</v>
      </c>
      <c r="K260" t="s">
        <v>466</v>
      </c>
      <c r="L260" t="s">
        <v>469</v>
      </c>
      <c r="M260" t="s">
        <v>472</v>
      </c>
      <c r="N260" t="s">
        <v>527</v>
      </c>
      <c r="O260" t="s">
        <v>832</v>
      </c>
      <c r="P260" s="1">
        <f>HYPERLINK("https://ec.europa.eu/info/funding-tenders/opportunities/portal/screen/opportunities/topic-details/horizon-cl4-2021-human-01-07", "HORIZON-CL4-2021-HUMAN-01-07")</f>
        <v>0</v>
      </c>
      <c r="Q260" t="s">
        <v>1226</v>
      </c>
    </row>
    <row r="261" spans="1:17">
      <c r="A261">
        <v>44129003</v>
      </c>
      <c r="B261">
        <v>2021</v>
      </c>
      <c r="C261" t="s">
        <v>19</v>
      </c>
      <c r="D261" t="s">
        <v>39</v>
      </c>
      <c r="E261" t="s">
        <v>66</v>
      </c>
      <c r="F261" t="s">
        <v>111</v>
      </c>
      <c r="G261" t="s">
        <v>246</v>
      </c>
      <c r="H261" t="s">
        <v>295</v>
      </c>
      <c r="I261" t="s">
        <v>373</v>
      </c>
      <c r="K261" t="s">
        <v>466</v>
      </c>
      <c r="L261" t="s">
        <v>469</v>
      </c>
      <c r="M261" t="s">
        <v>472</v>
      </c>
      <c r="N261" t="s">
        <v>527</v>
      </c>
      <c r="O261" t="s">
        <v>832</v>
      </c>
      <c r="P261" s="1">
        <f>HYPERLINK("https://ec.europa.eu/info/funding-tenders/opportunities/portal/screen/opportunities/topic-details/horizon-cl4-2021-human-01-08", "HORIZON-CL4-2021-HUMAN-01-08")</f>
        <v>0</v>
      </c>
      <c r="Q261" t="s">
        <v>1227</v>
      </c>
    </row>
    <row r="262" spans="1:17">
      <c r="A262">
        <v>44129043</v>
      </c>
      <c r="B262">
        <v>2021</v>
      </c>
      <c r="C262" t="s">
        <v>19</v>
      </c>
      <c r="D262" t="s">
        <v>39</v>
      </c>
      <c r="E262" t="s">
        <v>66</v>
      </c>
      <c r="F262" t="s">
        <v>111</v>
      </c>
      <c r="G262" t="s">
        <v>246</v>
      </c>
      <c r="H262" t="s">
        <v>295</v>
      </c>
      <c r="I262" t="s">
        <v>373</v>
      </c>
      <c r="K262" t="s">
        <v>466</v>
      </c>
      <c r="L262" t="s">
        <v>469</v>
      </c>
      <c r="M262" t="s">
        <v>472</v>
      </c>
      <c r="N262" t="s">
        <v>527</v>
      </c>
      <c r="O262" t="s">
        <v>832</v>
      </c>
      <c r="P262" s="1">
        <f>HYPERLINK("https://ec.europa.eu/info/funding-tenders/opportunities/portal/screen/opportunities/topic-details/horizon-cl4-2021-human-01-09", "HORIZON-CL4-2021-HUMAN-01-09")</f>
        <v>0</v>
      </c>
      <c r="Q262" t="s">
        <v>1228</v>
      </c>
    </row>
    <row r="263" spans="1:17">
      <c r="A263">
        <v>44129115</v>
      </c>
      <c r="B263">
        <v>2021</v>
      </c>
      <c r="C263" t="s">
        <v>19</v>
      </c>
      <c r="D263" t="s">
        <v>39</v>
      </c>
      <c r="E263" t="s">
        <v>66</v>
      </c>
      <c r="F263" t="s">
        <v>111</v>
      </c>
      <c r="G263" t="s">
        <v>246</v>
      </c>
      <c r="H263" t="s">
        <v>295</v>
      </c>
      <c r="I263" t="s">
        <v>373</v>
      </c>
      <c r="K263" t="s">
        <v>466</v>
      </c>
      <c r="L263" t="s">
        <v>469</v>
      </c>
      <c r="M263" t="s">
        <v>471</v>
      </c>
      <c r="N263" t="s">
        <v>527</v>
      </c>
      <c r="O263" t="s">
        <v>832</v>
      </c>
      <c r="P263" s="1">
        <f>HYPERLINK("https://ec.europa.eu/info/funding-tenders/opportunities/portal/screen/opportunities/topic-details/horizon-cl4-2021-human-01-13", "HORIZON-CL4-2021-HUMAN-01-13")</f>
        <v>0</v>
      </c>
      <c r="Q263" t="s">
        <v>1229</v>
      </c>
    </row>
    <row r="264" spans="1:17">
      <c r="A264">
        <v>44127656</v>
      </c>
      <c r="B264">
        <v>2021</v>
      </c>
      <c r="C264" t="s">
        <v>19</v>
      </c>
      <c r="D264" t="s">
        <v>39</v>
      </c>
      <c r="E264" t="s">
        <v>66</v>
      </c>
      <c r="F264" t="s">
        <v>111</v>
      </c>
      <c r="G264" t="s">
        <v>246</v>
      </c>
      <c r="H264" t="s">
        <v>295</v>
      </c>
      <c r="I264" t="s">
        <v>373</v>
      </c>
      <c r="K264" t="s">
        <v>466</v>
      </c>
      <c r="L264" t="s">
        <v>469</v>
      </c>
      <c r="M264" t="s">
        <v>471</v>
      </c>
      <c r="N264" t="s">
        <v>527</v>
      </c>
      <c r="O264" t="s">
        <v>832</v>
      </c>
      <c r="P264" s="1">
        <f>HYPERLINK("https://ec.europa.eu/info/funding-tenders/opportunities/portal/screen/opportunities/topic-details/horizon-cl4-2021-human-01-14", "HORIZON-CL4-2021-HUMAN-01-14")</f>
        <v>0</v>
      </c>
      <c r="Q264" t="s">
        <v>1230</v>
      </c>
    </row>
    <row r="265" spans="1:17">
      <c r="A265">
        <v>44127516</v>
      </c>
      <c r="B265">
        <v>2021</v>
      </c>
      <c r="C265" t="s">
        <v>19</v>
      </c>
      <c r="D265" t="s">
        <v>39</v>
      </c>
      <c r="E265" t="s">
        <v>67</v>
      </c>
      <c r="F265" t="s">
        <v>111</v>
      </c>
      <c r="G265" t="s">
        <v>246</v>
      </c>
      <c r="H265" t="s">
        <v>295</v>
      </c>
      <c r="I265" t="s">
        <v>373</v>
      </c>
      <c r="K265" t="s">
        <v>466</v>
      </c>
      <c r="L265" t="s">
        <v>469</v>
      </c>
      <c r="M265" t="s">
        <v>472</v>
      </c>
      <c r="N265" t="s">
        <v>527</v>
      </c>
      <c r="O265" t="s">
        <v>832</v>
      </c>
      <c r="P265" s="1">
        <f>HYPERLINK("https://ec.europa.eu/info/funding-tenders/opportunities/portal/screen/opportunities/topic-details/horizon-cl4-2021-human-01-17", "HORIZON-CL4-2021-HUMAN-01-17")</f>
        <v>0</v>
      </c>
      <c r="Q265" t="s">
        <v>1231</v>
      </c>
    </row>
    <row r="266" spans="1:17">
      <c r="A266">
        <v>44127538</v>
      </c>
      <c r="B266">
        <v>2021</v>
      </c>
      <c r="C266" t="s">
        <v>19</v>
      </c>
      <c r="D266" t="s">
        <v>39</v>
      </c>
      <c r="E266" t="s">
        <v>67</v>
      </c>
      <c r="F266" t="s">
        <v>111</v>
      </c>
      <c r="G266" t="s">
        <v>246</v>
      </c>
      <c r="H266" t="s">
        <v>295</v>
      </c>
      <c r="I266" t="s">
        <v>373</v>
      </c>
      <c r="K266" t="s">
        <v>466</v>
      </c>
      <c r="L266" t="s">
        <v>469</v>
      </c>
      <c r="M266" t="s">
        <v>472</v>
      </c>
      <c r="N266" t="s">
        <v>527</v>
      </c>
      <c r="O266" t="s">
        <v>832</v>
      </c>
      <c r="P266" s="1">
        <f>HYPERLINK("https://ec.europa.eu/info/funding-tenders/opportunities/portal/screen/opportunities/topic-details/horizon-cl4-2021-human-01-18", "HORIZON-CL4-2021-HUMAN-01-18")</f>
        <v>0</v>
      </c>
      <c r="Q266" t="s">
        <v>1232</v>
      </c>
    </row>
    <row r="267" spans="1:17">
      <c r="A267">
        <v>44127560</v>
      </c>
      <c r="B267">
        <v>2021</v>
      </c>
      <c r="C267" t="s">
        <v>19</v>
      </c>
      <c r="D267" t="s">
        <v>39</v>
      </c>
      <c r="E267" t="s">
        <v>67</v>
      </c>
      <c r="F267" t="s">
        <v>111</v>
      </c>
      <c r="G267" t="s">
        <v>246</v>
      </c>
      <c r="H267" t="s">
        <v>295</v>
      </c>
      <c r="I267" t="s">
        <v>373</v>
      </c>
      <c r="K267" t="s">
        <v>466</v>
      </c>
      <c r="L267" t="s">
        <v>469</v>
      </c>
      <c r="M267" t="s">
        <v>472</v>
      </c>
      <c r="N267" t="s">
        <v>527</v>
      </c>
      <c r="O267" t="s">
        <v>832</v>
      </c>
      <c r="P267" s="1">
        <f>HYPERLINK("https://ec.europa.eu/info/funding-tenders/opportunities/portal/screen/opportunities/topic-details/horizon-cl4-2021-human-01-19", "HORIZON-CL4-2021-HUMAN-01-19")</f>
        <v>0</v>
      </c>
      <c r="Q267" t="s">
        <v>1233</v>
      </c>
    </row>
    <row r="268" spans="1:17">
      <c r="A268">
        <v>44127584</v>
      </c>
      <c r="B268">
        <v>2021</v>
      </c>
      <c r="C268" t="s">
        <v>19</v>
      </c>
      <c r="D268" t="s">
        <v>39</v>
      </c>
      <c r="E268" t="s">
        <v>67</v>
      </c>
      <c r="F268" t="s">
        <v>111</v>
      </c>
      <c r="G268" t="s">
        <v>246</v>
      </c>
      <c r="H268" t="s">
        <v>295</v>
      </c>
      <c r="I268" t="s">
        <v>373</v>
      </c>
      <c r="K268" t="s">
        <v>466</v>
      </c>
      <c r="L268" t="s">
        <v>469</v>
      </c>
      <c r="M268" t="s">
        <v>472</v>
      </c>
      <c r="N268" t="s">
        <v>527</v>
      </c>
      <c r="O268" t="s">
        <v>832</v>
      </c>
      <c r="P268" s="1">
        <f>HYPERLINK("https://ec.europa.eu/info/funding-tenders/opportunities/portal/screen/opportunities/topic-details/horizon-cl4-2021-human-01-20", "HORIZON-CL4-2021-HUMAN-01-20")</f>
        <v>0</v>
      </c>
      <c r="Q268" t="s">
        <v>1234</v>
      </c>
    </row>
    <row r="269" spans="1:17">
      <c r="A269">
        <v>44127606</v>
      </c>
      <c r="B269">
        <v>2021</v>
      </c>
      <c r="C269" t="s">
        <v>19</v>
      </c>
      <c r="D269" t="s">
        <v>39</v>
      </c>
      <c r="E269" t="s">
        <v>65</v>
      </c>
      <c r="F269" t="s">
        <v>111</v>
      </c>
      <c r="G269" t="s">
        <v>246</v>
      </c>
      <c r="H269" t="s">
        <v>295</v>
      </c>
      <c r="I269" t="s">
        <v>373</v>
      </c>
      <c r="K269" t="s">
        <v>466</v>
      </c>
      <c r="L269" t="s">
        <v>469</v>
      </c>
      <c r="M269" t="s">
        <v>471</v>
      </c>
      <c r="N269" t="s">
        <v>527</v>
      </c>
      <c r="O269" t="s">
        <v>832</v>
      </c>
      <c r="P269" s="1">
        <f>HYPERLINK("https://ec.europa.eu/info/funding-tenders/opportunities/portal/screen/opportunities/topic-details/horizon-cl4-2021-human-01-21", "HORIZON-CL4-2021-HUMAN-01-21")</f>
        <v>0</v>
      </c>
      <c r="Q269" t="s">
        <v>1235</v>
      </c>
    </row>
    <row r="270" spans="1:17">
      <c r="A270">
        <v>44128713</v>
      </c>
      <c r="B270">
        <v>2021</v>
      </c>
      <c r="C270" t="s">
        <v>19</v>
      </c>
      <c r="D270" t="s">
        <v>39</v>
      </c>
      <c r="E270" t="s">
        <v>65</v>
      </c>
      <c r="F270" t="s">
        <v>111</v>
      </c>
      <c r="G270" t="s">
        <v>246</v>
      </c>
      <c r="H270" t="s">
        <v>295</v>
      </c>
      <c r="I270" t="s">
        <v>373</v>
      </c>
      <c r="K270" t="s">
        <v>466</v>
      </c>
      <c r="L270" t="s">
        <v>469</v>
      </c>
      <c r="M270" t="s">
        <v>471</v>
      </c>
      <c r="N270" t="s">
        <v>527</v>
      </c>
      <c r="O270" t="s">
        <v>832</v>
      </c>
      <c r="P270" s="1">
        <f>HYPERLINK("https://ec.europa.eu/info/funding-tenders/opportunities/portal/screen/opportunities/topic-details/horizon-cl4-2021-human-01-24", "HORIZON-CL4-2021-HUMAN-01-24")</f>
        <v>0</v>
      </c>
      <c r="Q270" t="s">
        <v>1236</v>
      </c>
    </row>
    <row r="271" spans="1:17">
      <c r="A271">
        <v>44131734</v>
      </c>
      <c r="B271">
        <v>2021</v>
      </c>
      <c r="C271" t="s">
        <v>19</v>
      </c>
      <c r="D271" t="s">
        <v>39</v>
      </c>
      <c r="E271" t="s">
        <v>66</v>
      </c>
      <c r="F271" t="s">
        <v>111</v>
      </c>
      <c r="G271" t="s">
        <v>246</v>
      </c>
      <c r="H271" t="s">
        <v>295</v>
      </c>
      <c r="I271" t="s">
        <v>373</v>
      </c>
      <c r="K271" t="s">
        <v>466</v>
      </c>
      <c r="L271" t="s">
        <v>469</v>
      </c>
      <c r="M271" t="s">
        <v>473</v>
      </c>
      <c r="N271" t="s">
        <v>527</v>
      </c>
      <c r="O271" t="s">
        <v>832</v>
      </c>
      <c r="P271" s="1">
        <f>HYPERLINK("https://ec.europa.eu/info/funding-tenders/opportunities/portal/screen/opportunities/topic-details/horizon-cl4-2021-human-01-25", "HORIZON-CL4-2021-HUMAN-01-25")</f>
        <v>0</v>
      </c>
      <c r="Q271" t="s">
        <v>1237</v>
      </c>
    </row>
    <row r="272" spans="1:17">
      <c r="A272">
        <v>44131672</v>
      </c>
      <c r="B272">
        <v>2021</v>
      </c>
      <c r="C272" t="s">
        <v>19</v>
      </c>
      <c r="D272" t="s">
        <v>39</v>
      </c>
      <c r="E272" t="s">
        <v>67</v>
      </c>
      <c r="F272" t="s">
        <v>111</v>
      </c>
      <c r="G272" t="s">
        <v>246</v>
      </c>
      <c r="H272" t="s">
        <v>295</v>
      </c>
      <c r="I272" t="s">
        <v>373</v>
      </c>
      <c r="K272" t="s">
        <v>466</v>
      </c>
      <c r="L272" t="s">
        <v>469</v>
      </c>
      <c r="M272" t="s">
        <v>471</v>
      </c>
      <c r="N272" t="s">
        <v>527</v>
      </c>
      <c r="O272" t="s">
        <v>832</v>
      </c>
      <c r="P272" s="1">
        <f>HYPERLINK("https://ec.europa.eu/info/funding-tenders/opportunities/portal/screen/opportunities/topic-details/horizon-cl4-2021-human-01-26", "HORIZON-CL4-2021-HUMAN-01-26")</f>
        <v>0</v>
      </c>
      <c r="Q272" t="s">
        <v>1238</v>
      </c>
    </row>
    <row r="273" spans="1:17">
      <c r="A273">
        <v>44127206</v>
      </c>
      <c r="B273">
        <v>2021</v>
      </c>
      <c r="C273" t="s">
        <v>19</v>
      </c>
      <c r="D273" t="s">
        <v>39</v>
      </c>
      <c r="E273" t="s">
        <v>65</v>
      </c>
      <c r="F273" t="s">
        <v>111</v>
      </c>
      <c r="G273" t="s">
        <v>246</v>
      </c>
      <c r="H273" t="s">
        <v>295</v>
      </c>
      <c r="I273" t="s">
        <v>373</v>
      </c>
      <c r="K273" t="s">
        <v>466</v>
      </c>
      <c r="L273" t="s">
        <v>469</v>
      </c>
      <c r="M273" t="s">
        <v>471</v>
      </c>
      <c r="N273" t="s">
        <v>527</v>
      </c>
      <c r="O273" t="s">
        <v>832</v>
      </c>
      <c r="P273" s="1">
        <f>HYPERLINK("https://ec.europa.eu/info/funding-tenders/opportunities/portal/screen/opportunities/topic-details/horizon-cl4-2021-human-01-27", "HORIZON-CL4-2021-HUMAN-01-27")</f>
        <v>0</v>
      </c>
      <c r="Q273" t="s">
        <v>1239</v>
      </c>
    </row>
    <row r="274" spans="1:17">
      <c r="A274">
        <v>44131698</v>
      </c>
      <c r="B274">
        <v>2021</v>
      </c>
      <c r="C274" t="s">
        <v>19</v>
      </c>
      <c r="D274" t="s">
        <v>39</v>
      </c>
      <c r="E274" t="s">
        <v>66</v>
      </c>
      <c r="F274" t="s">
        <v>111</v>
      </c>
      <c r="G274" t="s">
        <v>246</v>
      </c>
      <c r="H274" t="s">
        <v>295</v>
      </c>
      <c r="I274" t="s">
        <v>373</v>
      </c>
      <c r="K274" t="s">
        <v>466</v>
      </c>
      <c r="L274" t="s">
        <v>469</v>
      </c>
      <c r="M274" t="s">
        <v>472</v>
      </c>
      <c r="N274" t="s">
        <v>527</v>
      </c>
      <c r="O274" t="s">
        <v>832</v>
      </c>
      <c r="P274" s="1">
        <f>HYPERLINK("https://ec.europa.eu/info/funding-tenders/opportunities/portal/screen/opportunities/topic-details/horizon-cl4-2021-human-01-28", "HORIZON-CL4-2021-HUMAN-01-28")</f>
        <v>0</v>
      </c>
      <c r="Q274" t="s">
        <v>1240</v>
      </c>
    </row>
    <row r="275" spans="1:17">
      <c r="A275">
        <v>44127637</v>
      </c>
      <c r="B275">
        <v>2021</v>
      </c>
      <c r="C275" t="s">
        <v>19</v>
      </c>
      <c r="D275" t="s">
        <v>39</v>
      </c>
      <c r="E275" t="s">
        <v>67</v>
      </c>
      <c r="F275" t="s">
        <v>111</v>
      </c>
      <c r="G275" t="s">
        <v>246</v>
      </c>
      <c r="H275" t="s">
        <v>295</v>
      </c>
      <c r="I275" t="s">
        <v>373</v>
      </c>
      <c r="K275" t="s">
        <v>466</v>
      </c>
      <c r="L275" t="s">
        <v>469</v>
      </c>
      <c r="M275" t="s">
        <v>472</v>
      </c>
      <c r="N275" t="s">
        <v>527</v>
      </c>
      <c r="O275" t="s">
        <v>832</v>
      </c>
      <c r="P275" s="1">
        <f>HYPERLINK("https://ec.europa.eu/info/funding-tenders/opportunities/portal/screen/opportunities/topic-details/horizon-cl4-2021-human-01-29", "HORIZON-CL4-2021-HUMAN-01-29")</f>
        <v>0</v>
      </c>
      <c r="Q275" t="s">
        <v>1241</v>
      </c>
    </row>
    <row r="276" spans="1:17">
      <c r="A276">
        <v>44132762</v>
      </c>
      <c r="B276">
        <v>2021</v>
      </c>
      <c r="C276" t="s">
        <v>19</v>
      </c>
      <c r="D276" t="s">
        <v>39</v>
      </c>
      <c r="E276" t="s">
        <v>67</v>
      </c>
      <c r="F276" t="s">
        <v>111</v>
      </c>
      <c r="G276" t="s">
        <v>246</v>
      </c>
      <c r="H276" t="s">
        <v>295</v>
      </c>
      <c r="I276" t="s">
        <v>373</v>
      </c>
      <c r="K276" t="s">
        <v>466</v>
      </c>
      <c r="L276" t="s">
        <v>469</v>
      </c>
      <c r="M276" t="s">
        <v>472</v>
      </c>
      <c r="N276" t="s">
        <v>527</v>
      </c>
      <c r="O276" t="s">
        <v>832</v>
      </c>
      <c r="P276" s="1">
        <f>HYPERLINK("https://ec.europa.eu/info/funding-tenders/opportunities/portal/screen/opportunities/topic-details/horizon-cl4-2021-human-01-30", "HORIZON-CL4-2021-HUMAN-01-30")</f>
        <v>0</v>
      </c>
      <c r="Q276" t="s">
        <v>1242</v>
      </c>
    </row>
    <row r="277" spans="1:17">
      <c r="A277">
        <v>44132779</v>
      </c>
      <c r="B277">
        <v>2021</v>
      </c>
      <c r="C277" t="s">
        <v>19</v>
      </c>
      <c r="D277" t="s">
        <v>39</v>
      </c>
      <c r="E277" t="s">
        <v>67</v>
      </c>
      <c r="F277" t="s">
        <v>111</v>
      </c>
      <c r="G277" t="s">
        <v>246</v>
      </c>
      <c r="H277" t="s">
        <v>295</v>
      </c>
      <c r="I277" t="s">
        <v>373</v>
      </c>
      <c r="K277" t="s">
        <v>466</v>
      </c>
      <c r="L277" t="s">
        <v>469</v>
      </c>
      <c r="M277" t="s">
        <v>472</v>
      </c>
      <c r="N277" t="s">
        <v>527</v>
      </c>
      <c r="O277" t="s">
        <v>832</v>
      </c>
      <c r="P277" s="1">
        <f>HYPERLINK("https://ec.europa.eu/info/funding-tenders/opportunities/portal/screen/opportunities/topic-details/horizon-cl4-2021-human-01-31", "HORIZON-CL4-2021-HUMAN-01-31")</f>
        <v>0</v>
      </c>
      <c r="Q277" t="s">
        <v>1243</v>
      </c>
    </row>
    <row r="278" spans="1:17">
      <c r="A278">
        <v>44129299</v>
      </c>
      <c r="B278">
        <v>2021</v>
      </c>
      <c r="C278" t="s">
        <v>19</v>
      </c>
      <c r="D278" t="s">
        <v>39</v>
      </c>
      <c r="E278" t="s">
        <v>68</v>
      </c>
      <c r="F278" t="s">
        <v>112</v>
      </c>
      <c r="G278" t="s">
        <v>246</v>
      </c>
      <c r="H278" t="s">
        <v>295</v>
      </c>
      <c r="I278" t="s">
        <v>378</v>
      </c>
      <c r="K278" t="s">
        <v>466</v>
      </c>
      <c r="L278" t="s">
        <v>469</v>
      </c>
      <c r="M278" t="s">
        <v>471</v>
      </c>
      <c r="N278" t="s">
        <v>528</v>
      </c>
      <c r="O278" t="s">
        <v>833</v>
      </c>
      <c r="P278" s="1">
        <f>HYPERLINK("https://ec.europa.eu/info/funding-tenders/opportunities/portal/screen/opportunities/topic-details/horizon-cl4-2021-resilience-01-01", "HORIZON-CL4-2021-RESILIENCE-01-01")</f>
        <v>0</v>
      </c>
      <c r="Q278" t="s">
        <v>1244</v>
      </c>
    </row>
    <row r="279" spans="1:17">
      <c r="A279">
        <v>44129703</v>
      </c>
      <c r="B279">
        <v>2021</v>
      </c>
      <c r="C279" t="s">
        <v>19</v>
      </c>
      <c r="D279" t="s">
        <v>39</v>
      </c>
      <c r="E279" t="s">
        <v>68</v>
      </c>
      <c r="F279" t="s">
        <v>112</v>
      </c>
      <c r="G279" t="s">
        <v>246</v>
      </c>
      <c r="H279" t="s">
        <v>295</v>
      </c>
      <c r="I279" t="s">
        <v>378</v>
      </c>
      <c r="K279" t="s">
        <v>466</v>
      </c>
      <c r="L279" t="s">
        <v>469</v>
      </c>
      <c r="M279" t="s">
        <v>471</v>
      </c>
      <c r="N279" t="s">
        <v>528</v>
      </c>
      <c r="O279" t="s">
        <v>833</v>
      </c>
      <c r="P279" s="1">
        <f>HYPERLINK("https://ec.europa.eu/info/funding-tenders/opportunities/portal/screen/opportunities/topic-details/horizon-cl4-2021-resilience-01-03", "HORIZON-CL4-2021-RESILIENCE-01-03")</f>
        <v>0</v>
      </c>
      <c r="Q279" t="s">
        <v>1245</v>
      </c>
    </row>
    <row r="280" spans="1:17">
      <c r="A280">
        <v>44129323</v>
      </c>
      <c r="B280">
        <v>2021</v>
      </c>
      <c r="C280" t="s">
        <v>19</v>
      </c>
      <c r="D280" t="s">
        <v>39</v>
      </c>
      <c r="E280" t="s">
        <v>68</v>
      </c>
      <c r="F280" t="s">
        <v>112</v>
      </c>
      <c r="G280" t="s">
        <v>246</v>
      </c>
      <c r="H280" t="s">
        <v>295</v>
      </c>
      <c r="I280" t="s">
        <v>378</v>
      </c>
      <c r="K280" t="s">
        <v>466</v>
      </c>
      <c r="L280" t="s">
        <v>469</v>
      </c>
      <c r="M280" t="s">
        <v>473</v>
      </c>
      <c r="N280" t="s">
        <v>528</v>
      </c>
      <c r="O280" t="s">
        <v>833</v>
      </c>
      <c r="P280" s="1">
        <f>HYPERLINK("https://ec.europa.eu/info/funding-tenders/opportunities/portal/screen/opportunities/topic-details/horizon-cl4-2021-resilience-01-04", "HORIZON-CL4-2021-RESILIENCE-01-04")</f>
        <v>0</v>
      </c>
      <c r="Q280" t="s">
        <v>1246</v>
      </c>
    </row>
    <row r="281" spans="1:17">
      <c r="A281">
        <v>44129365</v>
      </c>
      <c r="B281">
        <v>2021</v>
      </c>
      <c r="C281" t="s">
        <v>19</v>
      </c>
      <c r="D281" t="s">
        <v>39</v>
      </c>
      <c r="E281" t="s">
        <v>68</v>
      </c>
      <c r="F281" t="s">
        <v>112</v>
      </c>
      <c r="G281" t="s">
        <v>246</v>
      </c>
      <c r="H281" t="s">
        <v>295</v>
      </c>
      <c r="I281" t="s">
        <v>378</v>
      </c>
      <c r="K281" t="s">
        <v>466</v>
      </c>
      <c r="L281" t="s">
        <v>469</v>
      </c>
      <c r="M281" t="s">
        <v>472</v>
      </c>
      <c r="N281" t="s">
        <v>528</v>
      </c>
      <c r="O281" t="s">
        <v>833</v>
      </c>
      <c r="P281" s="1">
        <f>HYPERLINK("https://ec.europa.eu/info/funding-tenders/opportunities/portal/screen/opportunities/topic-details/horizon-cl4-2021-resilience-01-05", "HORIZON-CL4-2021-RESILIENCE-01-05")</f>
        <v>0</v>
      </c>
      <c r="Q281" t="s">
        <v>1247</v>
      </c>
    </row>
    <row r="282" spans="1:17">
      <c r="A282">
        <v>44129745</v>
      </c>
      <c r="B282">
        <v>2021</v>
      </c>
      <c r="C282" t="s">
        <v>19</v>
      </c>
      <c r="D282" t="s">
        <v>39</v>
      </c>
      <c r="E282" t="s">
        <v>68</v>
      </c>
      <c r="F282" t="s">
        <v>112</v>
      </c>
      <c r="G282" t="s">
        <v>246</v>
      </c>
      <c r="H282" t="s">
        <v>295</v>
      </c>
      <c r="I282" t="s">
        <v>378</v>
      </c>
      <c r="K282" t="s">
        <v>466</v>
      </c>
      <c r="L282" t="s">
        <v>469</v>
      </c>
      <c r="M282" t="s">
        <v>471</v>
      </c>
      <c r="N282" t="s">
        <v>528</v>
      </c>
      <c r="O282" t="s">
        <v>833</v>
      </c>
      <c r="P282" s="1">
        <f>HYPERLINK("https://ec.europa.eu/info/funding-tenders/opportunities/portal/screen/opportunities/topic-details/horizon-cl4-2021-resilience-01-06", "HORIZON-CL4-2021-RESILIENCE-01-06")</f>
        <v>0</v>
      </c>
      <c r="Q282" t="s">
        <v>1248</v>
      </c>
    </row>
    <row r="283" spans="1:17">
      <c r="A283">
        <v>44129407</v>
      </c>
      <c r="B283">
        <v>2021</v>
      </c>
      <c r="C283" t="s">
        <v>19</v>
      </c>
      <c r="D283" t="s">
        <v>39</v>
      </c>
      <c r="E283" t="s">
        <v>68</v>
      </c>
      <c r="F283" t="s">
        <v>112</v>
      </c>
      <c r="G283" t="s">
        <v>246</v>
      </c>
      <c r="H283" t="s">
        <v>295</v>
      </c>
      <c r="I283" t="s">
        <v>378</v>
      </c>
      <c r="K283" t="s">
        <v>466</v>
      </c>
      <c r="L283" t="s">
        <v>469</v>
      </c>
      <c r="M283" t="s">
        <v>473</v>
      </c>
      <c r="N283" t="s">
        <v>528</v>
      </c>
      <c r="O283" t="s">
        <v>833</v>
      </c>
      <c r="P283" s="1">
        <f>HYPERLINK("https://ec.europa.eu/info/funding-tenders/opportunities/portal/screen/opportunities/topic-details/horizon-cl4-2021-resilience-01-07", "HORIZON-CL4-2021-RESILIENCE-01-07")</f>
        <v>0</v>
      </c>
      <c r="Q283" t="s">
        <v>1249</v>
      </c>
    </row>
    <row r="284" spans="1:17">
      <c r="A284">
        <v>44129450</v>
      </c>
      <c r="B284">
        <v>2021</v>
      </c>
      <c r="C284" t="s">
        <v>19</v>
      </c>
      <c r="D284" t="s">
        <v>39</v>
      </c>
      <c r="E284" t="s">
        <v>69</v>
      </c>
      <c r="F284" t="s">
        <v>112</v>
      </c>
      <c r="G284" t="s">
        <v>246</v>
      </c>
      <c r="H284" t="s">
        <v>295</v>
      </c>
      <c r="I284" t="s">
        <v>378</v>
      </c>
      <c r="K284" t="s">
        <v>466</v>
      </c>
      <c r="L284" t="s">
        <v>469</v>
      </c>
      <c r="M284" t="s">
        <v>472</v>
      </c>
      <c r="N284" t="s">
        <v>528</v>
      </c>
      <c r="O284" t="s">
        <v>833</v>
      </c>
      <c r="P284" s="1">
        <f>HYPERLINK("https://ec.europa.eu/info/funding-tenders/opportunities/portal/screen/opportunities/topic-details/horizon-cl4-2021-resilience-01-08", "HORIZON-CL4-2021-RESILIENCE-01-08")</f>
        <v>0</v>
      </c>
      <c r="Q284" t="s">
        <v>1250</v>
      </c>
    </row>
    <row r="285" spans="1:17">
      <c r="A285">
        <v>44129476</v>
      </c>
      <c r="B285">
        <v>2021</v>
      </c>
      <c r="C285" t="s">
        <v>19</v>
      </c>
      <c r="D285" t="s">
        <v>39</v>
      </c>
      <c r="E285" t="s">
        <v>69</v>
      </c>
      <c r="F285" t="s">
        <v>112</v>
      </c>
      <c r="G285" t="s">
        <v>246</v>
      </c>
      <c r="H285" t="s">
        <v>295</v>
      </c>
      <c r="I285" t="s">
        <v>378</v>
      </c>
      <c r="K285" t="s">
        <v>466</v>
      </c>
      <c r="L285" t="s">
        <v>469</v>
      </c>
      <c r="M285" t="s">
        <v>473</v>
      </c>
      <c r="N285" t="s">
        <v>528</v>
      </c>
      <c r="O285" t="s">
        <v>833</v>
      </c>
      <c r="P285" s="1">
        <f>HYPERLINK("https://ec.europa.eu/info/funding-tenders/opportunities/portal/screen/opportunities/topic-details/horizon-cl4-2021-resilience-01-09", "HORIZON-CL4-2021-RESILIENCE-01-09")</f>
        <v>0</v>
      </c>
      <c r="Q285" t="s">
        <v>1251</v>
      </c>
    </row>
    <row r="286" spans="1:17">
      <c r="A286">
        <v>44129786</v>
      </c>
      <c r="B286">
        <v>2021</v>
      </c>
      <c r="C286" t="s">
        <v>19</v>
      </c>
      <c r="D286" t="s">
        <v>39</v>
      </c>
      <c r="E286" t="s">
        <v>69</v>
      </c>
      <c r="F286" t="s">
        <v>112</v>
      </c>
      <c r="G286" t="s">
        <v>246</v>
      </c>
      <c r="H286" t="s">
        <v>295</v>
      </c>
      <c r="I286" t="s">
        <v>378</v>
      </c>
      <c r="K286" t="s">
        <v>466</v>
      </c>
      <c r="L286" t="s">
        <v>469</v>
      </c>
      <c r="M286" t="s">
        <v>471</v>
      </c>
      <c r="N286" t="s">
        <v>528</v>
      </c>
      <c r="O286" t="s">
        <v>833</v>
      </c>
      <c r="P286" s="1">
        <f>HYPERLINK("https://ec.europa.eu/info/funding-tenders/opportunities/portal/screen/opportunities/topic-details/horizon-cl4-2021-resilience-01-10", "HORIZON-CL4-2021-RESILIENCE-01-10")</f>
        <v>0</v>
      </c>
      <c r="Q286" t="s">
        <v>1252</v>
      </c>
    </row>
    <row r="287" spans="1:17">
      <c r="A287">
        <v>44129810</v>
      </c>
      <c r="B287">
        <v>2021</v>
      </c>
      <c r="C287" t="s">
        <v>19</v>
      </c>
      <c r="D287" t="s">
        <v>39</v>
      </c>
      <c r="E287" t="s">
        <v>69</v>
      </c>
      <c r="F287" t="s">
        <v>112</v>
      </c>
      <c r="G287" t="s">
        <v>246</v>
      </c>
      <c r="H287" t="s">
        <v>295</v>
      </c>
      <c r="I287" t="s">
        <v>378</v>
      </c>
      <c r="K287" t="s">
        <v>466</v>
      </c>
      <c r="L287" t="s">
        <v>469</v>
      </c>
      <c r="M287" t="s">
        <v>471</v>
      </c>
      <c r="N287" t="s">
        <v>528</v>
      </c>
      <c r="O287" t="s">
        <v>833</v>
      </c>
      <c r="P287" s="1">
        <f>HYPERLINK("https://ec.europa.eu/info/funding-tenders/opportunities/portal/screen/opportunities/topic-details/horizon-cl4-2021-resilience-01-11", "HORIZON-CL4-2021-RESILIENCE-01-11")</f>
        <v>0</v>
      </c>
      <c r="Q287" t="s">
        <v>1253</v>
      </c>
    </row>
    <row r="288" spans="1:17">
      <c r="A288">
        <v>44129835</v>
      </c>
      <c r="B288">
        <v>2021</v>
      </c>
      <c r="C288" t="s">
        <v>19</v>
      </c>
      <c r="D288" t="s">
        <v>39</v>
      </c>
      <c r="E288" t="s">
        <v>69</v>
      </c>
      <c r="F288" t="s">
        <v>112</v>
      </c>
      <c r="G288" t="s">
        <v>246</v>
      </c>
      <c r="H288" t="s">
        <v>295</v>
      </c>
      <c r="I288" t="s">
        <v>378</v>
      </c>
      <c r="K288" t="s">
        <v>466</v>
      </c>
      <c r="L288" t="s">
        <v>469</v>
      </c>
      <c r="M288" t="s">
        <v>471</v>
      </c>
      <c r="N288" t="s">
        <v>528</v>
      </c>
      <c r="O288" t="s">
        <v>833</v>
      </c>
      <c r="P288" s="1">
        <f>HYPERLINK("https://ec.europa.eu/info/funding-tenders/opportunities/portal/screen/opportunities/topic-details/horizon-cl4-2021-resilience-01-12", "HORIZON-CL4-2021-RESILIENCE-01-12")</f>
        <v>0</v>
      </c>
      <c r="Q288" t="s">
        <v>1254</v>
      </c>
    </row>
    <row r="289" spans="1:17">
      <c r="A289">
        <v>44129506</v>
      </c>
      <c r="B289">
        <v>2021</v>
      </c>
      <c r="C289" t="s">
        <v>19</v>
      </c>
      <c r="D289" t="s">
        <v>39</v>
      </c>
      <c r="E289" t="s">
        <v>69</v>
      </c>
      <c r="F289" t="s">
        <v>112</v>
      </c>
      <c r="G289" t="s">
        <v>246</v>
      </c>
      <c r="H289" t="s">
        <v>295</v>
      </c>
      <c r="I289" t="s">
        <v>378</v>
      </c>
      <c r="K289" t="s">
        <v>466</v>
      </c>
      <c r="L289" t="s">
        <v>469</v>
      </c>
      <c r="M289" t="s">
        <v>473</v>
      </c>
      <c r="N289" t="s">
        <v>528</v>
      </c>
      <c r="O289" t="s">
        <v>833</v>
      </c>
      <c r="P289" s="1">
        <f>HYPERLINK("https://ec.europa.eu/info/funding-tenders/opportunities/portal/screen/opportunities/topic-details/horizon-cl4-2021-resilience-01-14", "HORIZON-CL4-2021-RESILIENCE-01-14")</f>
        <v>0</v>
      </c>
      <c r="Q289" t="s">
        <v>1255</v>
      </c>
    </row>
    <row r="290" spans="1:17">
      <c r="A290">
        <v>44129528</v>
      </c>
      <c r="B290">
        <v>2021</v>
      </c>
      <c r="C290" t="s">
        <v>19</v>
      </c>
      <c r="D290" t="s">
        <v>39</v>
      </c>
      <c r="E290" t="s">
        <v>69</v>
      </c>
      <c r="F290" t="s">
        <v>112</v>
      </c>
      <c r="G290" t="s">
        <v>246</v>
      </c>
      <c r="H290" t="s">
        <v>295</v>
      </c>
      <c r="I290" t="s">
        <v>378</v>
      </c>
      <c r="K290" t="s">
        <v>466</v>
      </c>
      <c r="L290" t="s">
        <v>469</v>
      </c>
      <c r="M290" t="s">
        <v>472</v>
      </c>
      <c r="N290" t="s">
        <v>528</v>
      </c>
      <c r="O290" t="s">
        <v>833</v>
      </c>
      <c r="P290" s="1">
        <f>HYPERLINK("https://ec.europa.eu/info/funding-tenders/opportunities/portal/screen/opportunities/topic-details/horizon-cl4-2021-resilience-01-16", "HORIZON-CL4-2021-RESILIENCE-01-16")</f>
        <v>0</v>
      </c>
      <c r="Q290" t="s">
        <v>1256</v>
      </c>
    </row>
    <row r="291" spans="1:17">
      <c r="A291">
        <v>44129881</v>
      </c>
      <c r="B291">
        <v>2021</v>
      </c>
      <c r="C291" t="s">
        <v>19</v>
      </c>
      <c r="D291" t="s">
        <v>39</v>
      </c>
      <c r="E291" t="s">
        <v>69</v>
      </c>
      <c r="F291" t="s">
        <v>112</v>
      </c>
      <c r="G291" t="s">
        <v>246</v>
      </c>
      <c r="H291" t="s">
        <v>295</v>
      </c>
      <c r="I291" t="s">
        <v>378</v>
      </c>
      <c r="K291" t="s">
        <v>466</v>
      </c>
      <c r="L291" t="s">
        <v>469</v>
      </c>
      <c r="M291" t="s">
        <v>471</v>
      </c>
      <c r="N291" t="s">
        <v>528</v>
      </c>
      <c r="O291" t="s">
        <v>833</v>
      </c>
      <c r="P291" s="1">
        <f>HYPERLINK("https://ec.europa.eu/info/funding-tenders/opportunities/portal/screen/opportunities/topic-details/horizon-cl4-2021-resilience-01-17", "HORIZON-CL4-2021-RESILIENCE-01-17")</f>
        <v>0</v>
      </c>
      <c r="Q291" t="s">
        <v>1257</v>
      </c>
    </row>
    <row r="292" spans="1:17">
      <c r="A292">
        <v>44129934</v>
      </c>
      <c r="B292">
        <v>2021</v>
      </c>
      <c r="C292" t="s">
        <v>19</v>
      </c>
      <c r="D292" t="s">
        <v>39</v>
      </c>
      <c r="E292" t="s">
        <v>69</v>
      </c>
      <c r="F292" t="s">
        <v>112</v>
      </c>
      <c r="G292" t="s">
        <v>246</v>
      </c>
      <c r="H292" t="s">
        <v>295</v>
      </c>
      <c r="I292" t="s">
        <v>378</v>
      </c>
      <c r="K292" t="s">
        <v>466</v>
      </c>
      <c r="L292" t="s">
        <v>469</v>
      </c>
      <c r="M292" t="s">
        <v>471</v>
      </c>
      <c r="N292" t="s">
        <v>528</v>
      </c>
      <c r="O292" t="s">
        <v>833</v>
      </c>
      <c r="P292" s="1">
        <f>HYPERLINK("https://ec.europa.eu/info/funding-tenders/opportunities/portal/screen/opportunities/topic-details/horizon-cl4-2021-resilience-01-20", "HORIZON-CL4-2021-RESILIENCE-01-20")</f>
        <v>0</v>
      </c>
      <c r="Q292" t="s">
        <v>1258</v>
      </c>
    </row>
    <row r="293" spans="1:17">
      <c r="A293">
        <v>44129569</v>
      </c>
      <c r="B293">
        <v>2021</v>
      </c>
      <c r="C293" t="s">
        <v>19</v>
      </c>
      <c r="D293" t="s">
        <v>39</v>
      </c>
      <c r="E293" t="s">
        <v>69</v>
      </c>
      <c r="F293" t="s">
        <v>112</v>
      </c>
      <c r="G293" t="s">
        <v>246</v>
      </c>
      <c r="H293" t="s">
        <v>295</v>
      </c>
      <c r="I293" t="s">
        <v>378</v>
      </c>
      <c r="K293" t="s">
        <v>466</v>
      </c>
      <c r="L293" t="s">
        <v>469</v>
      </c>
      <c r="M293" t="s">
        <v>472</v>
      </c>
      <c r="N293" t="s">
        <v>528</v>
      </c>
      <c r="O293" t="s">
        <v>833</v>
      </c>
      <c r="P293" s="1">
        <f>HYPERLINK("https://ec.europa.eu/info/funding-tenders/opportunities/portal/screen/opportunities/topic-details/horizon-cl4-2021-resilience-01-25", "HORIZON-CL4-2021-RESILIENCE-01-25")</f>
        <v>0</v>
      </c>
      <c r="Q293" t="s">
        <v>1259</v>
      </c>
    </row>
    <row r="294" spans="1:17">
      <c r="A294">
        <v>44129958</v>
      </c>
      <c r="B294">
        <v>2021</v>
      </c>
      <c r="C294" t="s">
        <v>19</v>
      </c>
      <c r="D294" t="s">
        <v>39</v>
      </c>
      <c r="E294" t="s">
        <v>69</v>
      </c>
      <c r="F294" t="s">
        <v>112</v>
      </c>
      <c r="G294" t="s">
        <v>246</v>
      </c>
      <c r="H294" t="s">
        <v>295</v>
      </c>
      <c r="I294" t="s">
        <v>378</v>
      </c>
      <c r="K294" t="s">
        <v>466</v>
      </c>
      <c r="L294" t="s">
        <v>469</v>
      </c>
      <c r="M294" t="s">
        <v>471</v>
      </c>
      <c r="N294" t="s">
        <v>528</v>
      </c>
      <c r="O294" t="s">
        <v>833</v>
      </c>
      <c r="P294" s="1">
        <f>HYPERLINK("https://ec.europa.eu/info/funding-tenders/opportunities/portal/screen/opportunities/topic-details/horizon-cl4-2021-resilience-01-26", "HORIZON-CL4-2021-RESILIENCE-01-26")</f>
        <v>0</v>
      </c>
      <c r="Q294" t="s">
        <v>1260</v>
      </c>
    </row>
    <row r="295" spans="1:17">
      <c r="A295">
        <v>44129590</v>
      </c>
      <c r="B295">
        <v>2021</v>
      </c>
      <c r="C295" t="s">
        <v>19</v>
      </c>
      <c r="D295" t="s">
        <v>39</v>
      </c>
      <c r="E295" t="s">
        <v>64</v>
      </c>
      <c r="F295" t="s">
        <v>112</v>
      </c>
      <c r="G295" t="s">
        <v>246</v>
      </c>
      <c r="H295" t="s">
        <v>295</v>
      </c>
      <c r="I295" t="s">
        <v>378</v>
      </c>
      <c r="K295" t="s">
        <v>466</v>
      </c>
      <c r="L295" t="s">
        <v>469</v>
      </c>
      <c r="M295" t="s">
        <v>472</v>
      </c>
      <c r="N295" t="s">
        <v>528</v>
      </c>
      <c r="O295" t="s">
        <v>833</v>
      </c>
      <c r="P295" s="1">
        <f>HYPERLINK("https://ec.europa.eu/info/funding-tenders/opportunities/portal/screen/opportunities/topic-details/horizon-cl4-2021-resilience-01-27", "HORIZON-CL4-2021-RESILIENCE-01-27")</f>
        <v>0</v>
      </c>
      <c r="Q295" t="s">
        <v>1261</v>
      </c>
    </row>
    <row r="296" spans="1:17">
      <c r="A296">
        <v>44129628</v>
      </c>
      <c r="B296">
        <v>2021</v>
      </c>
      <c r="C296" t="s">
        <v>19</v>
      </c>
      <c r="D296" t="s">
        <v>39</v>
      </c>
      <c r="E296" t="s">
        <v>64</v>
      </c>
      <c r="F296" t="s">
        <v>112</v>
      </c>
      <c r="G296" t="s">
        <v>246</v>
      </c>
      <c r="H296" t="s">
        <v>295</v>
      </c>
      <c r="I296" t="s">
        <v>378</v>
      </c>
      <c r="K296" t="s">
        <v>466</v>
      </c>
      <c r="L296" t="s">
        <v>469</v>
      </c>
      <c r="M296" t="s">
        <v>472</v>
      </c>
      <c r="N296" t="s">
        <v>528</v>
      </c>
      <c r="O296" t="s">
        <v>833</v>
      </c>
      <c r="P296" s="1">
        <f>HYPERLINK("https://ec.europa.eu/info/funding-tenders/opportunities/portal/screen/opportunities/topic-details/horizon-cl4-2021-resilience-01-28", "HORIZON-CL4-2021-RESILIENCE-01-28")</f>
        <v>0</v>
      </c>
      <c r="Q296" t="s">
        <v>1262</v>
      </c>
    </row>
    <row r="297" spans="1:17">
      <c r="A297">
        <v>44129657</v>
      </c>
      <c r="B297">
        <v>2021</v>
      </c>
      <c r="C297" t="s">
        <v>19</v>
      </c>
      <c r="D297" t="s">
        <v>39</v>
      </c>
      <c r="E297" t="s">
        <v>64</v>
      </c>
      <c r="F297" t="s">
        <v>112</v>
      </c>
      <c r="G297" t="s">
        <v>246</v>
      </c>
      <c r="H297" t="s">
        <v>295</v>
      </c>
      <c r="I297" t="s">
        <v>378</v>
      </c>
      <c r="K297" t="s">
        <v>466</v>
      </c>
      <c r="L297" t="s">
        <v>469</v>
      </c>
      <c r="M297" t="s">
        <v>472</v>
      </c>
      <c r="N297" t="s">
        <v>528</v>
      </c>
      <c r="O297" t="s">
        <v>833</v>
      </c>
      <c r="P297" s="1">
        <f>HYPERLINK("https://ec.europa.eu/info/funding-tenders/opportunities/portal/screen/opportunities/topic-details/horizon-cl4-2021-resilience-01-29", "HORIZON-CL4-2021-RESILIENCE-01-29")</f>
        <v>0</v>
      </c>
      <c r="Q297" t="s">
        <v>1263</v>
      </c>
    </row>
    <row r="298" spans="1:17">
      <c r="A298">
        <v>44127128</v>
      </c>
      <c r="B298">
        <v>2021</v>
      </c>
      <c r="C298" t="s">
        <v>19</v>
      </c>
      <c r="D298" t="s">
        <v>39</v>
      </c>
      <c r="E298" t="s">
        <v>69</v>
      </c>
      <c r="F298" t="s">
        <v>112</v>
      </c>
      <c r="G298" t="s">
        <v>246</v>
      </c>
      <c r="H298" t="s">
        <v>295</v>
      </c>
      <c r="I298" t="s">
        <v>378</v>
      </c>
      <c r="K298" t="s">
        <v>466</v>
      </c>
      <c r="L298" t="s">
        <v>469</v>
      </c>
      <c r="M298" t="s">
        <v>471</v>
      </c>
      <c r="N298" t="s">
        <v>528</v>
      </c>
      <c r="O298" t="s">
        <v>833</v>
      </c>
      <c r="P298" s="1">
        <f>HYPERLINK("https://ec.europa.eu/info/funding-tenders/opportunities/portal/screen/opportunities/topic-details/horizon-cl4-2021-resilience-01-31", "HORIZON-CL4-2021-RESILIENCE-01-31")</f>
        <v>0</v>
      </c>
      <c r="Q298" t="s">
        <v>1264</v>
      </c>
    </row>
    <row r="299" spans="1:17">
      <c r="A299">
        <v>44127165</v>
      </c>
      <c r="B299">
        <v>2021</v>
      </c>
      <c r="C299" t="s">
        <v>19</v>
      </c>
      <c r="D299" t="s">
        <v>39</v>
      </c>
      <c r="E299" t="s">
        <v>68</v>
      </c>
      <c r="F299" t="s">
        <v>113</v>
      </c>
      <c r="G299" t="s">
        <v>247</v>
      </c>
      <c r="H299" t="s">
        <v>305</v>
      </c>
      <c r="I299" t="s">
        <v>379</v>
      </c>
      <c r="K299" t="s">
        <v>466</v>
      </c>
      <c r="L299" t="s">
        <v>469</v>
      </c>
      <c r="M299" t="s">
        <v>473</v>
      </c>
      <c r="N299" t="s">
        <v>529</v>
      </c>
      <c r="O299" t="s">
        <v>833</v>
      </c>
      <c r="P299" s="1">
        <f>HYPERLINK("https://ec.europa.eu/info/funding-tenders/opportunities/portal/screen/opportunities/topic-details/horizon-cl4-2021-resilience-02-32", "HORIZON-CL4-2021-RESILIENCE-02-32")</f>
        <v>0</v>
      </c>
      <c r="Q299" t="s">
        <v>1265</v>
      </c>
    </row>
    <row r="300" spans="1:17">
      <c r="A300">
        <v>44127739</v>
      </c>
      <c r="B300">
        <v>2021</v>
      </c>
      <c r="C300" t="s">
        <v>19</v>
      </c>
      <c r="D300" t="s">
        <v>39</v>
      </c>
      <c r="E300" t="s">
        <v>70</v>
      </c>
      <c r="F300" t="s">
        <v>114</v>
      </c>
      <c r="G300" t="s">
        <v>247</v>
      </c>
      <c r="H300" t="s">
        <v>304</v>
      </c>
      <c r="I300" t="s">
        <v>380</v>
      </c>
      <c r="K300" t="s">
        <v>466</v>
      </c>
      <c r="L300" t="s">
        <v>469</v>
      </c>
      <c r="M300" t="s">
        <v>471</v>
      </c>
      <c r="N300" t="s">
        <v>530</v>
      </c>
      <c r="O300" t="s">
        <v>834</v>
      </c>
      <c r="P300" s="1">
        <f>HYPERLINK("https://ec.europa.eu/info/funding-tenders/opportunities/portal/screen/opportunities/topic-details/horizon-cl4-2021-space-01-11", "HORIZON-CL4-2021-SPACE-01-11")</f>
        <v>0</v>
      </c>
      <c r="Q300" t="s">
        <v>1266</v>
      </c>
    </row>
    <row r="301" spans="1:17">
      <c r="A301">
        <v>44131779</v>
      </c>
      <c r="B301">
        <v>2021</v>
      </c>
      <c r="C301" t="s">
        <v>19</v>
      </c>
      <c r="D301" t="s">
        <v>39</v>
      </c>
      <c r="E301" t="s">
        <v>70</v>
      </c>
      <c r="F301" t="s">
        <v>114</v>
      </c>
      <c r="G301" t="s">
        <v>247</v>
      </c>
      <c r="H301" t="s">
        <v>304</v>
      </c>
      <c r="I301" t="s">
        <v>380</v>
      </c>
      <c r="K301" t="s">
        <v>466</v>
      </c>
      <c r="L301" t="s">
        <v>469</v>
      </c>
      <c r="M301" t="s">
        <v>471</v>
      </c>
      <c r="N301" t="s">
        <v>530</v>
      </c>
      <c r="O301" t="s">
        <v>834</v>
      </c>
      <c r="P301" s="1">
        <f>HYPERLINK("https://ec.europa.eu/info/funding-tenders/opportunities/portal/screen/opportunities/topic-details/horizon-cl4-2021-space-01-12", "HORIZON-CL4-2021-SPACE-01-12")</f>
        <v>0</v>
      </c>
      <c r="Q301" t="s">
        <v>1267</v>
      </c>
    </row>
    <row r="302" spans="1:17">
      <c r="A302">
        <v>44131801</v>
      </c>
      <c r="B302">
        <v>2021</v>
      </c>
      <c r="C302" t="s">
        <v>19</v>
      </c>
      <c r="D302" t="s">
        <v>39</v>
      </c>
      <c r="E302" t="s">
        <v>70</v>
      </c>
      <c r="F302" t="s">
        <v>114</v>
      </c>
      <c r="G302" t="s">
        <v>247</v>
      </c>
      <c r="H302" t="s">
        <v>304</v>
      </c>
      <c r="I302" t="s">
        <v>380</v>
      </c>
      <c r="K302" t="s">
        <v>466</v>
      </c>
      <c r="L302" t="s">
        <v>469</v>
      </c>
      <c r="M302" t="s">
        <v>471</v>
      </c>
      <c r="N302" t="s">
        <v>530</v>
      </c>
      <c r="O302" t="s">
        <v>834</v>
      </c>
      <c r="P302" s="1">
        <f>HYPERLINK("https://ec.europa.eu/info/funding-tenders/opportunities/portal/screen/opportunities/topic-details/horizon-cl4-2021-space-01-21", "HORIZON-CL4-2021-SPACE-01-21")</f>
        <v>0</v>
      </c>
      <c r="Q302" t="s">
        <v>1268</v>
      </c>
    </row>
    <row r="303" spans="1:17">
      <c r="A303">
        <v>44131813</v>
      </c>
      <c r="B303">
        <v>2021</v>
      </c>
      <c r="C303" t="s">
        <v>19</v>
      </c>
      <c r="D303" t="s">
        <v>39</v>
      </c>
      <c r="E303" t="s">
        <v>70</v>
      </c>
      <c r="F303" t="s">
        <v>114</v>
      </c>
      <c r="G303" t="s">
        <v>247</v>
      </c>
      <c r="H303" t="s">
        <v>304</v>
      </c>
      <c r="I303" t="s">
        <v>380</v>
      </c>
      <c r="K303" t="s">
        <v>466</v>
      </c>
      <c r="L303" t="s">
        <v>469</v>
      </c>
      <c r="M303" t="s">
        <v>471</v>
      </c>
      <c r="N303" t="s">
        <v>530</v>
      </c>
      <c r="O303" t="s">
        <v>834</v>
      </c>
      <c r="P303" s="1">
        <f>HYPERLINK("https://ec.europa.eu/info/funding-tenders/opportunities/portal/screen/opportunities/topic-details/horizon-cl4-2021-space-01-22", "HORIZON-CL4-2021-SPACE-01-22")</f>
        <v>0</v>
      </c>
      <c r="Q303" t="s">
        <v>1269</v>
      </c>
    </row>
    <row r="304" spans="1:17">
      <c r="A304">
        <v>44131824</v>
      </c>
      <c r="B304">
        <v>2021</v>
      </c>
      <c r="C304" t="s">
        <v>19</v>
      </c>
      <c r="D304" t="s">
        <v>39</v>
      </c>
      <c r="E304" t="s">
        <v>70</v>
      </c>
      <c r="F304" t="s">
        <v>114</v>
      </c>
      <c r="G304" t="s">
        <v>247</v>
      </c>
      <c r="H304" t="s">
        <v>304</v>
      </c>
      <c r="I304" t="s">
        <v>380</v>
      </c>
      <c r="K304" t="s">
        <v>466</v>
      </c>
      <c r="L304" t="s">
        <v>469</v>
      </c>
      <c r="M304" t="s">
        <v>471</v>
      </c>
      <c r="N304" t="s">
        <v>530</v>
      </c>
      <c r="O304" t="s">
        <v>834</v>
      </c>
      <c r="P304" s="1">
        <f>HYPERLINK("https://ec.europa.eu/info/funding-tenders/opportunities/portal/screen/opportunities/topic-details/horizon-cl4-2021-space-01-23", "HORIZON-CL4-2021-SPACE-01-23")</f>
        <v>0</v>
      </c>
      <c r="Q304" t="s">
        <v>1270</v>
      </c>
    </row>
    <row r="305" spans="1:17">
      <c r="A305">
        <v>44131860</v>
      </c>
      <c r="B305">
        <v>2021</v>
      </c>
      <c r="C305" t="s">
        <v>19</v>
      </c>
      <c r="D305" t="s">
        <v>39</v>
      </c>
      <c r="E305" t="s">
        <v>71</v>
      </c>
      <c r="F305" t="s">
        <v>114</v>
      </c>
      <c r="G305" t="s">
        <v>247</v>
      </c>
      <c r="H305" t="s">
        <v>304</v>
      </c>
      <c r="I305" t="s">
        <v>380</v>
      </c>
      <c r="K305" t="s">
        <v>466</v>
      </c>
      <c r="L305" t="s">
        <v>469</v>
      </c>
      <c r="M305" t="s">
        <v>471</v>
      </c>
      <c r="N305" t="s">
        <v>530</v>
      </c>
      <c r="O305" t="s">
        <v>834</v>
      </c>
      <c r="P305" s="1">
        <f>HYPERLINK("https://ec.europa.eu/info/funding-tenders/opportunities/portal/screen/opportunities/topic-details/horizon-cl4-2021-space-01-41", "HORIZON-CL4-2021-SPACE-01-41")</f>
        <v>0</v>
      </c>
      <c r="Q305" t="s">
        <v>1271</v>
      </c>
    </row>
    <row r="306" spans="1:17">
      <c r="A306">
        <v>44131846</v>
      </c>
      <c r="B306">
        <v>2021</v>
      </c>
      <c r="C306" t="s">
        <v>19</v>
      </c>
      <c r="D306" t="s">
        <v>39</v>
      </c>
      <c r="E306" t="s">
        <v>71</v>
      </c>
      <c r="F306" t="s">
        <v>114</v>
      </c>
      <c r="G306" t="s">
        <v>247</v>
      </c>
      <c r="H306" t="s">
        <v>304</v>
      </c>
      <c r="I306" t="s">
        <v>380</v>
      </c>
      <c r="K306" t="s">
        <v>466</v>
      </c>
      <c r="L306" t="s">
        <v>469</v>
      </c>
      <c r="M306" t="s">
        <v>471</v>
      </c>
      <c r="N306" t="s">
        <v>530</v>
      </c>
      <c r="O306" t="s">
        <v>834</v>
      </c>
      <c r="P306" s="1">
        <f>HYPERLINK("https://ec.europa.eu/info/funding-tenders/opportunities/portal/screen/opportunities/topic-details/horizon-cl4-2021-space-01-42", "HORIZON-CL4-2021-SPACE-01-42")</f>
        <v>0</v>
      </c>
      <c r="Q306" t="s">
        <v>1272</v>
      </c>
    </row>
    <row r="307" spans="1:17">
      <c r="A307">
        <v>44131873</v>
      </c>
      <c r="B307">
        <v>2021</v>
      </c>
      <c r="C307" t="s">
        <v>19</v>
      </c>
      <c r="D307" t="s">
        <v>39</v>
      </c>
      <c r="E307" t="s">
        <v>60</v>
      </c>
      <c r="F307" t="s">
        <v>114</v>
      </c>
      <c r="G307" t="s">
        <v>247</v>
      </c>
      <c r="H307" t="s">
        <v>304</v>
      </c>
      <c r="I307" t="s">
        <v>380</v>
      </c>
      <c r="K307" t="s">
        <v>466</v>
      </c>
      <c r="L307" t="s">
        <v>469</v>
      </c>
      <c r="M307" t="s">
        <v>471</v>
      </c>
      <c r="N307" t="s">
        <v>530</v>
      </c>
      <c r="O307" t="s">
        <v>834</v>
      </c>
      <c r="P307" s="1">
        <f>HYPERLINK("https://ec.europa.eu/info/funding-tenders/opportunities/portal/screen/opportunities/topic-details/horizon-cl4-2021-space-01-43", "HORIZON-CL4-2021-SPACE-01-43")</f>
        <v>0</v>
      </c>
      <c r="Q307" t="s">
        <v>1273</v>
      </c>
    </row>
    <row r="308" spans="1:17">
      <c r="A308">
        <v>44131885</v>
      </c>
      <c r="B308">
        <v>2021</v>
      </c>
      <c r="C308" t="s">
        <v>19</v>
      </c>
      <c r="D308" t="s">
        <v>39</v>
      </c>
      <c r="E308" t="s">
        <v>70</v>
      </c>
      <c r="F308" t="s">
        <v>114</v>
      </c>
      <c r="G308" t="s">
        <v>247</v>
      </c>
      <c r="H308" t="s">
        <v>304</v>
      </c>
      <c r="I308" t="s">
        <v>380</v>
      </c>
      <c r="K308" t="s">
        <v>466</v>
      </c>
      <c r="L308" t="s">
        <v>469</v>
      </c>
      <c r="M308" t="s">
        <v>471</v>
      </c>
      <c r="N308" t="s">
        <v>530</v>
      </c>
      <c r="O308" t="s">
        <v>834</v>
      </c>
      <c r="P308" s="1">
        <f>HYPERLINK("https://ec.europa.eu/info/funding-tenders/opportunities/portal/screen/opportunities/topic-details/horizon-cl4-2021-space-01-44", "HORIZON-CL4-2021-SPACE-01-44")</f>
        <v>0</v>
      </c>
      <c r="Q308" t="s">
        <v>1274</v>
      </c>
    </row>
    <row r="309" spans="1:17">
      <c r="A309">
        <v>44131636</v>
      </c>
      <c r="B309">
        <v>2021</v>
      </c>
      <c r="C309" t="s">
        <v>19</v>
      </c>
      <c r="D309" t="s">
        <v>39</v>
      </c>
      <c r="E309" t="s">
        <v>70</v>
      </c>
      <c r="F309" t="s">
        <v>114</v>
      </c>
      <c r="G309" t="s">
        <v>247</v>
      </c>
      <c r="H309" t="s">
        <v>304</v>
      </c>
      <c r="I309" t="s">
        <v>380</v>
      </c>
      <c r="K309" t="s">
        <v>466</v>
      </c>
      <c r="L309" t="s">
        <v>469</v>
      </c>
      <c r="M309" t="s">
        <v>471</v>
      </c>
      <c r="N309" t="s">
        <v>530</v>
      </c>
      <c r="O309" t="s">
        <v>834</v>
      </c>
      <c r="P309" s="1">
        <f>HYPERLINK("https://ec.europa.eu/info/funding-tenders/opportunities/portal/screen/opportunities/topic-details/horizon-cl4-2021-space-01-62", "HORIZON-CL4-2021-SPACE-01-62")</f>
        <v>0</v>
      </c>
      <c r="Q309" t="s">
        <v>1275</v>
      </c>
    </row>
    <row r="310" spans="1:17">
      <c r="A310">
        <v>44131939</v>
      </c>
      <c r="B310">
        <v>2021</v>
      </c>
      <c r="C310" t="s">
        <v>19</v>
      </c>
      <c r="D310" t="s">
        <v>39</v>
      </c>
      <c r="E310" t="s">
        <v>70</v>
      </c>
      <c r="F310" t="s">
        <v>114</v>
      </c>
      <c r="G310" t="s">
        <v>247</v>
      </c>
      <c r="H310" t="s">
        <v>304</v>
      </c>
      <c r="I310" t="s">
        <v>380</v>
      </c>
      <c r="K310" t="s">
        <v>466</v>
      </c>
      <c r="L310" t="s">
        <v>469</v>
      </c>
      <c r="M310" t="s">
        <v>471</v>
      </c>
      <c r="N310" t="s">
        <v>530</v>
      </c>
      <c r="O310" t="s">
        <v>834</v>
      </c>
      <c r="P310" s="1">
        <f>HYPERLINK("https://ec.europa.eu/info/funding-tenders/opportunities/portal/screen/opportunities/topic-details/horizon-cl4-2021-space-01-81", "HORIZON-CL4-2021-SPACE-01-81")</f>
        <v>0</v>
      </c>
      <c r="Q310" t="s">
        <v>1276</v>
      </c>
    </row>
    <row r="311" spans="1:17">
      <c r="A311">
        <v>44127776</v>
      </c>
      <c r="B311">
        <v>2021</v>
      </c>
      <c r="C311" t="s">
        <v>19</v>
      </c>
      <c r="D311" t="s">
        <v>39</v>
      </c>
      <c r="E311" t="s">
        <v>67</v>
      </c>
      <c r="F311" t="s">
        <v>115</v>
      </c>
      <c r="G311" t="s">
        <v>246</v>
      </c>
      <c r="H311" t="s">
        <v>295</v>
      </c>
      <c r="I311" t="s">
        <v>378</v>
      </c>
      <c r="K311" t="s">
        <v>466</v>
      </c>
      <c r="L311" t="s">
        <v>469</v>
      </c>
      <c r="M311" t="s">
        <v>473</v>
      </c>
      <c r="N311" t="s">
        <v>531</v>
      </c>
      <c r="O311" t="s">
        <v>835</v>
      </c>
      <c r="P311" s="1">
        <f>HYPERLINK("https://ec.europa.eu/info/funding-tenders/opportunities/portal/screen/opportunities/topic-details/horizon-cl4-2021-twin-transition-01-01", "HORIZON-CL4-2021-TWIN-TRANSITION-01-01")</f>
        <v>0</v>
      </c>
      <c r="Q311" t="s">
        <v>1277</v>
      </c>
    </row>
    <row r="312" spans="1:17">
      <c r="A312">
        <v>44127807</v>
      </c>
      <c r="B312">
        <v>2021</v>
      </c>
      <c r="C312" t="s">
        <v>19</v>
      </c>
      <c r="D312" t="s">
        <v>39</v>
      </c>
      <c r="E312" t="s">
        <v>67</v>
      </c>
      <c r="F312" t="s">
        <v>115</v>
      </c>
      <c r="G312" t="s">
        <v>246</v>
      </c>
      <c r="H312" t="s">
        <v>295</v>
      </c>
      <c r="I312" t="s">
        <v>378</v>
      </c>
      <c r="K312" t="s">
        <v>466</v>
      </c>
      <c r="L312" t="s">
        <v>469</v>
      </c>
      <c r="M312" t="s">
        <v>473</v>
      </c>
      <c r="N312" t="s">
        <v>531</v>
      </c>
      <c r="O312" t="s">
        <v>835</v>
      </c>
      <c r="P312" s="1">
        <f>HYPERLINK("https://ec.europa.eu/info/funding-tenders/opportunities/portal/screen/opportunities/topic-details/horizon-cl4-2021-twin-transition-01-02", "HORIZON-CL4-2021-TWIN-TRANSITION-01-02")</f>
        <v>0</v>
      </c>
      <c r="Q312" t="s">
        <v>1278</v>
      </c>
    </row>
    <row r="313" spans="1:17">
      <c r="A313">
        <v>44127839</v>
      </c>
      <c r="B313">
        <v>2021</v>
      </c>
      <c r="C313" t="s">
        <v>19</v>
      </c>
      <c r="D313" t="s">
        <v>39</v>
      </c>
      <c r="E313" t="s">
        <v>67</v>
      </c>
      <c r="F313" t="s">
        <v>115</v>
      </c>
      <c r="G313" t="s">
        <v>246</v>
      </c>
      <c r="H313" t="s">
        <v>295</v>
      </c>
      <c r="I313" t="s">
        <v>378</v>
      </c>
      <c r="K313" t="s">
        <v>466</v>
      </c>
      <c r="L313" t="s">
        <v>469</v>
      </c>
      <c r="M313" t="s">
        <v>471</v>
      </c>
      <c r="N313" t="s">
        <v>531</v>
      </c>
      <c r="O313" t="s">
        <v>835</v>
      </c>
      <c r="P313" s="1">
        <f>HYPERLINK("https://ec.europa.eu/info/funding-tenders/opportunities/portal/screen/opportunities/topic-details/horizon-cl4-2021-twin-transition-01-03", "HORIZON-CL4-2021-TWIN-TRANSITION-01-03")</f>
        <v>0</v>
      </c>
      <c r="Q313" t="s">
        <v>1279</v>
      </c>
    </row>
    <row r="314" spans="1:17">
      <c r="A314">
        <v>44127867</v>
      </c>
      <c r="B314">
        <v>2021</v>
      </c>
      <c r="C314" t="s">
        <v>19</v>
      </c>
      <c r="D314" t="s">
        <v>39</v>
      </c>
      <c r="E314" t="s">
        <v>67</v>
      </c>
      <c r="F314" t="s">
        <v>115</v>
      </c>
      <c r="G314" t="s">
        <v>246</v>
      </c>
      <c r="H314" t="s">
        <v>295</v>
      </c>
      <c r="I314" t="s">
        <v>378</v>
      </c>
      <c r="K314" t="s">
        <v>466</v>
      </c>
      <c r="L314" t="s">
        <v>469</v>
      </c>
      <c r="M314" t="s">
        <v>471</v>
      </c>
      <c r="N314" t="s">
        <v>531</v>
      </c>
      <c r="O314" t="s">
        <v>835</v>
      </c>
      <c r="P314" s="1">
        <f>HYPERLINK("https://ec.europa.eu/info/funding-tenders/opportunities/portal/screen/opportunities/topic-details/horizon-cl4-2021-twin-transition-01-05", "HORIZON-CL4-2021-TWIN-TRANSITION-01-05")</f>
        <v>0</v>
      </c>
      <c r="Q314" t="s">
        <v>1280</v>
      </c>
    </row>
    <row r="315" spans="1:17">
      <c r="A315">
        <v>44127899</v>
      </c>
      <c r="B315">
        <v>2021</v>
      </c>
      <c r="C315" t="s">
        <v>19</v>
      </c>
      <c r="D315" t="s">
        <v>39</v>
      </c>
      <c r="E315" t="s">
        <v>67</v>
      </c>
      <c r="F315" t="s">
        <v>115</v>
      </c>
      <c r="G315" t="s">
        <v>246</v>
      </c>
      <c r="H315" t="s">
        <v>295</v>
      </c>
      <c r="I315" t="s">
        <v>378</v>
      </c>
      <c r="K315" t="s">
        <v>466</v>
      </c>
      <c r="L315" t="s">
        <v>469</v>
      </c>
      <c r="M315" t="s">
        <v>473</v>
      </c>
      <c r="N315" t="s">
        <v>531</v>
      </c>
      <c r="O315" t="s">
        <v>835</v>
      </c>
      <c r="P315" s="1">
        <f>HYPERLINK("https://ec.europa.eu/info/funding-tenders/opportunities/portal/screen/opportunities/topic-details/horizon-cl4-2021-twin-transition-01-07", "HORIZON-CL4-2021-TWIN-TRANSITION-01-07")</f>
        <v>0</v>
      </c>
      <c r="Q315" t="s">
        <v>1281</v>
      </c>
    </row>
    <row r="316" spans="1:17">
      <c r="A316">
        <v>44127930</v>
      </c>
      <c r="B316">
        <v>2021</v>
      </c>
      <c r="C316" t="s">
        <v>19</v>
      </c>
      <c r="D316" t="s">
        <v>39</v>
      </c>
      <c r="E316" t="s">
        <v>67</v>
      </c>
      <c r="F316" t="s">
        <v>115</v>
      </c>
      <c r="G316" t="s">
        <v>246</v>
      </c>
      <c r="H316" t="s">
        <v>295</v>
      </c>
      <c r="I316" t="s">
        <v>378</v>
      </c>
      <c r="K316" t="s">
        <v>466</v>
      </c>
      <c r="L316" t="s">
        <v>469</v>
      </c>
      <c r="M316" t="s">
        <v>473</v>
      </c>
      <c r="N316" t="s">
        <v>531</v>
      </c>
      <c r="O316" t="s">
        <v>835</v>
      </c>
      <c r="P316" s="1">
        <f>HYPERLINK("https://ec.europa.eu/info/funding-tenders/opportunities/portal/screen/opportunities/topic-details/horizon-cl4-2021-twin-transition-01-08", "HORIZON-CL4-2021-TWIN-TRANSITION-01-08")</f>
        <v>0</v>
      </c>
      <c r="Q316" t="s">
        <v>1282</v>
      </c>
    </row>
    <row r="317" spans="1:17">
      <c r="A317">
        <v>44127959</v>
      </c>
      <c r="B317">
        <v>2021</v>
      </c>
      <c r="C317" t="s">
        <v>19</v>
      </c>
      <c r="D317" t="s">
        <v>39</v>
      </c>
      <c r="E317" t="s">
        <v>67</v>
      </c>
      <c r="F317" t="s">
        <v>115</v>
      </c>
      <c r="G317" t="s">
        <v>246</v>
      </c>
      <c r="H317" t="s">
        <v>295</v>
      </c>
      <c r="I317" t="s">
        <v>378</v>
      </c>
      <c r="K317" t="s">
        <v>466</v>
      </c>
      <c r="L317" t="s">
        <v>469</v>
      </c>
      <c r="M317" t="s">
        <v>473</v>
      </c>
      <c r="N317" t="s">
        <v>531</v>
      </c>
      <c r="O317" t="s">
        <v>835</v>
      </c>
      <c r="P317" s="1">
        <f>HYPERLINK("https://ec.europa.eu/info/funding-tenders/opportunities/portal/screen/opportunities/topic-details/horizon-cl4-2021-twin-transition-01-10", "HORIZON-CL4-2021-TWIN-TRANSITION-01-10")</f>
        <v>0</v>
      </c>
      <c r="Q317" t="s">
        <v>1283</v>
      </c>
    </row>
    <row r="318" spans="1:17">
      <c r="A318">
        <v>44127997</v>
      </c>
      <c r="B318">
        <v>2021</v>
      </c>
      <c r="C318" t="s">
        <v>19</v>
      </c>
      <c r="D318" t="s">
        <v>39</v>
      </c>
      <c r="E318" t="s">
        <v>67</v>
      </c>
      <c r="F318" t="s">
        <v>115</v>
      </c>
      <c r="G318" t="s">
        <v>246</v>
      </c>
      <c r="H318" t="s">
        <v>295</v>
      </c>
      <c r="I318" t="s">
        <v>378</v>
      </c>
      <c r="K318" t="s">
        <v>466</v>
      </c>
      <c r="L318" t="s">
        <v>469</v>
      </c>
      <c r="M318" t="s">
        <v>471</v>
      </c>
      <c r="N318" t="s">
        <v>531</v>
      </c>
      <c r="O318" t="s">
        <v>835</v>
      </c>
      <c r="P318" s="1">
        <f>HYPERLINK("https://ec.europa.eu/info/funding-tenders/opportunities/portal/screen/opportunities/topic-details/horizon-cl4-2021-twin-transition-01-11", "HORIZON-CL4-2021-TWIN-TRANSITION-01-11")</f>
        <v>0</v>
      </c>
      <c r="Q318" t="s">
        <v>1284</v>
      </c>
    </row>
    <row r="319" spans="1:17">
      <c r="A319">
        <v>44128023</v>
      </c>
      <c r="B319">
        <v>2021</v>
      </c>
      <c r="C319" t="s">
        <v>19</v>
      </c>
      <c r="D319" t="s">
        <v>39</v>
      </c>
      <c r="E319" t="s">
        <v>67</v>
      </c>
      <c r="F319" t="s">
        <v>115</v>
      </c>
      <c r="G319" t="s">
        <v>246</v>
      </c>
      <c r="H319" t="s">
        <v>295</v>
      </c>
      <c r="I319" t="s">
        <v>378</v>
      </c>
      <c r="K319" t="s">
        <v>466</v>
      </c>
      <c r="L319" t="s">
        <v>469</v>
      </c>
      <c r="M319" t="s">
        <v>471</v>
      </c>
      <c r="N319" t="s">
        <v>531</v>
      </c>
      <c r="O319" t="s">
        <v>835</v>
      </c>
      <c r="P319" s="1">
        <f>HYPERLINK("https://ec.europa.eu/info/funding-tenders/opportunities/portal/screen/opportunities/topic-details/horizon-cl4-2021-twin-transition-01-12", "HORIZON-CL4-2021-TWIN-TRANSITION-01-12")</f>
        <v>0</v>
      </c>
      <c r="Q319" t="s">
        <v>1285</v>
      </c>
    </row>
    <row r="320" spans="1:17">
      <c r="A320">
        <v>44128048</v>
      </c>
      <c r="B320">
        <v>2021</v>
      </c>
      <c r="C320" t="s">
        <v>19</v>
      </c>
      <c r="D320" t="s">
        <v>39</v>
      </c>
      <c r="E320" t="s">
        <v>67</v>
      </c>
      <c r="F320" t="s">
        <v>115</v>
      </c>
      <c r="G320" t="s">
        <v>246</v>
      </c>
      <c r="H320" t="s">
        <v>295</v>
      </c>
      <c r="I320" t="s">
        <v>378</v>
      </c>
      <c r="K320" t="s">
        <v>466</v>
      </c>
      <c r="L320" t="s">
        <v>469</v>
      </c>
      <c r="M320" t="s">
        <v>471</v>
      </c>
      <c r="N320" t="s">
        <v>531</v>
      </c>
      <c r="O320" t="s">
        <v>835</v>
      </c>
      <c r="P320" s="1">
        <f>HYPERLINK("https://ec.europa.eu/info/funding-tenders/opportunities/portal/screen/opportunities/topic-details/horizon-cl4-2021-twin-transition-01-14", "HORIZON-CL4-2021-TWIN-TRANSITION-01-14")</f>
        <v>0</v>
      </c>
      <c r="Q320" t="s">
        <v>1286</v>
      </c>
    </row>
    <row r="321" spans="1:17">
      <c r="A321">
        <v>44128117</v>
      </c>
      <c r="B321">
        <v>2021</v>
      </c>
      <c r="C321" t="s">
        <v>19</v>
      </c>
      <c r="D321" t="s">
        <v>39</v>
      </c>
      <c r="E321" t="s">
        <v>67</v>
      </c>
      <c r="F321" t="s">
        <v>115</v>
      </c>
      <c r="G321" t="s">
        <v>246</v>
      </c>
      <c r="H321" t="s">
        <v>295</v>
      </c>
      <c r="I321" t="s">
        <v>378</v>
      </c>
      <c r="K321" t="s">
        <v>466</v>
      </c>
      <c r="L321" t="s">
        <v>469</v>
      </c>
      <c r="M321" t="s">
        <v>472</v>
      </c>
      <c r="N321" t="s">
        <v>531</v>
      </c>
      <c r="O321" t="s">
        <v>835</v>
      </c>
      <c r="P321" s="1">
        <f>HYPERLINK("https://ec.europa.eu/info/funding-tenders/opportunities/portal/screen/opportunities/topic-details/horizon-cl4-2021-twin-transition-01-16", "HORIZON-CL4-2021-TWIN-TRANSITION-01-16")</f>
        <v>0</v>
      </c>
      <c r="Q321" t="s">
        <v>1287</v>
      </c>
    </row>
    <row r="322" spans="1:17">
      <c r="A322">
        <v>44128151</v>
      </c>
      <c r="B322">
        <v>2021</v>
      </c>
      <c r="C322" t="s">
        <v>19</v>
      </c>
      <c r="D322" t="s">
        <v>39</v>
      </c>
      <c r="E322" t="s">
        <v>67</v>
      </c>
      <c r="F322" t="s">
        <v>115</v>
      </c>
      <c r="G322" t="s">
        <v>246</v>
      </c>
      <c r="H322" t="s">
        <v>295</v>
      </c>
      <c r="I322" t="s">
        <v>378</v>
      </c>
      <c r="K322" t="s">
        <v>466</v>
      </c>
      <c r="L322" t="s">
        <v>469</v>
      </c>
      <c r="M322" t="s">
        <v>473</v>
      </c>
      <c r="N322" t="s">
        <v>531</v>
      </c>
      <c r="O322" t="s">
        <v>835</v>
      </c>
      <c r="P322" s="1">
        <f>HYPERLINK("https://ec.europa.eu/info/funding-tenders/opportunities/portal/screen/opportunities/topic-details/horizon-cl4-2021-twin-transition-01-17", "HORIZON-CL4-2021-TWIN-TRANSITION-01-17")</f>
        <v>0</v>
      </c>
      <c r="Q322" t="s">
        <v>1288</v>
      </c>
    </row>
    <row r="323" spans="1:17">
      <c r="A323">
        <v>44128175</v>
      </c>
      <c r="B323">
        <v>2021</v>
      </c>
      <c r="C323" t="s">
        <v>19</v>
      </c>
      <c r="D323" t="s">
        <v>39</v>
      </c>
      <c r="E323" t="s">
        <v>67</v>
      </c>
      <c r="F323" t="s">
        <v>115</v>
      </c>
      <c r="G323" t="s">
        <v>246</v>
      </c>
      <c r="H323" t="s">
        <v>295</v>
      </c>
      <c r="I323" t="s">
        <v>378</v>
      </c>
      <c r="K323" t="s">
        <v>466</v>
      </c>
      <c r="L323" t="s">
        <v>469</v>
      </c>
      <c r="M323" t="s">
        <v>473</v>
      </c>
      <c r="N323" t="s">
        <v>531</v>
      </c>
      <c r="O323" t="s">
        <v>835</v>
      </c>
      <c r="P323" s="1">
        <f>HYPERLINK("https://ec.europa.eu/info/funding-tenders/opportunities/portal/screen/opportunities/topic-details/horizon-cl4-2021-twin-transition-01-18", "HORIZON-CL4-2021-TWIN-TRANSITION-01-18")</f>
        <v>0</v>
      </c>
      <c r="Q323" t="s">
        <v>1289</v>
      </c>
    </row>
    <row r="324" spans="1:17">
      <c r="A324">
        <v>44128208</v>
      </c>
      <c r="B324">
        <v>2021</v>
      </c>
      <c r="C324" t="s">
        <v>19</v>
      </c>
      <c r="D324" t="s">
        <v>39</v>
      </c>
      <c r="E324" t="s">
        <v>67</v>
      </c>
      <c r="F324" t="s">
        <v>115</v>
      </c>
      <c r="G324" t="s">
        <v>246</v>
      </c>
      <c r="H324" t="s">
        <v>295</v>
      </c>
      <c r="I324" t="s">
        <v>378</v>
      </c>
      <c r="K324" t="s">
        <v>466</v>
      </c>
      <c r="L324" t="s">
        <v>469</v>
      </c>
      <c r="M324" t="s">
        <v>473</v>
      </c>
      <c r="N324" t="s">
        <v>531</v>
      </c>
      <c r="O324" t="s">
        <v>835</v>
      </c>
      <c r="P324" s="1">
        <f>HYPERLINK("https://ec.europa.eu/info/funding-tenders/opportunities/portal/screen/opportunities/topic-details/horizon-cl4-2021-twin-transition-01-19", "HORIZON-CL4-2021-TWIN-TRANSITION-01-19")</f>
        <v>0</v>
      </c>
      <c r="Q324" t="s">
        <v>1290</v>
      </c>
    </row>
    <row r="325" spans="1:17">
      <c r="A325">
        <v>44128240</v>
      </c>
      <c r="B325">
        <v>2021</v>
      </c>
      <c r="C325" t="s">
        <v>19</v>
      </c>
      <c r="D325" t="s">
        <v>39</v>
      </c>
      <c r="E325" t="s">
        <v>67</v>
      </c>
      <c r="F325" t="s">
        <v>115</v>
      </c>
      <c r="G325" t="s">
        <v>246</v>
      </c>
      <c r="H325" t="s">
        <v>295</v>
      </c>
      <c r="I325" t="s">
        <v>378</v>
      </c>
      <c r="K325" t="s">
        <v>466</v>
      </c>
      <c r="L325" t="s">
        <v>469</v>
      </c>
      <c r="M325" t="s">
        <v>473</v>
      </c>
      <c r="N325" t="s">
        <v>531</v>
      </c>
      <c r="O325" t="s">
        <v>835</v>
      </c>
      <c r="P325" s="1">
        <f>HYPERLINK("https://ec.europa.eu/info/funding-tenders/opportunities/portal/screen/opportunities/topic-details/horizon-cl4-2021-twin-transition-01-20", "HORIZON-CL4-2021-TWIN-TRANSITION-01-20")</f>
        <v>0</v>
      </c>
      <c r="Q325" t="s">
        <v>1291</v>
      </c>
    </row>
    <row r="326" spans="1:17">
      <c r="A326">
        <v>44128283</v>
      </c>
      <c r="B326">
        <v>2021</v>
      </c>
      <c r="C326" t="s">
        <v>19</v>
      </c>
      <c r="D326" t="s">
        <v>39</v>
      </c>
      <c r="E326" t="s">
        <v>67</v>
      </c>
      <c r="F326" t="s">
        <v>115</v>
      </c>
      <c r="G326" t="s">
        <v>246</v>
      </c>
      <c r="H326" t="s">
        <v>295</v>
      </c>
      <c r="I326" t="s">
        <v>378</v>
      </c>
      <c r="K326" t="s">
        <v>466</v>
      </c>
      <c r="L326" t="s">
        <v>469</v>
      </c>
      <c r="M326" t="s">
        <v>473</v>
      </c>
      <c r="N326" t="s">
        <v>531</v>
      </c>
      <c r="O326" t="s">
        <v>835</v>
      </c>
      <c r="P326" s="1">
        <f>HYPERLINK("https://ec.europa.eu/info/funding-tenders/opportunities/portal/screen/opportunities/topic-details/horizon-cl4-2021-twin-transition-01-21", "HORIZON-CL4-2021-TWIN-TRANSITION-01-21")</f>
        <v>0</v>
      </c>
      <c r="Q326" t="s">
        <v>1292</v>
      </c>
    </row>
    <row r="327" spans="1:17">
      <c r="A327">
        <v>44128343</v>
      </c>
      <c r="B327">
        <v>2021</v>
      </c>
      <c r="C327" t="s">
        <v>19</v>
      </c>
      <c r="D327" t="s">
        <v>39</v>
      </c>
      <c r="E327" t="s">
        <v>67</v>
      </c>
      <c r="F327" t="s">
        <v>115</v>
      </c>
      <c r="G327" t="s">
        <v>246</v>
      </c>
      <c r="H327" t="s">
        <v>295</v>
      </c>
      <c r="I327" t="s">
        <v>378</v>
      </c>
      <c r="K327" t="s">
        <v>466</v>
      </c>
      <c r="L327" t="s">
        <v>469</v>
      </c>
      <c r="M327" t="s">
        <v>473</v>
      </c>
      <c r="N327" t="s">
        <v>531</v>
      </c>
      <c r="O327" t="s">
        <v>835</v>
      </c>
      <c r="P327" s="1">
        <f>HYPERLINK("https://ec.europa.eu/info/funding-tenders/opportunities/portal/screen/opportunities/topic-details/horizon-cl4-2021-twin-transition-01-22", "HORIZON-CL4-2021-TWIN-TRANSITION-01-22")</f>
        <v>0</v>
      </c>
      <c r="Q327" t="s">
        <v>1293</v>
      </c>
    </row>
    <row r="328" spans="1:17">
      <c r="A328">
        <v>44130699</v>
      </c>
      <c r="B328">
        <v>2022</v>
      </c>
      <c r="C328" t="s">
        <v>19</v>
      </c>
      <c r="D328" t="s">
        <v>39</v>
      </c>
      <c r="E328" t="s">
        <v>63</v>
      </c>
      <c r="F328" t="s">
        <v>108</v>
      </c>
      <c r="G328" t="s">
        <v>247</v>
      </c>
      <c r="H328" t="s">
        <v>306</v>
      </c>
      <c r="I328" t="s">
        <v>257</v>
      </c>
      <c r="K328" t="s">
        <v>466</v>
      </c>
      <c r="L328" t="s">
        <v>469</v>
      </c>
      <c r="M328" t="s">
        <v>471</v>
      </c>
      <c r="N328" t="s">
        <v>532</v>
      </c>
      <c r="O328" t="s">
        <v>836</v>
      </c>
      <c r="P328" s="1">
        <f>HYPERLINK("https://ec.europa.eu/info/funding-tenders/opportunities/portal/screen/opportunities/topic-details/horizon-cl4-2022-data-01-01", "HORIZON-CL4-2022-DATA-01-01")</f>
        <v>0</v>
      </c>
      <c r="Q328" t="s">
        <v>1294</v>
      </c>
    </row>
    <row r="329" spans="1:17">
      <c r="A329">
        <v>44130729</v>
      </c>
      <c r="B329">
        <v>2022</v>
      </c>
      <c r="C329" t="s">
        <v>19</v>
      </c>
      <c r="D329" t="s">
        <v>39</v>
      </c>
      <c r="E329" t="s">
        <v>63</v>
      </c>
      <c r="F329" t="s">
        <v>108</v>
      </c>
      <c r="G329" t="s">
        <v>247</v>
      </c>
      <c r="H329" t="s">
        <v>306</v>
      </c>
      <c r="I329" t="s">
        <v>257</v>
      </c>
      <c r="K329" t="s">
        <v>466</v>
      </c>
      <c r="L329" t="s">
        <v>469</v>
      </c>
      <c r="M329" t="s">
        <v>471</v>
      </c>
      <c r="N329" t="s">
        <v>532</v>
      </c>
      <c r="O329" t="s">
        <v>836</v>
      </c>
      <c r="P329" s="1">
        <f>HYPERLINK("https://ec.europa.eu/info/funding-tenders/opportunities/portal/screen/opportunities/topic-details/horizon-cl4-2022-data-01-02", "HORIZON-CL4-2022-DATA-01-02")</f>
        <v>0</v>
      </c>
      <c r="Q329" t="s">
        <v>1295</v>
      </c>
    </row>
    <row r="330" spans="1:17">
      <c r="A330">
        <v>44130842</v>
      </c>
      <c r="B330">
        <v>2022</v>
      </c>
      <c r="C330" t="s">
        <v>19</v>
      </c>
      <c r="D330" t="s">
        <v>39</v>
      </c>
      <c r="E330" t="s">
        <v>63</v>
      </c>
      <c r="F330" t="s">
        <v>108</v>
      </c>
      <c r="G330" t="s">
        <v>247</v>
      </c>
      <c r="H330" t="s">
        <v>306</v>
      </c>
      <c r="I330" t="s">
        <v>257</v>
      </c>
      <c r="K330" t="s">
        <v>466</v>
      </c>
      <c r="L330" t="s">
        <v>469</v>
      </c>
      <c r="M330" t="s">
        <v>471</v>
      </c>
      <c r="N330" t="s">
        <v>532</v>
      </c>
      <c r="O330" t="s">
        <v>836</v>
      </c>
      <c r="P330" s="1">
        <f>HYPERLINK("https://ec.europa.eu/info/funding-tenders/opportunities/portal/screen/opportunities/topic-details/horizon-cl4-2022-data-01-03", "HORIZON-CL4-2022-DATA-01-03")</f>
        <v>0</v>
      </c>
      <c r="Q330" t="s">
        <v>1296</v>
      </c>
    </row>
    <row r="331" spans="1:17">
      <c r="A331">
        <v>44127305</v>
      </c>
      <c r="B331">
        <v>2022</v>
      </c>
      <c r="C331" t="s">
        <v>19</v>
      </c>
      <c r="D331" t="s">
        <v>39</v>
      </c>
      <c r="E331" t="s">
        <v>63</v>
      </c>
      <c r="F331" t="s">
        <v>108</v>
      </c>
      <c r="G331" t="s">
        <v>247</v>
      </c>
      <c r="H331" t="s">
        <v>306</v>
      </c>
      <c r="I331" t="s">
        <v>257</v>
      </c>
      <c r="K331" t="s">
        <v>466</v>
      </c>
      <c r="L331" t="s">
        <v>469</v>
      </c>
      <c r="M331" t="s">
        <v>473</v>
      </c>
      <c r="N331" t="s">
        <v>532</v>
      </c>
      <c r="O331" t="s">
        <v>836</v>
      </c>
      <c r="P331" s="1">
        <f>HYPERLINK("https://ec.europa.eu/info/funding-tenders/opportunities/portal/screen/opportunities/topic-details/horizon-cl4-2022-data-01-04", "HORIZON-CL4-2022-DATA-01-04")</f>
        <v>0</v>
      </c>
      <c r="Q331" t="s">
        <v>1297</v>
      </c>
    </row>
    <row r="332" spans="1:17">
      <c r="A332">
        <v>44130588</v>
      </c>
      <c r="B332">
        <v>2022</v>
      </c>
      <c r="C332" t="s">
        <v>19</v>
      </c>
      <c r="D332" t="s">
        <v>39</v>
      </c>
      <c r="E332" t="s">
        <v>63</v>
      </c>
      <c r="F332" t="s">
        <v>108</v>
      </c>
      <c r="G332" t="s">
        <v>247</v>
      </c>
      <c r="H332" t="s">
        <v>306</v>
      </c>
      <c r="I332" t="s">
        <v>257</v>
      </c>
      <c r="K332" t="s">
        <v>466</v>
      </c>
      <c r="L332" t="s">
        <v>469</v>
      </c>
      <c r="M332" t="s">
        <v>471</v>
      </c>
      <c r="N332" t="s">
        <v>532</v>
      </c>
      <c r="O332" t="s">
        <v>836</v>
      </c>
      <c r="P332" s="1">
        <f>HYPERLINK("https://ec.europa.eu/info/funding-tenders/opportunities/portal/screen/opportunities/topic-details/horizon-cl4-2022-data-01-05", "HORIZON-CL4-2022-DATA-01-05")</f>
        <v>0</v>
      </c>
      <c r="Q332" t="s">
        <v>1298</v>
      </c>
    </row>
    <row r="333" spans="1:17">
      <c r="A333">
        <v>44131032</v>
      </c>
      <c r="B333">
        <v>2022</v>
      </c>
      <c r="C333" t="s">
        <v>19</v>
      </c>
      <c r="D333" t="s">
        <v>39</v>
      </c>
      <c r="E333" t="s">
        <v>64</v>
      </c>
      <c r="F333" t="s">
        <v>109</v>
      </c>
      <c r="G333" t="s">
        <v>247</v>
      </c>
      <c r="H333" t="s">
        <v>307</v>
      </c>
      <c r="I333" t="s">
        <v>257</v>
      </c>
      <c r="K333" t="s">
        <v>466</v>
      </c>
      <c r="L333" t="s">
        <v>469</v>
      </c>
      <c r="M333" t="s">
        <v>471</v>
      </c>
      <c r="N333" t="s">
        <v>533</v>
      </c>
      <c r="O333" t="s">
        <v>831</v>
      </c>
      <c r="P333" s="1">
        <f>HYPERLINK("https://ec.europa.eu/info/funding-tenders/opportunities/portal/screen/opportunities/topic-details/horizon-cl4-2022-digital-emerging-01-03", "HORIZON-CL4-2022-DIGITAL-EMERGING-01-03")</f>
        <v>0</v>
      </c>
      <c r="Q333" t="s">
        <v>1299</v>
      </c>
    </row>
    <row r="334" spans="1:17">
      <c r="A334">
        <v>44132486</v>
      </c>
      <c r="B334">
        <v>2022</v>
      </c>
      <c r="C334" t="s">
        <v>19</v>
      </c>
      <c r="D334" t="s">
        <v>39</v>
      </c>
      <c r="E334" t="s">
        <v>64</v>
      </c>
      <c r="F334" t="s">
        <v>109</v>
      </c>
      <c r="G334" t="s">
        <v>247</v>
      </c>
      <c r="H334" t="s">
        <v>307</v>
      </c>
      <c r="I334" t="s">
        <v>257</v>
      </c>
      <c r="K334" t="s">
        <v>466</v>
      </c>
      <c r="L334" t="s">
        <v>469</v>
      </c>
      <c r="M334" t="s">
        <v>471</v>
      </c>
      <c r="N334" t="s">
        <v>533</v>
      </c>
      <c r="O334" t="s">
        <v>831</v>
      </c>
      <c r="P334" s="1">
        <f>HYPERLINK("https://ec.europa.eu/info/funding-tenders/opportunities/portal/screen/opportunities/topic-details/horizon-cl4-2022-digital-emerging-01-26", "HORIZON-CL4-2022-DIGITAL-EMERGING-01-26")</f>
        <v>0</v>
      </c>
      <c r="Q334" t="s">
        <v>1300</v>
      </c>
    </row>
    <row r="335" spans="1:17">
      <c r="A335">
        <v>44132824</v>
      </c>
      <c r="B335">
        <v>2022</v>
      </c>
      <c r="C335" t="s">
        <v>19</v>
      </c>
      <c r="D335" t="s">
        <v>39</v>
      </c>
      <c r="E335" t="s">
        <v>64</v>
      </c>
      <c r="F335" t="s">
        <v>109</v>
      </c>
      <c r="G335" t="s">
        <v>247</v>
      </c>
      <c r="H335" t="s">
        <v>307</v>
      </c>
      <c r="I335" t="s">
        <v>257</v>
      </c>
      <c r="K335" t="s">
        <v>466</v>
      </c>
      <c r="L335" t="s">
        <v>469</v>
      </c>
      <c r="M335" t="s">
        <v>471</v>
      </c>
      <c r="N335" t="s">
        <v>533</v>
      </c>
      <c r="O335" t="s">
        <v>831</v>
      </c>
      <c r="P335" s="1">
        <f>HYPERLINK("https://ec.europa.eu/info/funding-tenders/opportunities/portal/screen/opportunities/topic-details/horizon-cl4-2022-digital-emerging-01-30", "HORIZON-CL4-2022-DIGITAL-EMERGING-01-30")</f>
        <v>0</v>
      </c>
      <c r="Q335" t="s">
        <v>1301</v>
      </c>
    </row>
    <row r="336" spans="1:17">
      <c r="A336">
        <v>44127242</v>
      </c>
      <c r="B336">
        <v>2022</v>
      </c>
      <c r="C336" t="s">
        <v>19</v>
      </c>
      <c r="D336" t="s">
        <v>39</v>
      </c>
      <c r="E336" t="s">
        <v>64</v>
      </c>
      <c r="F336" t="s">
        <v>109</v>
      </c>
      <c r="G336" t="s">
        <v>247</v>
      </c>
      <c r="H336" t="s">
        <v>307</v>
      </c>
      <c r="I336" t="s">
        <v>257</v>
      </c>
      <c r="K336" t="s">
        <v>466</v>
      </c>
      <c r="L336" t="s">
        <v>469</v>
      </c>
      <c r="M336" t="s">
        <v>471</v>
      </c>
      <c r="N336" t="s">
        <v>533</v>
      </c>
      <c r="O336" t="s">
        <v>831</v>
      </c>
      <c r="P336" s="1">
        <f>HYPERLINK("https://ec.europa.eu/info/funding-tenders/opportunities/portal/screen/opportunities/topic-details/horizon-cl4-2022-digital-emerging-01-35", "HORIZON-CL4-2022-DIGITAL-EMERGING-01-35")</f>
        <v>0</v>
      </c>
      <c r="Q336" t="s">
        <v>1302</v>
      </c>
    </row>
    <row r="337" spans="1:17">
      <c r="A337">
        <v>44132866</v>
      </c>
      <c r="B337">
        <v>2022</v>
      </c>
      <c r="C337" t="s">
        <v>19</v>
      </c>
      <c r="D337" t="s">
        <v>39</v>
      </c>
      <c r="E337" t="s">
        <v>64</v>
      </c>
      <c r="F337" t="s">
        <v>109</v>
      </c>
      <c r="G337" t="s">
        <v>247</v>
      </c>
      <c r="H337" t="s">
        <v>307</v>
      </c>
      <c r="I337" t="s">
        <v>257</v>
      </c>
      <c r="K337" t="s">
        <v>466</v>
      </c>
      <c r="L337" t="s">
        <v>469</v>
      </c>
      <c r="M337" t="s">
        <v>472</v>
      </c>
      <c r="N337" t="s">
        <v>533</v>
      </c>
      <c r="O337" t="s">
        <v>831</v>
      </c>
      <c r="P337" s="1">
        <f>HYPERLINK("https://ec.europa.eu/info/funding-tenders/opportunities/portal/screen/opportunities/topic-details/horizon-cl4-2022-digital-emerging-01-38", "HORIZON-CL4-2022-DIGITAL-EMERGING-01-38")</f>
        <v>0</v>
      </c>
      <c r="Q337" t="s">
        <v>1303</v>
      </c>
    </row>
    <row r="338" spans="1:17">
      <c r="A338">
        <v>44132891</v>
      </c>
      <c r="B338">
        <v>2022</v>
      </c>
      <c r="C338" t="s">
        <v>19</v>
      </c>
      <c r="D338" t="s">
        <v>39</v>
      </c>
      <c r="E338" t="s">
        <v>64</v>
      </c>
      <c r="F338" t="s">
        <v>109</v>
      </c>
      <c r="G338" t="s">
        <v>247</v>
      </c>
      <c r="H338" t="s">
        <v>307</v>
      </c>
      <c r="I338" t="s">
        <v>257</v>
      </c>
      <c r="K338" t="s">
        <v>466</v>
      </c>
      <c r="L338" t="s">
        <v>469</v>
      </c>
      <c r="M338" t="s">
        <v>471</v>
      </c>
      <c r="N338" t="s">
        <v>533</v>
      </c>
      <c r="O338" t="s">
        <v>831</v>
      </c>
      <c r="P338" s="1">
        <f>HYPERLINK("https://ec.europa.eu/info/funding-tenders/opportunities/portal/screen/opportunities/topic-details/horizon-cl4-2022-digital-emerging-01-39", "HORIZON-CL4-2022-DIGITAL-EMERGING-01-39")</f>
        <v>0</v>
      </c>
      <c r="Q338" t="s">
        <v>1304</v>
      </c>
    </row>
    <row r="339" spans="1:17">
      <c r="A339">
        <v>44131201</v>
      </c>
      <c r="B339">
        <v>2022</v>
      </c>
      <c r="C339" t="s">
        <v>19</v>
      </c>
      <c r="D339" t="s">
        <v>39</v>
      </c>
      <c r="E339" t="s">
        <v>65</v>
      </c>
      <c r="F339" t="s">
        <v>110</v>
      </c>
      <c r="G339" t="s">
        <v>247</v>
      </c>
      <c r="H339" t="s">
        <v>308</v>
      </c>
      <c r="I339" t="s">
        <v>375</v>
      </c>
      <c r="K339" t="s">
        <v>466</v>
      </c>
      <c r="L339" t="s">
        <v>469</v>
      </c>
      <c r="M339" t="s">
        <v>473</v>
      </c>
      <c r="N339" t="s">
        <v>534</v>
      </c>
      <c r="O339" t="s">
        <v>831</v>
      </c>
      <c r="P339" s="1">
        <f>HYPERLINK("https://ec.europa.eu/info/funding-tenders/opportunities/portal/screen/opportunities/topic-details/horizon-cl4-2022-digital-emerging-02-05", "HORIZON-CL4-2022-DIGITAL-EMERGING-02-05")</f>
        <v>0</v>
      </c>
      <c r="Q339" t="s">
        <v>1305</v>
      </c>
    </row>
    <row r="340" spans="1:17">
      <c r="A340">
        <v>44131380</v>
      </c>
      <c r="B340">
        <v>2022</v>
      </c>
      <c r="C340" t="s">
        <v>19</v>
      </c>
      <c r="D340" t="s">
        <v>39</v>
      </c>
      <c r="E340" t="s">
        <v>65</v>
      </c>
      <c r="F340" t="s">
        <v>110</v>
      </c>
      <c r="G340" t="s">
        <v>247</v>
      </c>
      <c r="H340" t="s">
        <v>308</v>
      </c>
      <c r="I340" t="s">
        <v>375</v>
      </c>
      <c r="K340" t="s">
        <v>466</v>
      </c>
      <c r="L340" t="s">
        <v>469</v>
      </c>
      <c r="M340" t="s">
        <v>471</v>
      </c>
      <c r="N340" t="s">
        <v>534</v>
      </c>
      <c r="O340" t="s">
        <v>831</v>
      </c>
      <c r="P340" s="1">
        <f>HYPERLINK("https://ec.europa.eu/info/funding-tenders/opportunities/portal/screen/opportunities/topic-details/horizon-cl4-2022-digital-emerging-02-06", "HORIZON-CL4-2022-DIGITAL-EMERGING-02-06")</f>
        <v>0</v>
      </c>
      <c r="Q340" t="s">
        <v>1306</v>
      </c>
    </row>
    <row r="341" spans="1:17">
      <c r="A341">
        <v>44131435</v>
      </c>
      <c r="B341">
        <v>2022</v>
      </c>
      <c r="C341" t="s">
        <v>19</v>
      </c>
      <c r="D341" t="s">
        <v>39</v>
      </c>
      <c r="E341" t="s">
        <v>65</v>
      </c>
      <c r="F341" t="s">
        <v>110</v>
      </c>
      <c r="G341" t="s">
        <v>247</v>
      </c>
      <c r="H341" t="s">
        <v>308</v>
      </c>
      <c r="I341" t="s">
        <v>375</v>
      </c>
      <c r="K341" t="s">
        <v>466</v>
      </c>
      <c r="L341" t="s">
        <v>469</v>
      </c>
      <c r="M341" t="s">
        <v>473</v>
      </c>
      <c r="N341" t="s">
        <v>534</v>
      </c>
      <c r="O341" t="s">
        <v>831</v>
      </c>
      <c r="P341" s="1">
        <f>HYPERLINK("https://ec.europa.eu/info/funding-tenders/opportunities/portal/screen/opportunities/topic-details/horizon-cl4-2022-digital-emerging-02-07", "HORIZON-CL4-2022-DIGITAL-EMERGING-02-07")</f>
        <v>0</v>
      </c>
      <c r="Q341" t="s">
        <v>1307</v>
      </c>
    </row>
    <row r="342" spans="1:17">
      <c r="A342">
        <v>44132593</v>
      </c>
      <c r="B342">
        <v>2022</v>
      </c>
      <c r="C342" t="s">
        <v>19</v>
      </c>
      <c r="D342" t="s">
        <v>39</v>
      </c>
      <c r="E342" t="s">
        <v>64</v>
      </c>
      <c r="F342" t="s">
        <v>110</v>
      </c>
      <c r="G342" t="s">
        <v>247</v>
      </c>
      <c r="H342" t="s">
        <v>308</v>
      </c>
      <c r="I342" t="s">
        <v>375</v>
      </c>
      <c r="K342" t="s">
        <v>466</v>
      </c>
      <c r="L342" t="s">
        <v>469</v>
      </c>
      <c r="M342" t="s">
        <v>471</v>
      </c>
      <c r="N342" t="s">
        <v>534</v>
      </c>
      <c r="O342" t="s">
        <v>831</v>
      </c>
      <c r="P342" s="1">
        <f>HYPERLINK("https://ec.europa.eu/info/funding-tenders/opportunities/portal/screen/opportunities/topic-details/horizon-cl4-2022-digital-emerging-02-17", "HORIZON-CL4-2022-DIGITAL-EMERGING-02-17")</f>
        <v>0</v>
      </c>
      <c r="Q342" t="s">
        <v>1308</v>
      </c>
    </row>
    <row r="343" spans="1:17">
      <c r="A343">
        <v>44132628</v>
      </c>
      <c r="B343">
        <v>2022</v>
      </c>
      <c r="C343" t="s">
        <v>19</v>
      </c>
      <c r="D343" t="s">
        <v>39</v>
      </c>
      <c r="E343" t="s">
        <v>64</v>
      </c>
      <c r="F343" t="s">
        <v>110</v>
      </c>
      <c r="G343" t="s">
        <v>247</v>
      </c>
      <c r="H343" t="s">
        <v>308</v>
      </c>
      <c r="I343" t="s">
        <v>375</v>
      </c>
      <c r="K343" t="s">
        <v>466</v>
      </c>
      <c r="L343" t="s">
        <v>469</v>
      </c>
      <c r="M343" t="s">
        <v>471</v>
      </c>
      <c r="N343" t="s">
        <v>534</v>
      </c>
      <c r="O343" t="s">
        <v>831</v>
      </c>
      <c r="P343" s="1">
        <f>HYPERLINK("https://ec.europa.eu/info/funding-tenders/opportunities/portal/screen/opportunities/topic-details/horizon-cl4-2022-digital-emerging-02-18", "HORIZON-CL4-2022-DIGITAL-EMERGING-02-18")</f>
        <v>0</v>
      </c>
      <c r="Q343" t="s">
        <v>1309</v>
      </c>
    </row>
    <row r="344" spans="1:17">
      <c r="A344">
        <v>44132665</v>
      </c>
      <c r="B344">
        <v>2022</v>
      </c>
      <c r="C344" t="s">
        <v>19</v>
      </c>
      <c r="D344" t="s">
        <v>39</v>
      </c>
      <c r="E344" t="s">
        <v>64</v>
      </c>
      <c r="F344" t="s">
        <v>110</v>
      </c>
      <c r="G344" t="s">
        <v>247</v>
      </c>
      <c r="H344" t="s">
        <v>308</v>
      </c>
      <c r="I344" t="s">
        <v>375</v>
      </c>
      <c r="K344" t="s">
        <v>466</v>
      </c>
      <c r="L344" t="s">
        <v>469</v>
      </c>
      <c r="M344" t="s">
        <v>471</v>
      </c>
      <c r="N344" t="s">
        <v>534</v>
      </c>
      <c r="O344" t="s">
        <v>831</v>
      </c>
      <c r="P344" s="1">
        <f>HYPERLINK("https://ec.europa.eu/info/funding-tenders/opportunities/portal/screen/opportunities/topic-details/horizon-cl4-2022-digital-emerging-02-19", "HORIZON-CL4-2022-DIGITAL-EMERGING-02-19")</f>
        <v>0</v>
      </c>
      <c r="Q344" t="s">
        <v>1310</v>
      </c>
    </row>
    <row r="345" spans="1:17">
      <c r="A345">
        <v>44132702</v>
      </c>
      <c r="B345">
        <v>2022</v>
      </c>
      <c r="C345" t="s">
        <v>19</v>
      </c>
      <c r="D345" t="s">
        <v>39</v>
      </c>
      <c r="E345" t="s">
        <v>64</v>
      </c>
      <c r="F345" t="s">
        <v>110</v>
      </c>
      <c r="G345" t="s">
        <v>247</v>
      </c>
      <c r="H345" t="s">
        <v>308</v>
      </c>
      <c r="I345" t="s">
        <v>375</v>
      </c>
      <c r="K345" t="s">
        <v>466</v>
      </c>
      <c r="L345" t="s">
        <v>469</v>
      </c>
      <c r="M345" t="s">
        <v>473</v>
      </c>
      <c r="N345" t="s">
        <v>534</v>
      </c>
      <c r="O345" t="s">
        <v>831</v>
      </c>
      <c r="P345" s="1">
        <f>HYPERLINK("https://ec.europa.eu/info/funding-tenders/opportunities/portal/screen/opportunities/topic-details/horizon-cl4-2022-digital-emerging-02-20", "HORIZON-CL4-2022-DIGITAL-EMERGING-02-20")</f>
        <v>0</v>
      </c>
      <c r="Q345" t="s">
        <v>1311</v>
      </c>
    </row>
    <row r="346" spans="1:17">
      <c r="A346">
        <v>44132740</v>
      </c>
      <c r="B346">
        <v>2022</v>
      </c>
      <c r="C346" t="s">
        <v>19</v>
      </c>
      <c r="D346" t="s">
        <v>39</v>
      </c>
      <c r="E346" t="s">
        <v>64</v>
      </c>
      <c r="F346" t="s">
        <v>110</v>
      </c>
      <c r="G346" t="s">
        <v>247</v>
      </c>
      <c r="H346" t="s">
        <v>308</v>
      </c>
      <c r="I346" t="s">
        <v>375</v>
      </c>
      <c r="K346" t="s">
        <v>466</v>
      </c>
      <c r="L346" t="s">
        <v>469</v>
      </c>
      <c r="M346" t="s">
        <v>472</v>
      </c>
      <c r="N346" t="s">
        <v>534</v>
      </c>
      <c r="O346" t="s">
        <v>831</v>
      </c>
      <c r="P346" s="1">
        <f>HYPERLINK("https://ec.europa.eu/info/funding-tenders/opportunities/portal/screen/opportunities/topic-details/horizon-cl4-2022-digital-emerging-02-22", "HORIZON-CL4-2022-DIGITAL-EMERGING-02-22")</f>
        <v>0</v>
      </c>
      <c r="Q346" t="s">
        <v>1312</v>
      </c>
    </row>
    <row r="347" spans="1:17">
      <c r="A347">
        <v>44129219</v>
      </c>
      <c r="B347">
        <v>2022</v>
      </c>
      <c r="C347" t="s">
        <v>19</v>
      </c>
      <c r="D347" t="s">
        <v>39</v>
      </c>
      <c r="E347" t="s">
        <v>66</v>
      </c>
      <c r="F347" t="s">
        <v>111</v>
      </c>
      <c r="G347" t="s">
        <v>247</v>
      </c>
      <c r="H347" t="s">
        <v>307</v>
      </c>
      <c r="I347" t="s">
        <v>257</v>
      </c>
      <c r="K347" t="s">
        <v>466</v>
      </c>
      <c r="L347" t="s">
        <v>469</v>
      </c>
      <c r="M347" t="s">
        <v>471</v>
      </c>
      <c r="N347" t="s">
        <v>535</v>
      </c>
      <c r="O347" t="s">
        <v>837</v>
      </c>
      <c r="P347" s="1">
        <f>HYPERLINK("https://ec.europa.eu/info/funding-tenders/opportunities/portal/screen/opportunities/topic-details/horizon-cl4-2022-human-01-03", "HORIZON-CL4-2022-HUMAN-01-03")</f>
        <v>0</v>
      </c>
      <c r="Q347" t="s">
        <v>1313</v>
      </c>
    </row>
    <row r="348" spans="1:17">
      <c r="A348">
        <v>44129259</v>
      </c>
      <c r="B348">
        <v>2022</v>
      </c>
      <c r="C348" t="s">
        <v>19</v>
      </c>
      <c r="D348" t="s">
        <v>39</v>
      </c>
      <c r="E348" t="s">
        <v>66</v>
      </c>
      <c r="F348" t="s">
        <v>111</v>
      </c>
      <c r="G348" t="s">
        <v>247</v>
      </c>
      <c r="H348" t="s">
        <v>307</v>
      </c>
      <c r="I348" t="s">
        <v>257</v>
      </c>
      <c r="K348" t="s">
        <v>466</v>
      </c>
      <c r="L348" t="s">
        <v>469</v>
      </c>
      <c r="M348" t="s">
        <v>471</v>
      </c>
      <c r="N348" t="s">
        <v>535</v>
      </c>
      <c r="O348" t="s">
        <v>837</v>
      </c>
      <c r="P348" s="1">
        <f>HYPERLINK("https://ec.europa.eu/info/funding-tenders/opportunities/portal/screen/opportunities/topic-details/horizon-cl4-2022-human-01-05", "HORIZON-CL4-2022-HUMAN-01-05")</f>
        <v>0</v>
      </c>
      <c r="Q348" t="s">
        <v>1314</v>
      </c>
    </row>
    <row r="349" spans="1:17">
      <c r="A349">
        <v>44127695</v>
      </c>
      <c r="B349">
        <v>2022</v>
      </c>
      <c r="C349" t="s">
        <v>19</v>
      </c>
      <c r="D349" t="s">
        <v>39</v>
      </c>
      <c r="E349" t="s">
        <v>66</v>
      </c>
      <c r="F349" t="s">
        <v>111</v>
      </c>
      <c r="G349" t="s">
        <v>247</v>
      </c>
      <c r="H349" t="s">
        <v>307</v>
      </c>
      <c r="I349" t="s">
        <v>257</v>
      </c>
      <c r="K349" t="s">
        <v>466</v>
      </c>
      <c r="L349" t="s">
        <v>469</v>
      </c>
      <c r="M349" t="s">
        <v>471</v>
      </c>
      <c r="N349" t="s">
        <v>535</v>
      </c>
      <c r="O349" t="s">
        <v>837</v>
      </c>
      <c r="P349" s="1">
        <f>HYPERLINK("https://ec.europa.eu/info/funding-tenders/opportunities/portal/screen/opportunities/topic-details/horizon-cl4-2022-human-01-07", "HORIZON-CL4-2022-HUMAN-01-07")</f>
        <v>0</v>
      </c>
      <c r="Q349" t="s">
        <v>1315</v>
      </c>
    </row>
    <row r="350" spans="1:17">
      <c r="A350">
        <v>44129080</v>
      </c>
      <c r="B350">
        <v>2022</v>
      </c>
      <c r="C350" t="s">
        <v>19</v>
      </c>
      <c r="D350" t="s">
        <v>39</v>
      </c>
      <c r="E350" t="s">
        <v>66</v>
      </c>
      <c r="F350" t="s">
        <v>111</v>
      </c>
      <c r="G350" t="s">
        <v>247</v>
      </c>
      <c r="H350" t="s">
        <v>307</v>
      </c>
      <c r="I350" t="s">
        <v>257</v>
      </c>
      <c r="K350" t="s">
        <v>466</v>
      </c>
      <c r="L350" t="s">
        <v>469</v>
      </c>
      <c r="M350" t="s">
        <v>471</v>
      </c>
      <c r="N350" t="s">
        <v>535</v>
      </c>
      <c r="O350" t="s">
        <v>837</v>
      </c>
      <c r="P350" s="1">
        <f>HYPERLINK("https://ec.europa.eu/info/funding-tenders/opportunities/portal/screen/opportunities/topic-details/horizon-cl4-2022-human-01-14", "HORIZON-CL4-2022-HUMAN-01-14")</f>
        <v>0</v>
      </c>
      <c r="Q350" t="s">
        <v>1316</v>
      </c>
    </row>
    <row r="351" spans="1:17">
      <c r="A351">
        <v>44132517</v>
      </c>
      <c r="B351">
        <v>2022</v>
      </c>
      <c r="C351" t="s">
        <v>19</v>
      </c>
      <c r="D351" t="s">
        <v>39</v>
      </c>
      <c r="E351" t="s">
        <v>66</v>
      </c>
      <c r="F351" t="s">
        <v>111</v>
      </c>
      <c r="G351" t="s">
        <v>247</v>
      </c>
      <c r="H351" t="s">
        <v>307</v>
      </c>
      <c r="I351" t="s">
        <v>257</v>
      </c>
      <c r="K351" t="s">
        <v>466</v>
      </c>
      <c r="L351" t="s">
        <v>469</v>
      </c>
      <c r="M351" t="s">
        <v>473</v>
      </c>
      <c r="N351" t="s">
        <v>535</v>
      </c>
      <c r="O351" t="s">
        <v>837</v>
      </c>
      <c r="P351" s="1">
        <f>HYPERLINK("https://ec.europa.eu/info/funding-tenders/opportunities/portal/screen/opportunities/topic-details/horizon-cl4-2022-human-01-19", "HORIZON-CL4-2022-HUMAN-01-19")</f>
        <v>0</v>
      </c>
      <c r="Q351" t="s">
        <v>1317</v>
      </c>
    </row>
    <row r="352" spans="1:17">
      <c r="A352">
        <v>44129154</v>
      </c>
      <c r="B352">
        <v>2022</v>
      </c>
      <c r="C352" t="s">
        <v>19</v>
      </c>
      <c r="D352" t="s">
        <v>39</v>
      </c>
      <c r="E352" t="s">
        <v>65</v>
      </c>
      <c r="F352" t="s">
        <v>116</v>
      </c>
      <c r="G352" t="s">
        <v>250</v>
      </c>
      <c r="H352" t="s">
        <v>308</v>
      </c>
      <c r="I352" t="s">
        <v>375</v>
      </c>
      <c r="K352" t="s">
        <v>466</v>
      </c>
      <c r="L352" t="s">
        <v>469</v>
      </c>
      <c r="M352" t="s">
        <v>471</v>
      </c>
      <c r="N352" t="s">
        <v>536</v>
      </c>
      <c r="O352" t="s">
        <v>837</v>
      </c>
      <c r="P352" s="1">
        <f>HYPERLINK("https://ec.europa.eu/info/funding-tenders/opportunities/portal/screen/opportunities/topic-details/horizon-cl4-2022-human-02-01", "HORIZON-CL4-2022-HUMAN-02-01")</f>
        <v>0</v>
      </c>
      <c r="Q352" t="s">
        <v>1318</v>
      </c>
    </row>
    <row r="353" spans="1:17">
      <c r="A353">
        <v>44129190</v>
      </c>
      <c r="B353">
        <v>2022</v>
      </c>
      <c r="C353" t="s">
        <v>19</v>
      </c>
      <c r="D353" t="s">
        <v>39</v>
      </c>
      <c r="E353" t="s">
        <v>65</v>
      </c>
      <c r="F353" t="s">
        <v>116</v>
      </c>
      <c r="G353" t="s">
        <v>250</v>
      </c>
      <c r="H353" t="s">
        <v>308</v>
      </c>
      <c r="I353" t="s">
        <v>375</v>
      </c>
      <c r="K353" t="s">
        <v>466</v>
      </c>
      <c r="L353" t="s">
        <v>469</v>
      </c>
      <c r="M353" t="s">
        <v>471</v>
      </c>
      <c r="N353" t="s">
        <v>536</v>
      </c>
      <c r="O353" t="s">
        <v>837</v>
      </c>
      <c r="P353" s="1">
        <f>HYPERLINK("https://ec.europa.eu/info/funding-tenders/opportunities/portal/screen/opportunities/topic-details/horizon-cl4-2022-human-02-02", "HORIZON-CL4-2022-HUMAN-02-02")</f>
        <v>0</v>
      </c>
      <c r="Q353" t="s">
        <v>1319</v>
      </c>
    </row>
    <row r="354" spans="1:17">
      <c r="A354">
        <v>44130015</v>
      </c>
      <c r="B354">
        <v>2022</v>
      </c>
      <c r="C354" t="s">
        <v>19</v>
      </c>
      <c r="D354" t="s">
        <v>39</v>
      </c>
      <c r="E354" t="s">
        <v>68</v>
      </c>
      <c r="F354" t="s">
        <v>112</v>
      </c>
      <c r="G354" t="s">
        <v>247</v>
      </c>
      <c r="H354" t="s">
        <v>309</v>
      </c>
      <c r="I354" t="s">
        <v>381</v>
      </c>
      <c r="K354" t="s">
        <v>466</v>
      </c>
      <c r="L354" t="s">
        <v>469</v>
      </c>
      <c r="M354" t="s">
        <v>471</v>
      </c>
      <c r="N354" t="s">
        <v>537</v>
      </c>
      <c r="O354" t="s">
        <v>838</v>
      </c>
      <c r="P354" s="1">
        <f>HYPERLINK("https://ec.europa.eu/info/funding-tenders/opportunities/portal/screen/opportunities/topic-details/horizon-cl4-2022-resilience-01-01", "HORIZON-CL4-2022-RESILIENCE-01-01")</f>
        <v>0</v>
      </c>
      <c r="Q354" t="s">
        <v>1320</v>
      </c>
    </row>
    <row r="355" spans="1:17">
      <c r="A355">
        <v>44130290</v>
      </c>
      <c r="B355">
        <v>2022</v>
      </c>
      <c r="C355" t="s">
        <v>19</v>
      </c>
      <c r="D355" t="s">
        <v>39</v>
      </c>
      <c r="E355" t="s">
        <v>69</v>
      </c>
      <c r="F355" t="s">
        <v>112</v>
      </c>
      <c r="G355" t="s">
        <v>247</v>
      </c>
      <c r="H355" t="s">
        <v>309</v>
      </c>
      <c r="I355" t="s">
        <v>381</v>
      </c>
      <c r="K355" t="s">
        <v>466</v>
      </c>
      <c r="L355" t="s">
        <v>469</v>
      </c>
      <c r="M355" t="s">
        <v>471</v>
      </c>
      <c r="N355" t="s">
        <v>537</v>
      </c>
      <c r="O355" t="s">
        <v>838</v>
      </c>
      <c r="P355" s="1">
        <f>HYPERLINK("https://ec.europa.eu/info/funding-tenders/opportunities/portal/screen/opportunities/topic-details/horizon-cl4-2022-resilience-01-02", "HORIZON-CL4-2022-RESILIENCE-01-02")</f>
        <v>0</v>
      </c>
      <c r="Q355" t="s">
        <v>1321</v>
      </c>
    </row>
    <row r="356" spans="1:17">
      <c r="A356">
        <v>44130034</v>
      </c>
      <c r="B356">
        <v>2022</v>
      </c>
      <c r="C356" t="s">
        <v>19</v>
      </c>
      <c r="D356" t="s">
        <v>39</v>
      </c>
      <c r="E356" t="s">
        <v>68</v>
      </c>
      <c r="F356" t="s">
        <v>112</v>
      </c>
      <c r="G356" t="s">
        <v>247</v>
      </c>
      <c r="H356" t="s">
        <v>309</v>
      </c>
      <c r="I356" t="s">
        <v>381</v>
      </c>
      <c r="K356" t="s">
        <v>466</v>
      </c>
      <c r="L356" t="s">
        <v>469</v>
      </c>
      <c r="M356" t="s">
        <v>472</v>
      </c>
      <c r="N356" t="s">
        <v>537</v>
      </c>
      <c r="O356" t="s">
        <v>838</v>
      </c>
      <c r="P356" s="1">
        <f>HYPERLINK("https://ec.europa.eu/info/funding-tenders/opportunities/portal/screen/opportunities/topic-details/horizon-cl4-2022-resilience-01-03", "HORIZON-CL4-2022-RESILIENCE-01-03")</f>
        <v>0</v>
      </c>
      <c r="Q356" t="s">
        <v>1322</v>
      </c>
    </row>
    <row r="357" spans="1:17">
      <c r="A357">
        <v>44130332</v>
      </c>
      <c r="B357">
        <v>2022</v>
      </c>
      <c r="C357" t="s">
        <v>19</v>
      </c>
      <c r="D357" t="s">
        <v>39</v>
      </c>
      <c r="E357" t="s">
        <v>68</v>
      </c>
      <c r="F357" t="s">
        <v>112</v>
      </c>
      <c r="G357" t="s">
        <v>247</v>
      </c>
      <c r="H357" t="s">
        <v>309</v>
      </c>
      <c r="I357" t="s">
        <v>381</v>
      </c>
      <c r="K357" t="s">
        <v>466</v>
      </c>
      <c r="L357" t="s">
        <v>469</v>
      </c>
      <c r="M357" t="s">
        <v>473</v>
      </c>
      <c r="N357" t="s">
        <v>537</v>
      </c>
      <c r="O357" t="s">
        <v>838</v>
      </c>
      <c r="P357" s="1">
        <f>HYPERLINK("https://ec.europa.eu/info/funding-tenders/opportunities/portal/screen/opportunities/topic-details/horizon-cl4-2022-resilience-01-04", "HORIZON-CL4-2022-RESILIENCE-01-04")</f>
        <v>0</v>
      </c>
      <c r="Q357" t="s">
        <v>1323</v>
      </c>
    </row>
    <row r="358" spans="1:17">
      <c r="A358">
        <v>44130371</v>
      </c>
      <c r="B358">
        <v>2022</v>
      </c>
      <c r="C358" t="s">
        <v>19</v>
      </c>
      <c r="D358" t="s">
        <v>39</v>
      </c>
      <c r="E358" t="s">
        <v>68</v>
      </c>
      <c r="F358" t="s">
        <v>112</v>
      </c>
      <c r="G358" t="s">
        <v>247</v>
      </c>
      <c r="H358" t="s">
        <v>309</v>
      </c>
      <c r="I358" t="s">
        <v>381</v>
      </c>
      <c r="K358" t="s">
        <v>466</v>
      </c>
      <c r="L358" t="s">
        <v>469</v>
      </c>
      <c r="M358" t="s">
        <v>471</v>
      </c>
      <c r="N358" t="s">
        <v>537</v>
      </c>
      <c r="O358" t="s">
        <v>838</v>
      </c>
      <c r="P358" s="1">
        <f>HYPERLINK("https://ec.europa.eu/info/funding-tenders/opportunities/portal/screen/opportunities/topic-details/horizon-cl4-2022-resilience-01-05", "HORIZON-CL4-2022-RESILIENCE-01-05")</f>
        <v>0</v>
      </c>
      <c r="Q358" t="s">
        <v>1324</v>
      </c>
    </row>
    <row r="359" spans="1:17">
      <c r="A359">
        <v>44130076</v>
      </c>
      <c r="B359">
        <v>2022</v>
      </c>
      <c r="C359" t="s">
        <v>19</v>
      </c>
      <c r="D359" t="s">
        <v>39</v>
      </c>
      <c r="E359" t="s">
        <v>68</v>
      </c>
      <c r="F359" t="s">
        <v>112</v>
      </c>
      <c r="G359" t="s">
        <v>247</v>
      </c>
      <c r="H359" t="s">
        <v>309</v>
      </c>
      <c r="I359" t="s">
        <v>381</v>
      </c>
      <c r="K359" t="s">
        <v>466</v>
      </c>
      <c r="L359" t="s">
        <v>469</v>
      </c>
      <c r="M359" t="s">
        <v>473</v>
      </c>
      <c r="N359" t="s">
        <v>537</v>
      </c>
      <c r="O359" t="s">
        <v>838</v>
      </c>
      <c r="P359" s="1">
        <f>HYPERLINK("https://ec.europa.eu/info/funding-tenders/opportunities/portal/screen/opportunities/topic-details/horizon-cl4-2022-resilience-01-06", "HORIZON-CL4-2022-RESILIENCE-01-06")</f>
        <v>0</v>
      </c>
      <c r="Q359" t="s">
        <v>1325</v>
      </c>
    </row>
    <row r="360" spans="1:17">
      <c r="A360">
        <v>44130119</v>
      </c>
      <c r="B360">
        <v>2022</v>
      </c>
      <c r="C360" t="s">
        <v>19</v>
      </c>
      <c r="D360" t="s">
        <v>39</v>
      </c>
      <c r="E360" t="s">
        <v>68</v>
      </c>
      <c r="F360" t="s">
        <v>112</v>
      </c>
      <c r="G360" t="s">
        <v>247</v>
      </c>
      <c r="H360" t="s">
        <v>309</v>
      </c>
      <c r="I360" t="s">
        <v>381</v>
      </c>
      <c r="K360" t="s">
        <v>466</v>
      </c>
      <c r="L360" t="s">
        <v>469</v>
      </c>
      <c r="M360" t="s">
        <v>473</v>
      </c>
      <c r="N360" t="s">
        <v>537</v>
      </c>
      <c r="O360" t="s">
        <v>838</v>
      </c>
      <c r="P360" s="1">
        <f>HYPERLINK("https://ec.europa.eu/info/funding-tenders/opportunities/portal/screen/opportunities/topic-details/horizon-cl4-2022-resilience-01-07", "HORIZON-CL4-2022-RESILIENCE-01-07")</f>
        <v>0</v>
      </c>
      <c r="Q360" t="s">
        <v>1326</v>
      </c>
    </row>
    <row r="361" spans="1:17">
      <c r="A361">
        <v>44130410</v>
      </c>
      <c r="B361">
        <v>2022</v>
      </c>
      <c r="C361" t="s">
        <v>19</v>
      </c>
      <c r="D361" t="s">
        <v>39</v>
      </c>
      <c r="E361" t="s">
        <v>68</v>
      </c>
      <c r="F361" t="s">
        <v>112</v>
      </c>
      <c r="G361" t="s">
        <v>247</v>
      </c>
      <c r="H361" t="s">
        <v>309</v>
      </c>
      <c r="I361" t="s">
        <v>381</v>
      </c>
      <c r="K361" t="s">
        <v>466</v>
      </c>
      <c r="L361" t="s">
        <v>469</v>
      </c>
      <c r="M361" t="s">
        <v>471</v>
      </c>
      <c r="N361" t="s">
        <v>537</v>
      </c>
      <c r="O361" t="s">
        <v>838</v>
      </c>
      <c r="P361" s="1">
        <f>HYPERLINK("https://ec.europa.eu/info/funding-tenders/opportunities/portal/screen/opportunities/topic-details/horizon-cl4-2022-resilience-01-08", "HORIZON-CL4-2022-RESILIENCE-01-08")</f>
        <v>0</v>
      </c>
      <c r="Q361" t="s">
        <v>1327</v>
      </c>
    </row>
    <row r="362" spans="1:17">
      <c r="A362">
        <v>44130449</v>
      </c>
      <c r="B362">
        <v>2022</v>
      </c>
      <c r="C362" t="s">
        <v>19</v>
      </c>
      <c r="D362" t="s">
        <v>39</v>
      </c>
      <c r="E362" t="s">
        <v>69</v>
      </c>
      <c r="F362" t="s">
        <v>112</v>
      </c>
      <c r="G362" t="s">
        <v>247</v>
      </c>
      <c r="H362" t="s">
        <v>309</v>
      </c>
      <c r="I362" t="s">
        <v>381</v>
      </c>
      <c r="K362" t="s">
        <v>466</v>
      </c>
      <c r="L362" t="s">
        <v>469</v>
      </c>
      <c r="M362" t="s">
        <v>471</v>
      </c>
      <c r="N362" t="s">
        <v>537</v>
      </c>
      <c r="O362" t="s">
        <v>838</v>
      </c>
      <c r="P362" s="1">
        <f>HYPERLINK("https://ec.europa.eu/info/funding-tenders/opportunities/portal/screen/opportunities/topic-details/horizon-cl4-2022-resilience-01-10", "HORIZON-CL4-2022-RESILIENCE-01-10")</f>
        <v>0</v>
      </c>
      <c r="Q362" t="s">
        <v>1328</v>
      </c>
    </row>
    <row r="363" spans="1:17">
      <c r="A363">
        <v>44130475</v>
      </c>
      <c r="B363">
        <v>2022</v>
      </c>
      <c r="C363" t="s">
        <v>19</v>
      </c>
      <c r="D363" t="s">
        <v>39</v>
      </c>
      <c r="E363" t="s">
        <v>69</v>
      </c>
      <c r="F363" t="s">
        <v>112</v>
      </c>
      <c r="G363" t="s">
        <v>247</v>
      </c>
      <c r="H363" t="s">
        <v>309</v>
      </c>
      <c r="I363" t="s">
        <v>381</v>
      </c>
      <c r="K363" t="s">
        <v>466</v>
      </c>
      <c r="L363" t="s">
        <v>469</v>
      </c>
      <c r="M363" t="s">
        <v>471</v>
      </c>
      <c r="N363" t="s">
        <v>537</v>
      </c>
      <c r="O363" t="s">
        <v>838</v>
      </c>
      <c r="P363" s="1">
        <f>HYPERLINK("https://ec.europa.eu/info/funding-tenders/opportunities/portal/screen/opportunities/topic-details/horizon-cl4-2022-resilience-01-11", "HORIZON-CL4-2022-RESILIENCE-01-11")</f>
        <v>0</v>
      </c>
      <c r="Q363" t="s">
        <v>1329</v>
      </c>
    </row>
    <row r="364" spans="1:17">
      <c r="A364">
        <v>44130500</v>
      </c>
      <c r="B364">
        <v>2022</v>
      </c>
      <c r="C364" t="s">
        <v>19</v>
      </c>
      <c r="D364" t="s">
        <v>39</v>
      </c>
      <c r="E364" t="s">
        <v>69</v>
      </c>
      <c r="F364" t="s">
        <v>112</v>
      </c>
      <c r="G364" t="s">
        <v>247</v>
      </c>
      <c r="H364" t="s">
        <v>309</v>
      </c>
      <c r="I364" t="s">
        <v>381</v>
      </c>
      <c r="K364" t="s">
        <v>466</v>
      </c>
      <c r="L364" t="s">
        <v>469</v>
      </c>
      <c r="M364" t="s">
        <v>471</v>
      </c>
      <c r="N364" t="s">
        <v>537</v>
      </c>
      <c r="O364" t="s">
        <v>838</v>
      </c>
      <c r="P364" s="1">
        <f>HYPERLINK("https://ec.europa.eu/info/funding-tenders/opportunities/portal/screen/opportunities/topic-details/horizon-cl4-2022-resilience-01-12", "HORIZON-CL4-2022-RESILIENCE-01-12")</f>
        <v>0</v>
      </c>
      <c r="Q364" t="s">
        <v>1330</v>
      </c>
    </row>
    <row r="365" spans="1:17">
      <c r="A365">
        <v>44130530</v>
      </c>
      <c r="B365">
        <v>2022</v>
      </c>
      <c r="C365" t="s">
        <v>19</v>
      </c>
      <c r="D365" t="s">
        <v>39</v>
      </c>
      <c r="E365" t="s">
        <v>69</v>
      </c>
      <c r="F365" t="s">
        <v>112</v>
      </c>
      <c r="G365" t="s">
        <v>247</v>
      </c>
      <c r="H365" t="s">
        <v>309</v>
      </c>
      <c r="I365" t="s">
        <v>381</v>
      </c>
      <c r="K365" t="s">
        <v>466</v>
      </c>
      <c r="L365" t="s">
        <v>469</v>
      </c>
      <c r="M365" t="s">
        <v>471</v>
      </c>
      <c r="N365" t="s">
        <v>537</v>
      </c>
      <c r="O365" t="s">
        <v>838</v>
      </c>
      <c r="P365" s="1">
        <f>HYPERLINK("https://ec.europa.eu/info/funding-tenders/opportunities/portal/screen/opportunities/topic-details/horizon-cl4-2022-resilience-01-13", "HORIZON-CL4-2022-RESILIENCE-01-13")</f>
        <v>0</v>
      </c>
      <c r="Q365" t="s">
        <v>1331</v>
      </c>
    </row>
    <row r="366" spans="1:17">
      <c r="A366">
        <v>44130175</v>
      </c>
      <c r="B366">
        <v>2022</v>
      </c>
      <c r="C366" t="s">
        <v>19</v>
      </c>
      <c r="D366" t="s">
        <v>39</v>
      </c>
      <c r="E366" t="s">
        <v>69</v>
      </c>
      <c r="F366" t="s">
        <v>112</v>
      </c>
      <c r="G366" t="s">
        <v>247</v>
      </c>
      <c r="H366" t="s">
        <v>309</v>
      </c>
      <c r="I366" t="s">
        <v>381</v>
      </c>
      <c r="K366" t="s">
        <v>466</v>
      </c>
      <c r="L366" t="s">
        <v>469</v>
      </c>
      <c r="M366" t="s">
        <v>473</v>
      </c>
      <c r="N366" t="s">
        <v>537</v>
      </c>
      <c r="O366" t="s">
        <v>838</v>
      </c>
      <c r="P366" s="1">
        <f>HYPERLINK("https://ec.europa.eu/info/funding-tenders/opportunities/portal/screen/opportunities/topic-details/horizon-cl4-2022-resilience-01-14", "HORIZON-CL4-2022-RESILIENCE-01-14")</f>
        <v>0</v>
      </c>
      <c r="Q366" t="s">
        <v>1332</v>
      </c>
    </row>
    <row r="367" spans="1:17">
      <c r="A367">
        <v>44130201</v>
      </c>
      <c r="B367">
        <v>2022</v>
      </c>
      <c r="C367" t="s">
        <v>19</v>
      </c>
      <c r="D367" t="s">
        <v>39</v>
      </c>
      <c r="E367" t="s">
        <v>69</v>
      </c>
      <c r="F367" t="s">
        <v>112</v>
      </c>
      <c r="G367" t="s">
        <v>247</v>
      </c>
      <c r="H367" t="s">
        <v>309</v>
      </c>
      <c r="I367" t="s">
        <v>381</v>
      </c>
      <c r="K367" t="s">
        <v>466</v>
      </c>
      <c r="L367" t="s">
        <v>469</v>
      </c>
      <c r="M367" t="s">
        <v>473</v>
      </c>
      <c r="N367" t="s">
        <v>537</v>
      </c>
      <c r="O367" t="s">
        <v>838</v>
      </c>
      <c r="P367" s="1">
        <f>HYPERLINK("https://ec.europa.eu/info/funding-tenders/opportunities/portal/screen/opportunities/topic-details/horizon-cl4-2022-resilience-01-16", "HORIZON-CL4-2022-RESILIENCE-01-16")</f>
        <v>0</v>
      </c>
      <c r="Q367" t="s">
        <v>1333</v>
      </c>
    </row>
    <row r="368" spans="1:17">
      <c r="A368">
        <v>44127753</v>
      </c>
      <c r="B368">
        <v>2022</v>
      </c>
      <c r="C368" t="s">
        <v>19</v>
      </c>
      <c r="D368" t="s">
        <v>39</v>
      </c>
      <c r="E368" t="s">
        <v>69</v>
      </c>
      <c r="F368" t="s">
        <v>112</v>
      </c>
      <c r="G368" t="s">
        <v>247</v>
      </c>
      <c r="H368" t="s">
        <v>309</v>
      </c>
      <c r="I368" t="s">
        <v>381</v>
      </c>
      <c r="K368" t="s">
        <v>466</v>
      </c>
      <c r="L368" t="s">
        <v>469</v>
      </c>
      <c r="M368" t="s">
        <v>471</v>
      </c>
      <c r="N368" t="s">
        <v>537</v>
      </c>
      <c r="O368" t="s">
        <v>838</v>
      </c>
      <c r="P368" s="1">
        <f>HYPERLINK("https://ec.europa.eu/info/funding-tenders/opportunities/portal/screen/opportunities/topic-details/horizon-cl4-2022-resilience-01-19", "HORIZON-CL4-2022-RESILIENCE-01-19")</f>
        <v>0</v>
      </c>
      <c r="Q368" t="s">
        <v>1334</v>
      </c>
    </row>
    <row r="369" spans="1:17">
      <c r="A369">
        <v>44130233</v>
      </c>
      <c r="B369">
        <v>2022</v>
      </c>
      <c r="C369" t="s">
        <v>19</v>
      </c>
      <c r="D369" t="s">
        <v>39</v>
      </c>
      <c r="E369" t="s">
        <v>69</v>
      </c>
      <c r="F369" t="s">
        <v>112</v>
      </c>
      <c r="G369" t="s">
        <v>247</v>
      </c>
      <c r="H369" t="s">
        <v>309</v>
      </c>
      <c r="I369" t="s">
        <v>381</v>
      </c>
      <c r="K369" t="s">
        <v>466</v>
      </c>
      <c r="L369" t="s">
        <v>469</v>
      </c>
      <c r="M369" t="s">
        <v>473</v>
      </c>
      <c r="N369" t="s">
        <v>537</v>
      </c>
      <c r="O369" t="s">
        <v>838</v>
      </c>
      <c r="P369" s="1">
        <f>HYPERLINK("https://ec.europa.eu/info/funding-tenders/opportunities/portal/screen/opportunities/topic-details/horizon-cl4-2022-resilience-01-20", "HORIZON-CL4-2022-RESILIENCE-01-20")</f>
        <v>0</v>
      </c>
      <c r="Q369" t="s">
        <v>1335</v>
      </c>
    </row>
    <row r="370" spans="1:17">
      <c r="A370">
        <v>44130256</v>
      </c>
      <c r="B370">
        <v>2022</v>
      </c>
      <c r="C370" t="s">
        <v>19</v>
      </c>
      <c r="D370" t="s">
        <v>39</v>
      </c>
      <c r="E370" t="s">
        <v>64</v>
      </c>
      <c r="F370" t="s">
        <v>112</v>
      </c>
      <c r="G370" t="s">
        <v>247</v>
      </c>
      <c r="H370" t="s">
        <v>309</v>
      </c>
      <c r="I370" t="s">
        <v>381</v>
      </c>
      <c r="K370" t="s">
        <v>466</v>
      </c>
      <c r="L370" t="s">
        <v>469</v>
      </c>
      <c r="M370" t="s">
        <v>472</v>
      </c>
      <c r="N370" t="s">
        <v>537</v>
      </c>
      <c r="O370" t="s">
        <v>838</v>
      </c>
      <c r="P370" s="1">
        <f>HYPERLINK("https://ec.europa.eu/info/funding-tenders/opportunities/portal/screen/opportunities/topic-details/horizon-cl4-2022-resilience-01-21", "HORIZON-CL4-2022-RESILIENCE-01-21")</f>
        <v>0</v>
      </c>
      <c r="Q370" t="s">
        <v>1336</v>
      </c>
    </row>
    <row r="371" spans="1:17">
      <c r="A371">
        <v>44129858</v>
      </c>
      <c r="B371">
        <v>2022</v>
      </c>
      <c r="C371" t="s">
        <v>19</v>
      </c>
      <c r="D371" t="s">
        <v>39</v>
      </c>
      <c r="E371" t="s">
        <v>69</v>
      </c>
      <c r="F371" t="s">
        <v>112</v>
      </c>
      <c r="G371" t="s">
        <v>247</v>
      </c>
      <c r="H371" t="s">
        <v>309</v>
      </c>
      <c r="I371" t="s">
        <v>381</v>
      </c>
      <c r="K371" t="s">
        <v>466</v>
      </c>
      <c r="L371" t="s">
        <v>469</v>
      </c>
      <c r="M371" t="s">
        <v>471</v>
      </c>
      <c r="N371" t="s">
        <v>537</v>
      </c>
      <c r="O371" t="s">
        <v>838</v>
      </c>
      <c r="P371" s="1">
        <f>HYPERLINK("https://ec.europa.eu/info/funding-tenders/opportunities/portal/screen/opportunities/topic-details/horizon-cl4-2022-resilience-01-23", "HORIZON-CL4-2022-RESILIENCE-01-23")</f>
        <v>0</v>
      </c>
      <c r="Q371" t="s">
        <v>1337</v>
      </c>
    </row>
    <row r="372" spans="1:17">
      <c r="A372">
        <v>44129907</v>
      </c>
      <c r="B372">
        <v>2022</v>
      </c>
      <c r="C372" t="s">
        <v>19</v>
      </c>
      <c r="D372" t="s">
        <v>39</v>
      </c>
      <c r="E372" t="s">
        <v>69</v>
      </c>
      <c r="F372" t="s">
        <v>112</v>
      </c>
      <c r="G372" t="s">
        <v>247</v>
      </c>
      <c r="H372" t="s">
        <v>309</v>
      </c>
      <c r="I372" t="s">
        <v>381</v>
      </c>
      <c r="K372" t="s">
        <v>466</v>
      </c>
      <c r="L372" t="s">
        <v>469</v>
      </c>
      <c r="M372" t="s">
        <v>471</v>
      </c>
      <c r="N372" t="s">
        <v>537</v>
      </c>
      <c r="O372" t="s">
        <v>838</v>
      </c>
      <c r="P372" s="1">
        <f>HYPERLINK("https://ec.europa.eu/info/funding-tenders/opportunities/portal/screen/opportunities/topic-details/horizon-cl4-2022-resilience-01-24", "HORIZON-CL4-2022-RESILIENCE-01-24")</f>
        <v>0</v>
      </c>
      <c r="Q372" t="s">
        <v>1338</v>
      </c>
    </row>
    <row r="373" spans="1:17">
      <c r="A373">
        <v>44129551</v>
      </c>
      <c r="B373">
        <v>2022</v>
      </c>
      <c r="C373" t="s">
        <v>19</v>
      </c>
      <c r="D373" t="s">
        <v>39</v>
      </c>
      <c r="E373" t="s">
        <v>69</v>
      </c>
      <c r="F373" t="s">
        <v>112</v>
      </c>
      <c r="G373" t="s">
        <v>247</v>
      </c>
      <c r="H373" t="s">
        <v>309</v>
      </c>
      <c r="I373" t="s">
        <v>381</v>
      </c>
      <c r="K373" t="s">
        <v>466</v>
      </c>
      <c r="L373" t="s">
        <v>469</v>
      </c>
      <c r="M373" t="s">
        <v>473</v>
      </c>
      <c r="N373" t="s">
        <v>537</v>
      </c>
      <c r="O373" t="s">
        <v>838</v>
      </c>
      <c r="P373" s="1">
        <f>HYPERLINK("https://ec.europa.eu/info/funding-tenders/opportunities/portal/screen/opportunities/topic-details/horizon-cl4-2022-resilience-01-25", "HORIZON-CL4-2022-RESILIENCE-01-25")</f>
        <v>0</v>
      </c>
      <c r="Q373" t="s">
        <v>1339</v>
      </c>
    </row>
    <row r="374" spans="1:17">
      <c r="A374">
        <v>44132547</v>
      </c>
      <c r="B374">
        <v>2022</v>
      </c>
      <c r="C374" t="s">
        <v>19</v>
      </c>
      <c r="D374" t="s">
        <v>39</v>
      </c>
      <c r="E374" t="s">
        <v>64</v>
      </c>
      <c r="F374" t="s">
        <v>112</v>
      </c>
      <c r="G374" t="s">
        <v>247</v>
      </c>
      <c r="H374" t="s">
        <v>309</v>
      </c>
      <c r="I374" t="s">
        <v>381</v>
      </c>
      <c r="K374" t="s">
        <v>466</v>
      </c>
      <c r="L374" t="s">
        <v>469</v>
      </c>
      <c r="M374" t="s">
        <v>472</v>
      </c>
      <c r="N374" t="s">
        <v>537</v>
      </c>
      <c r="O374" t="s">
        <v>838</v>
      </c>
      <c r="P374" s="1">
        <f>HYPERLINK("https://ec.europa.eu/info/funding-tenders/opportunities/portal/screen/opportunities/topic-details/horizon-cl4-2022-resilience-01-26", "HORIZON-CL4-2022-RESILIENCE-01-26")</f>
        <v>0</v>
      </c>
      <c r="Q374" t="s">
        <v>1263</v>
      </c>
    </row>
    <row r="375" spans="1:17">
      <c r="A375">
        <v>44129980</v>
      </c>
      <c r="B375">
        <v>2022</v>
      </c>
      <c r="C375" t="s">
        <v>19</v>
      </c>
      <c r="D375" t="s">
        <v>39</v>
      </c>
      <c r="E375" t="s">
        <v>64</v>
      </c>
      <c r="F375" t="s">
        <v>117</v>
      </c>
      <c r="G375" t="s">
        <v>246</v>
      </c>
      <c r="H375" t="s">
        <v>309</v>
      </c>
      <c r="I375" t="s">
        <v>381</v>
      </c>
      <c r="K375" t="s">
        <v>466</v>
      </c>
      <c r="L375" t="s">
        <v>469</v>
      </c>
      <c r="M375" t="s">
        <v>474</v>
      </c>
      <c r="N375" t="s">
        <v>538</v>
      </c>
      <c r="O375" t="s">
        <v>839</v>
      </c>
      <c r="P375" s="1">
        <f>HYPERLINK("https://ec.europa.eu/info/funding-tenders/opportunities/portal/screen/opportunities/topic-details/horizon-cl4-2022-resilience-02-01-pcp", "HORIZON-CL4-2022-RESILIENCE-02-01-PCP")</f>
        <v>0</v>
      </c>
      <c r="Q375" t="s">
        <v>1340</v>
      </c>
    </row>
    <row r="376" spans="1:17">
      <c r="A376">
        <v>44131790</v>
      </c>
      <c r="B376">
        <v>2022</v>
      </c>
      <c r="C376" t="s">
        <v>19</v>
      </c>
      <c r="D376" t="s">
        <v>39</v>
      </c>
      <c r="E376" t="s">
        <v>70</v>
      </c>
      <c r="F376" t="s">
        <v>114</v>
      </c>
      <c r="G376" t="s">
        <v>247</v>
      </c>
      <c r="H376" t="s">
        <v>304</v>
      </c>
      <c r="I376" t="s">
        <v>380</v>
      </c>
      <c r="K376" t="s">
        <v>466</v>
      </c>
      <c r="L376" t="s">
        <v>469</v>
      </c>
      <c r="M376" t="s">
        <v>471</v>
      </c>
      <c r="N376" t="s">
        <v>539</v>
      </c>
      <c r="O376" t="s">
        <v>840</v>
      </c>
      <c r="P376" s="1">
        <f>HYPERLINK("https://ec.europa.eu/info/funding-tenders/opportunities/portal/screen/opportunities/topic-details/horizon-cl4-2022-space-01-11", "HORIZON-CL4-2022-SPACE-01-11")</f>
        <v>0</v>
      </c>
      <c r="Q376" t="s">
        <v>1341</v>
      </c>
    </row>
    <row r="377" spans="1:17">
      <c r="A377">
        <v>44131769</v>
      </c>
      <c r="B377">
        <v>2022</v>
      </c>
      <c r="C377" t="s">
        <v>19</v>
      </c>
      <c r="D377" t="s">
        <v>39</v>
      </c>
      <c r="E377" t="s">
        <v>70</v>
      </c>
      <c r="F377" t="s">
        <v>114</v>
      </c>
      <c r="G377" t="s">
        <v>247</v>
      </c>
      <c r="H377" t="s">
        <v>304</v>
      </c>
      <c r="I377" t="s">
        <v>380</v>
      </c>
      <c r="K377" t="s">
        <v>466</v>
      </c>
      <c r="L377" t="s">
        <v>469</v>
      </c>
      <c r="M377" t="s">
        <v>473</v>
      </c>
      <c r="N377" t="s">
        <v>539</v>
      </c>
      <c r="O377" t="s">
        <v>840</v>
      </c>
      <c r="P377" s="1">
        <f>HYPERLINK("https://ec.europa.eu/info/funding-tenders/opportunities/portal/screen/opportunities/topic-details/horizon-cl4-2022-space-01-12", "HORIZON-CL4-2022-SPACE-01-12")</f>
        <v>0</v>
      </c>
      <c r="Q377" t="s">
        <v>1342</v>
      </c>
    </row>
    <row r="378" spans="1:17">
      <c r="A378">
        <v>44132475</v>
      </c>
      <c r="B378">
        <v>2022</v>
      </c>
      <c r="C378" t="s">
        <v>19</v>
      </c>
      <c r="D378" t="s">
        <v>39</v>
      </c>
      <c r="E378" t="s">
        <v>70</v>
      </c>
      <c r="F378" t="s">
        <v>114</v>
      </c>
      <c r="G378" t="s">
        <v>247</v>
      </c>
      <c r="H378" t="s">
        <v>304</v>
      </c>
      <c r="I378" t="s">
        <v>380</v>
      </c>
      <c r="K378" t="s">
        <v>466</v>
      </c>
      <c r="L378" t="s">
        <v>469</v>
      </c>
      <c r="M378" t="s">
        <v>473</v>
      </c>
      <c r="N378" t="s">
        <v>539</v>
      </c>
      <c r="O378" t="s">
        <v>840</v>
      </c>
      <c r="P378" s="1">
        <f>HYPERLINK("https://ec.europa.eu/info/funding-tenders/opportunities/portal/screen/opportunities/topic-details/horizon-cl4-2022-space-01-13", "HORIZON-CL4-2022-SPACE-01-13")</f>
        <v>0</v>
      </c>
      <c r="Q378" t="s">
        <v>1343</v>
      </c>
    </row>
    <row r="379" spans="1:17">
      <c r="A379">
        <v>44131835</v>
      </c>
      <c r="B379">
        <v>2022</v>
      </c>
      <c r="C379" t="s">
        <v>19</v>
      </c>
      <c r="D379" t="s">
        <v>39</v>
      </c>
      <c r="E379" t="s">
        <v>70</v>
      </c>
      <c r="F379" t="s">
        <v>114</v>
      </c>
      <c r="G379" t="s">
        <v>247</v>
      </c>
      <c r="H379" t="s">
        <v>304</v>
      </c>
      <c r="I379" t="s">
        <v>380</v>
      </c>
      <c r="K379" t="s">
        <v>466</v>
      </c>
      <c r="L379" t="s">
        <v>469</v>
      </c>
      <c r="M379" t="s">
        <v>471</v>
      </c>
      <c r="N379" t="s">
        <v>539</v>
      </c>
      <c r="O379" t="s">
        <v>840</v>
      </c>
      <c r="P379" s="1">
        <f>HYPERLINK("https://ec.europa.eu/info/funding-tenders/opportunities/portal/screen/opportunities/topic-details/horizon-cl4-2022-space-01-21", "HORIZON-CL4-2022-SPACE-01-21")</f>
        <v>0</v>
      </c>
      <c r="Q379" t="s">
        <v>1344</v>
      </c>
    </row>
    <row r="380" spans="1:17">
      <c r="A380">
        <v>44131898</v>
      </c>
      <c r="B380">
        <v>2022</v>
      </c>
      <c r="C380" t="s">
        <v>19</v>
      </c>
      <c r="D380" t="s">
        <v>39</v>
      </c>
      <c r="E380" t="s">
        <v>72</v>
      </c>
      <c r="F380" t="s">
        <v>114</v>
      </c>
      <c r="G380" t="s">
        <v>247</v>
      </c>
      <c r="H380" t="s">
        <v>304</v>
      </c>
      <c r="I380" t="s">
        <v>380</v>
      </c>
      <c r="K380" t="s">
        <v>466</v>
      </c>
      <c r="L380" t="s">
        <v>469</v>
      </c>
      <c r="M380" t="s">
        <v>471</v>
      </c>
      <c r="N380" t="s">
        <v>539</v>
      </c>
      <c r="O380" t="s">
        <v>840</v>
      </c>
      <c r="P380" s="1">
        <f>HYPERLINK("https://ec.europa.eu/info/funding-tenders/opportunities/portal/screen/opportunities/topic-details/horizon-cl4-2022-space-01-41", "HORIZON-CL4-2022-SPACE-01-41")</f>
        <v>0</v>
      </c>
      <c r="Q380" t="s">
        <v>1345</v>
      </c>
    </row>
    <row r="381" spans="1:17">
      <c r="A381">
        <v>44131913</v>
      </c>
      <c r="B381">
        <v>2022</v>
      </c>
      <c r="C381" t="s">
        <v>19</v>
      </c>
      <c r="D381" t="s">
        <v>39</v>
      </c>
      <c r="E381" t="s">
        <v>73</v>
      </c>
      <c r="F381" t="s">
        <v>114</v>
      </c>
      <c r="G381" t="s">
        <v>247</v>
      </c>
      <c r="H381" t="s">
        <v>304</v>
      </c>
      <c r="I381" t="s">
        <v>380</v>
      </c>
      <c r="K381" t="s">
        <v>466</v>
      </c>
      <c r="L381" t="s">
        <v>469</v>
      </c>
      <c r="M381" t="s">
        <v>471</v>
      </c>
      <c r="N381" t="s">
        <v>539</v>
      </c>
      <c r="O381" t="s">
        <v>840</v>
      </c>
      <c r="P381" s="1">
        <f>HYPERLINK("https://ec.europa.eu/info/funding-tenders/opportunities/portal/screen/opportunities/topic-details/horizon-cl4-2022-space-01-42", "HORIZON-CL4-2022-SPACE-01-42")</f>
        <v>0</v>
      </c>
      <c r="Q381" t="s">
        <v>1346</v>
      </c>
    </row>
    <row r="382" spans="1:17">
      <c r="A382">
        <v>44131926</v>
      </c>
      <c r="B382">
        <v>2022</v>
      </c>
      <c r="C382" t="s">
        <v>19</v>
      </c>
      <c r="D382" t="s">
        <v>39</v>
      </c>
      <c r="E382" t="s">
        <v>74</v>
      </c>
      <c r="F382" t="s">
        <v>114</v>
      </c>
      <c r="G382" t="s">
        <v>247</v>
      </c>
      <c r="H382" t="s">
        <v>304</v>
      </c>
      <c r="I382" t="s">
        <v>380</v>
      </c>
      <c r="K382" t="s">
        <v>466</v>
      </c>
      <c r="L382" t="s">
        <v>469</v>
      </c>
      <c r="M382" t="s">
        <v>471</v>
      </c>
      <c r="N382" t="s">
        <v>539</v>
      </c>
      <c r="O382" t="s">
        <v>840</v>
      </c>
      <c r="P382" s="1">
        <f>HYPERLINK("https://ec.europa.eu/info/funding-tenders/opportunities/portal/screen/opportunities/topic-details/horizon-cl4-2022-space-01-43", "HORIZON-CL4-2022-SPACE-01-43")</f>
        <v>0</v>
      </c>
      <c r="Q382" t="s">
        <v>1347</v>
      </c>
    </row>
    <row r="383" spans="1:17">
      <c r="A383">
        <v>44131649</v>
      </c>
      <c r="B383">
        <v>2022</v>
      </c>
      <c r="C383" t="s">
        <v>19</v>
      </c>
      <c r="D383" t="s">
        <v>39</v>
      </c>
      <c r="E383" t="s">
        <v>70</v>
      </c>
      <c r="F383" t="s">
        <v>114</v>
      </c>
      <c r="G383" t="s">
        <v>247</v>
      </c>
      <c r="H383" t="s">
        <v>304</v>
      </c>
      <c r="I383" t="s">
        <v>380</v>
      </c>
      <c r="K383" t="s">
        <v>466</v>
      </c>
      <c r="L383" t="s">
        <v>469</v>
      </c>
      <c r="M383" t="s">
        <v>471</v>
      </c>
      <c r="N383" t="s">
        <v>539</v>
      </c>
      <c r="O383" t="s">
        <v>840</v>
      </c>
      <c r="P383" s="1">
        <f>HYPERLINK("https://ec.europa.eu/info/funding-tenders/opportunities/portal/screen/opportunities/topic-details/horizon-cl4-2022-space-01-62", "HORIZON-CL4-2022-SPACE-01-62")</f>
        <v>0</v>
      </c>
      <c r="Q383" t="s">
        <v>1348</v>
      </c>
    </row>
    <row r="384" spans="1:17">
      <c r="A384">
        <v>44129290</v>
      </c>
      <c r="B384">
        <v>2022</v>
      </c>
      <c r="C384" t="s">
        <v>19</v>
      </c>
      <c r="D384" t="s">
        <v>39</v>
      </c>
      <c r="E384" t="s">
        <v>70</v>
      </c>
      <c r="F384" t="s">
        <v>114</v>
      </c>
      <c r="G384" t="s">
        <v>247</v>
      </c>
      <c r="H384" t="s">
        <v>304</v>
      </c>
      <c r="I384" t="s">
        <v>380</v>
      </c>
      <c r="K384" t="s">
        <v>466</v>
      </c>
      <c r="L384" t="s">
        <v>469</v>
      </c>
      <c r="M384" t="s">
        <v>472</v>
      </c>
      <c r="N384" t="s">
        <v>539</v>
      </c>
      <c r="O384" t="s">
        <v>840</v>
      </c>
      <c r="P384" s="1">
        <f>HYPERLINK("https://ec.europa.eu/info/funding-tenders/opportunities/portal/screen/opportunities/topic-details/horizon-cl4-2022-space-01-72", "HORIZON-CL4-2022-SPACE-01-72")</f>
        <v>0</v>
      </c>
      <c r="Q384" t="s">
        <v>1349</v>
      </c>
    </row>
    <row r="385" spans="1:17">
      <c r="A385">
        <v>44131960</v>
      </c>
      <c r="B385">
        <v>2022</v>
      </c>
      <c r="C385" t="s">
        <v>19</v>
      </c>
      <c r="D385" t="s">
        <v>39</v>
      </c>
      <c r="E385" t="s">
        <v>70</v>
      </c>
      <c r="F385" t="s">
        <v>114</v>
      </c>
      <c r="G385" t="s">
        <v>247</v>
      </c>
      <c r="H385" t="s">
        <v>304</v>
      </c>
      <c r="I385" t="s">
        <v>380</v>
      </c>
      <c r="K385" t="s">
        <v>466</v>
      </c>
      <c r="L385" t="s">
        <v>469</v>
      </c>
      <c r="M385" t="s">
        <v>471</v>
      </c>
      <c r="N385" t="s">
        <v>539</v>
      </c>
      <c r="O385" t="s">
        <v>840</v>
      </c>
      <c r="P385" s="1">
        <f>HYPERLINK("https://ec.europa.eu/info/funding-tenders/opportunities/portal/screen/opportunities/topic-details/horizon-cl4-2022-space-01-81", "HORIZON-CL4-2022-SPACE-01-81")</f>
        <v>0</v>
      </c>
      <c r="Q385" t="s">
        <v>1276</v>
      </c>
    </row>
    <row r="386" spans="1:17">
      <c r="A386">
        <v>44131950</v>
      </c>
      <c r="B386">
        <v>2022</v>
      </c>
      <c r="C386" t="s">
        <v>19</v>
      </c>
      <c r="D386" t="s">
        <v>39</v>
      </c>
      <c r="E386" t="s">
        <v>70</v>
      </c>
      <c r="F386" t="s">
        <v>114</v>
      </c>
      <c r="G386" t="s">
        <v>247</v>
      </c>
      <c r="H386" t="s">
        <v>304</v>
      </c>
      <c r="I386" t="s">
        <v>380</v>
      </c>
      <c r="K386" t="s">
        <v>466</v>
      </c>
      <c r="L386" t="s">
        <v>469</v>
      </c>
      <c r="M386" t="s">
        <v>471</v>
      </c>
      <c r="N386" t="s">
        <v>539</v>
      </c>
      <c r="O386" t="s">
        <v>840</v>
      </c>
      <c r="P386" s="1">
        <f>HYPERLINK("https://ec.europa.eu/info/funding-tenders/opportunities/portal/screen/opportunities/topic-details/horizon-cl4-2022-space-01-82", "HORIZON-CL4-2022-SPACE-01-82")</f>
        <v>0</v>
      </c>
      <c r="Q386" t="s">
        <v>1350</v>
      </c>
    </row>
    <row r="387" spans="1:17">
      <c r="A387">
        <v>44128376</v>
      </c>
      <c r="B387">
        <v>2022</v>
      </c>
      <c r="C387" t="s">
        <v>19</v>
      </c>
      <c r="D387" t="s">
        <v>39</v>
      </c>
      <c r="E387" t="s">
        <v>67</v>
      </c>
      <c r="F387" t="s">
        <v>115</v>
      </c>
      <c r="G387" t="s">
        <v>247</v>
      </c>
      <c r="H387" t="s">
        <v>309</v>
      </c>
      <c r="I387" t="s">
        <v>381</v>
      </c>
      <c r="K387" t="s">
        <v>466</v>
      </c>
      <c r="L387" t="s">
        <v>469</v>
      </c>
      <c r="M387" t="s">
        <v>473</v>
      </c>
      <c r="N387" t="s">
        <v>540</v>
      </c>
      <c r="O387" t="s">
        <v>841</v>
      </c>
      <c r="P387" s="1">
        <f>HYPERLINK("https://ec.europa.eu/info/funding-tenders/opportunities/portal/screen/opportunities/topic-details/horizon-cl4-2022-twin-transition-01-01", "HORIZON-CL4-2022-TWIN-TRANSITION-01-01")</f>
        <v>0</v>
      </c>
      <c r="Q387" t="s">
        <v>1351</v>
      </c>
    </row>
    <row r="388" spans="1:17">
      <c r="A388">
        <v>44128406</v>
      </c>
      <c r="B388">
        <v>2022</v>
      </c>
      <c r="C388" t="s">
        <v>19</v>
      </c>
      <c r="D388" t="s">
        <v>39</v>
      </c>
      <c r="E388" t="s">
        <v>67</v>
      </c>
      <c r="F388" t="s">
        <v>115</v>
      </c>
      <c r="G388" t="s">
        <v>247</v>
      </c>
      <c r="H388" t="s">
        <v>309</v>
      </c>
      <c r="I388" t="s">
        <v>381</v>
      </c>
      <c r="K388" t="s">
        <v>466</v>
      </c>
      <c r="L388" t="s">
        <v>469</v>
      </c>
      <c r="M388" t="s">
        <v>471</v>
      </c>
      <c r="N388" t="s">
        <v>540</v>
      </c>
      <c r="O388" t="s">
        <v>841</v>
      </c>
      <c r="P388" s="1">
        <f>HYPERLINK("https://ec.europa.eu/info/funding-tenders/opportunities/portal/screen/opportunities/topic-details/horizon-cl4-2022-twin-transition-01-02", "HORIZON-CL4-2022-TWIN-TRANSITION-01-02")</f>
        <v>0</v>
      </c>
      <c r="Q388" t="s">
        <v>1352</v>
      </c>
    </row>
    <row r="389" spans="1:17">
      <c r="A389">
        <v>44128436</v>
      </c>
      <c r="B389">
        <v>2022</v>
      </c>
      <c r="C389" t="s">
        <v>19</v>
      </c>
      <c r="D389" t="s">
        <v>39</v>
      </c>
      <c r="E389" t="s">
        <v>67</v>
      </c>
      <c r="F389" t="s">
        <v>115</v>
      </c>
      <c r="G389" t="s">
        <v>247</v>
      </c>
      <c r="H389" t="s">
        <v>309</v>
      </c>
      <c r="I389" t="s">
        <v>381</v>
      </c>
      <c r="K389" t="s">
        <v>466</v>
      </c>
      <c r="L389" t="s">
        <v>469</v>
      </c>
      <c r="M389" t="s">
        <v>471</v>
      </c>
      <c r="N389" t="s">
        <v>540</v>
      </c>
      <c r="O389" t="s">
        <v>841</v>
      </c>
      <c r="P389" s="1">
        <f>HYPERLINK("https://ec.europa.eu/info/funding-tenders/opportunities/portal/screen/opportunities/topic-details/horizon-cl4-2022-twin-transition-01-03", "HORIZON-CL4-2022-TWIN-TRANSITION-01-03")</f>
        <v>0</v>
      </c>
      <c r="Q389" t="s">
        <v>1353</v>
      </c>
    </row>
    <row r="390" spans="1:17">
      <c r="A390">
        <v>44128466</v>
      </c>
      <c r="B390">
        <v>2022</v>
      </c>
      <c r="C390" t="s">
        <v>19</v>
      </c>
      <c r="D390" t="s">
        <v>39</v>
      </c>
      <c r="E390" t="s">
        <v>67</v>
      </c>
      <c r="F390" t="s">
        <v>115</v>
      </c>
      <c r="G390" t="s">
        <v>247</v>
      </c>
      <c r="H390" t="s">
        <v>309</v>
      </c>
      <c r="I390" t="s">
        <v>381</v>
      </c>
      <c r="K390" t="s">
        <v>466</v>
      </c>
      <c r="L390" t="s">
        <v>469</v>
      </c>
      <c r="M390" t="s">
        <v>471</v>
      </c>
      <c r="N390" t="s">
        <v>540</v>
      </c>
      <c r="O390" t="s">
        <v>841</v>
      </c>
      <c r="P390" s="1">
        <f>HYPERLINK("https://ec.europa.eu/info/funding-tenders/opportunities/portal/screen/opportunities/topic-details/horizon-cl4-2022-twin-transition-01-04", "HORIZON-CL4-2022-TWIN-TRANSITION-01-04")</f>
        <v>0</v>
      </c>
      <c r="Q390" t="s">
        <v>1354</v>
      </c>
    </row>
    <row r="391" spans="1:17">
      <c r="A391">
        <v>44128498</v>
      </c>
      <c r="B391">
        <v>2022</v>
      </c>
      <c r="C391" t="s">
        <v>19</v>
      </c>
      <c r="D391" t="s">
        <v>39</v>
      </c>
      <c r="E391" t="s">
        <v>67</v>
      </c>
      <c r="F391" t="s">
        <v>115</v>
      </c>
      <c r="G391" t="s">
        <v>247</v>
      </c>
      <c r="H391" t="s">
        <v>309</v>
      </c>
      <c r="I391" t="s">
        <v>381</v>
      </c>
      <c r="K391" t="s">
        <v>466</v>
      </c>
      <c r="L391" t="s">
        <v>469</v>
      </c>
      <c r="M391" t="s">
        <v>473</v>
      </c>
      <c r="N391" t="s">
        <v>540</v>
      </c>
      <c r="O391" t="s">
        <v>841</v>
      </c>
      <c r="P391" s="1">
        <f>HYPERLINK("https://ec.europa.eu/info/funding-tenders/opportunities/portal/screen/opportunities/topic-details/horizon-cl4-2022-twin-transition-01-06", "HORIZON-CL4-2022-TWIN-TRANSITION-01-06")</f>
        <v>0</v>
      </c>
      <c r="Q391" t="s">
        <v>1355</v>
      </c>
    </row>
    <row r="392" spans="1:17">
      <c r="A392">
        <v>44128527</v>
      </c>
      <c r="B392">
        <v>2022</v>
      </c>
      <c r="C392" t="s">
        <v>19</v>
      </c>
      <c r="D392" t="s">
        <v>39</v>
      </c>
      <c r="E392" t="s">
        <v>67</v>
      </c>
      <c r="F392" t="s">
        <v>115</v>
      </c>
      <c r="G392" t="s">
        <v>247</v>
      </c>
      <c r="H392" t="s">
        <v>309</v>
      </c>
      <c r="I392" t="s">
        <v>381</v>
      </c>
      <c r="K392" t="s">
        <v>466</v>
      </c>
      <c r="L392" t="s">
        <v>469</v>
      </c>
      <c r="M392" t="s">
        <v>471</v>
      </c>
      <c r="N392" t="s">
        <v>540</v>
      </c>
      <c r="O392" t="s">
        <v>841</v>
      </c>
      <c r="P392" s="1">
        <f>HYPERLINK("https://ec.europa.eu/info/funding-tenders/opportunities/portal/screen/opportunities/topic-details/horizon-cl4-2022-twin-transition-01-07", "HORIZON-CL4-2022-TWIN-TRANSITION-01-07")</f>
        <v>0</v>
      </c>
      <c r="Q392" t="s">
        <v>1356</v>
      </c>
    </row>
    <row r="393" spans="1:17">
      <c r="A393">
        <v>44128558</v>
      </c>
      <c r="B393">
        <v>2022</v>
      </c>
      <c r="C393" t="s">
        <v>19</v>
      </c>
      <c r="D393" t="s">
        <v>39</v>
      </c>
      <c r="E393" t="s">
        <v>67</v>
      </c>
      <c r="F393" t="s">
        <v>115</v>
      </c>
      <c r="G393" t="s">
        <v>247</v>
      </c>
      <c r="H393" t="s">
        <v>309</v>
      </c>
      <c r="I393" t="s">
        <v>381</v>
      </c>
      <c r="K393" t="s">
        <v>466</v>
      </c>
      <c r="L393" t="s">
        <v>469</v>
      </c>
      <c r="M393" t="s">
        <v>473</v>
      </c>
      <c r="N393" t="s">
        <v>540</v>
      </c>
      <c r="O393" t="s">
        <v>841</v>
      </c>
      <c r="P393" s="1">
        <f>HYPERLINK("https://ec.europa.eu/info/funding-tenders/opportunities/portal/screen/opportunities/topic-details/horizon-cl4-2022-twin-transition-01-09", "HORIZON-CL4-2022-TWIN-TRANSITION-01-09")</f>
        <v>0</v>
      </c>
      <c r="Q393" t="s">
        <v>1357</v>
      </c>
    </row>
    <row r="394" spans="1:17">
      <c r="A394">
        <v>44128081</v>
      </c>
      <c r="B394">
        <v>2022</v>
      </c>
      <c r="C394" t="s">
        <v>19</v>
      </c>
      <c r="D394" t="s">
        <v>39</v>
      </c>
      <c r="E394" t="s">
        <v>67</v>
      </c>
      <c r="F394" t="s">
        <v>115</v>
      </c>
      <c r="G394" t="s">
        <v>247</v>
      </c>
      <c r="H394" t="s">
        <v>309</v>
      </c>
      <c r="I394" t="s">
        <v>381</v>
      </c>
      <c r="K394" t="s">
        <v>466</v>
      </c>
      <c r="L394" t="s">
        <v>469</v>
      </c>
      <c r="M394" t="s">
        <v>473</v>
      </c>
      <c r="N394" t="s">
        <v>540</v>
      </c>
      <c r="O394" t="s">
        <v>841</v>
      </c>
      <c r="P394" s="1">
        <f>HYPERLINK("https://ec.europa.eu/info/funding-tenders/opportunities/portal/screen/opportunities/topic-details/horizon-cl4-2022-twin-transition-01-10", "HORIZON-CL4-2022-TWIN-TRANSITION-01-10")</f>
        <v>0</v>
      </c>
      <c r="Q394" t="s">
        <v>1358</v>
      </c>
    </row>
    <row r="395" spans="1:17">
      <c r="A395">
        <v>44128594</v>
      </c>
      <c r="B395">
        <v>2022</v>
      </c>
      <c r="C395" t="s">
        <v>19</v>
      </c>
      <c r="D395" t="s">
        <v>39</v>
      </c>
      <c r="E395" t="s">
        <v>67</v>
      </c>
      <c r="F395" t="s">
        <v>115</v>
      </c>
      <c r="G395" t="s">
        <v>247</v>
      </c>
      <c r="H395" t="s">
        <v>309</v>
      </c>
      <c r="I395" t="s">
        <v>381</v>
      </c>
      <c r="K395" t="s">
        <v>466</v>
      </c>
      <c r="L395" t="s">
        <v>469</v>
      </c>
      <c r="M395" t="s">
        <v>473</v>
      </c>
      <c r="N395" t="s">
        <v>540</v>
      </c>
      <c r="O395" t="s">
        <v>841</v>
      </c>
      <c r="P395" s="1">
        <f>HYPERLINK("https://ec.europa.eu/info/funding-tenders/opportunities/portal/screen/opportunities/topic-details/horizon-cl4-2022-twin-transition-01-11", "HORIZON-CL4-2022-TWIN-TRANSITION-01-11")</f>
        <v>0</v>
      </c>
      <c r="Q395" t="s">
        <v>1359</v>
      </c>
    </row>
    <row r="396" spans="1:17">
      <c r="A396">
        <v>44128619</v>
      </c>
      <c r="B396">
        <v>2022</v>
      </c>
      <c r="C396" t="s">
        <v>19</v>
      </c>
      <c r="D396" t="s">
        <v>39</v>
      </c>
      <c r="E396" t="s">
        <v>67</v>
      </c>
      <c r="F396" t="s">
        <v>115</v>
      </c>
      <c r="G396" t="s">
        <v>247</v>
      </c>
      <c r="H396" t="s">
        <v>309</v>
      </c>
      <c r="I396" t="s">
        <v>381</v>
      </c>
      <c r="K396" t="s">
        <v>466</v>
      </c>
      <c r="L396" t="s">
        <v>469</v>
      </c>
      <c r="M396" t="s">
        <v>473</v>
      </c>
      <c r="N396" t="s">
        <v>540</v>
      </c>
      <c r="O396" t="s">
        <v>841</v>
      </c>
      <c r="P396" s="1">
        <f>HYPERLINK("https://ec.europa.eu/info/funding-tenders/opportunities/portal/screen/opportunities/topic-details/horizon-cl4-2022-twin-transition-01-13", "HORIZON-CL4-2022-TWIN-TRANSITION-01-13")</f>
        <v>0</v>
      </c>
      <c r="Q396" t="s">
        <v>1360</v>
      </c>
    </row>
    <row r="397" spans="1:17">
      <c r="A397">
        <v>44128651</v>
      </c>
      <c r="B397">
        <v>2022</v>
      </c>
      <c r="C397" t="s">
        <v>19</v>
      </c>
      <c r="D397" t="s">
        <v>39</v>
      </c>
      <c r="E397" t="s">
        <v>67</v>
      </c>
      <c r="F397" t="s">
        <v>115</v>
      </c>
      <c r="G397" t="s">
        <v>247</v>
      </c>
      <c r="H397" t="s">
        <v>309</v>
      </c>
      <c r="I397" t="s">
        <v>381</v>
      </c>
      <c r="K397" t="s">
        <v>466</v>
      </c>
      <c r="L397" t="s">
        <v>469</v>
      </c>
      <c r="M397" t="s">
        <v>471</v>
      </c>
      <c r="N397" t="s">
        <v>540</v>
      </c>
      <c r="O397" t="s">
        <v>841</v>
      </c>
      <c r="P397" s="1">
        <f>HYPERLINK("https://ec.europa.eu/info/funding-tenders/opportunities/portal/screen/opportunities/topic-details/horizon-cl4-2022-twin-transition-01-15", "HORIZON-CL4-2022-TWIN-TRANSITION-01-15")</f>
        <v>0</v>
      </c>
      <c r="Q397" t="s">
        <v>1361</v>
      </c>
    </row>
    <row r="398" spans="1:17">
      <c r="A398">
        <v>44128679</v>
      </c>
      <c r="B398">
        <v>2022</v>
      </c>
      <c r="C398" t="s">
        <v>19</v>
      </c>
      <c r="D398" t="s">
        <v>39</v>
      </c>
      <c r="E398" t="s">
        <v>67</v>
      </c>
      <c r="F398" t="s">
        <v>115</v>
      </c>
      <c r="G398" t="s">
        <v>247</v>
      </c>
      <c r="H398" t="s">
        <v>309</v>
      </c>
      <c r="I398" t="s">
        <v>381</v>
      </c>
      <c r="K398" t="s">
        <v>466</v>
      </c>
      <c r="L398" t="s">
        <v>469</v>
      </c>
      <c r="M398" t="s">
        <v>473</v>
      </c>
      <c r="N398" t="s">
        <v>540</v>
      </c>
      <c r="O398" t="s">
        <v>841</v>
      </c>
      <c r="P398" s="1">
        <f>HYPERLINK("https://ec.europa.eu/info/funding-tenders/opportunities/portal/screen/opportunities/topic-details/horizon-cl4-2022-twin-transition-01-16", "HORIZON-CL4-2022-TWIN-TRANSITION-01-16")</f>
        <v>0</v>
      </c>
      <c r="Q398" t="s">
        <v>1362</v>
      </c>
    </row>
    <row r="399" spans="1:17">
      <c r="A399">
        <v>44128313</v>
      </c>
      <c r="B399">
        <v>2022</v>
      </c>
      <c r="C399" t="s">
        <v>19</v>
      </c>
      <c r="D399" t="s">
        <v>39</v>
      </c>
      <c r="E399" t="s">
        <v>67</v>
      </c>
      <c r="F399" t="s">
        <v>115</v>
      </c>
      <c r="G399" t="s">
        <v>247</v>
      </c>
      <c r="H399" t="s">
        <v>309</v>
      </c>
      <c r="I399" t="s">
        <v>381</v>
      </c>
      <c r="K399" t="s">
        <v>466</v>
      </c>
      <c r="L399" t="s">
        <v>469</v>
      </c>
      <c r="M399" t="s">
        <v>473</v>
      </c>
      <c r="N399" t="s">
        <v>540</v>
      </c>
      <c r="O399" t="s">
        <v>841</v>
      </c>
      <c r="P399" s="1">
        <f>HYPERLINK("https://ec.europa.eu/info/funding-tenders/opportunities/portal/screen/opportunities/topic-details/horizon-cl4-2022-twin-transition-01-17", "HORIZON-CL4-2022-TWIN-TRANSITION-01-17")</f>
        <v>0</v>
      </c>
      <c r="Q399" t="s">
        <v>1363</v>
      </c>
    </row>
    <row r="400" spans="1:17">
      <c r="A400">
        <v>45637363</v>
      </c>
      <c r="B400">
        <v>2023</v>
      </c>
      <c r="C400" t="s">
        <v>19</v>
      </c>
      <c r="D400" t="s">
        <v>39</v>
      </c>
      <c r="E400" t="s">
        <v>65</v>
      </c>
      <c r="F400" t="s">
        <v>108</v>
      </c>
      <c r="G400" t="s">
        <v>248</v>
      </c>
      <c r="H400" t="s">
        <v>310</v>
      </c>
      <c r="I400" t="s">
        <v>382</v>
      </c>
      <c r="K400" t="s">
        <v>466</v>
      </c>
      <c r="L400" t="s">
        <v>469</v>
      </c>
      <c r="M400" t="s">
        <v>471</v>
      </c>
      <c r="N400" t="s">
        <v>541</v>
      </c>
      <c r="O400" t="s">
        <v>842</v>
      </c>
      <c r="P400" s="1">
        <f>HYPERLINK("https://ec.europa.eu/info/funding-tenders/opportunities/portal/screen/opportunities/topic-details/horizon-cl4-2023-data-01-02", "HORIZON-CL4-2023-DATA-01-02")</f>
        <v>0</v>
      </c>
      <c r="Q400" t="s">
        <v>1364</v>
      </c>
    </row>
    <row r="401" spans="1:17">
      <c r="A401">
        <v>45637392</v>
      </c>
      <c r="B401">
        <v>2023</v>
      </c>
      <c r="C401" t="s">
        <v>19</v>
      </c>
      <c r="D401" t="s">
        <v>39</v>
      </c>
      <c r="E401" t="s">
        <v>65</v>
      </c>
      <c r="F401" t="s">
        <v>108</v>
      </c>
      <c r="G401" t="s">
        <v>248</v>
      </c>
      <c r="H401" t="s">
        <v>310</v>
      </c>
      <c r="I401" t="s">
        <v>382</v>
      </c>
      <c r="K401" t="s">
        <v>466</v>
      </c>
      <c r="L401" t="s">
        <v>469</v>
      </c>
      <c r="M401" t="s">
        <v>471</v>
      </c>
      <c r="N401" t="s">
        <v>541</v>
      </c>
      <c r="O401" t="s">
        <v>842</v>
      </c>
      <c r="P401" s="1">
        <f>HYPERLINK("https://ec.europa.eu/info/funding-tenders/opportunities/portal/screen/opportunities/topic-details/horizon-cl4-2023-data-01-04", "HORIZON-CL4-2023-DATA-01-04")</f>
        <v>0</v>
      </c>
      <c r="Q401" t="s">
        <v>1365</v>
      </c>
    </row>
    <row r="402" spans="1:17">
      <c r="A402">
        <v>45637439</v>
      </c>
      <c r="B402">
        <v>2023</v>
      </c>
      <c r="C402" t="s">
        <v>19</v>
      </c>
      <c r="D402" t="s">
        <v>39</v>
      </c>
      <c r="E402" t="s">
        <v>63</v>
      </c>
      <c r="F402" t="s">
        <v>108</v>
      </c>
      <c r="G402" t="s">
        <v>248</v>
      </c>
      <c r="H402" t="s">
        <v>310</v>
      </c>
      <c r="I402" t="s">
        <v>382</v>
      </c>
      <c r="K402" t="s">
        <v>466</v>
      </c>
      <c r="L402" t="s">
        <v>469</v>
      </c>
      <c r="M402" t="s">
        <v>472</v>
      </c>
      <c r="N402" t="s">
        <v>541</v>
      </c>
      <c r="O402" t="s">
        <v>842</v>
      </c>
      <c r="P402" s="1">
        <f>HYPERLINK("https://ec.europa.eu/info/funding-tenders/opportunities/portal/screen/opportunities/topic-details/horizon-cl4-2023-data-01-06", "HORIZON-CL4-2023-DATA-01-06")</f>
        <v>0</v>
      </c>
      <c r="Q402" t="s">
        <v>1366</v>
      </c>
    </row>
    <row r="403" spans="1:17">
      <c r="A403">
        <v>45637483</v>
      </c>
      <c r="B403">
        <v>2023</v>
      </c>
      <c r="C403" t="s">
        <v>19</v>
      </c>
      <c r="D403" t="s">
        <v>39</v>
      </c>
      <c r="E403" t="s">
        <v>63</v>
      </c>
      <c r="F403" t="s">
        <v>108</v>
      </c>
      <c r="G403" t="s">
        <v>248</v>
      </c>
      <c r="H403" t="s">
        <v>310</v>
      </c>
      <c r="I403" t="s">
        <v>382</v>
      </c>
      <c r="K403" t="s">
        <v>466</v>
      </c>
      <c r="L403" t="s">
        <v>469</v>
      </c>
      <c r="M403" t="s">
        <v>472</v>
      </c>
      <c r="N403" t="s">
        <v>541</v>
      </c>
      <c r="O403" t="s">
        <v>842</v>
      </c>
      <c r="P403" s="1">
        <f>HYPERLINK("https://ec.europa.eu/info/funding-tenders/opportunities/portal/screen/opportunities/topic-details/horizon-cl4-2023-data-01-07", "HORIZON-CL4-2023-DATA-01-07")</f>
        <v>0</v>
      </c>
      <c r="Q403" t="s">
        <v>1367</v>
      </c>
    </row>
    <row r="404" spans="1:17">
      <c r="A404">
        <v>45634809</v>
      </c>
      <c r="B404">
        <v>2023</v>
      </c>
      <c r="C404" t="s">
        <v>19</v>
      </c>
      <c r="D404" t="s">
        <v>39</v>
      </c>
      <c r="E404" t="s">
        <v>65</v>
      </c>
      <c r="F404" t="s">
        <v>109</v>
      </c>
      <c r="G404" t="s">
        <v>248</v>
      </c>
      <c r="H404" t="s">
        <v>310</v>
      </c>
      <c r="I404" t="s">
        <v>382</v>
      </c>
      <c r="K404" t="s">
        <v>466</v>
      </c>
      <c r="L404" t="s">
        <v>469</v>
      </c>
      <c r="M404" t="s">
        <v>471</v>
      </c>
      <c r="N404" t="s">
        <v>542</v>
      </c>
      <c r="O404" t="s">
        <v>843</v>
      </c>
      <c r="P404" s="1">
        <f>HYPERLINK("https://ec.europa.eu/info/funding-tenders/opportunities/portal/screen/opportunities/topic-details/horizon-cl4-2023-digital-emerging-01-01", "HORIZON-CL4-2023-DIGITAL-EMERGING-01-01")</f>
        <v>0</v>
      </c>
      <c r="Q404" t="s">
        <v>1368</v>
      </c>
    </row>
    <row r="405" spans="1:17">
      <c r="A405">
        <v>45634882</v>
      </c>
      <c r="B405">
        <v>2023</v>
      </c>
      <c r="C405" t="s">
        <v>19</v>
      </c>
      <c r="D405" t="s">
        <v>39</v>
      </c>
      <c r="E405" t="s">
        <v>65</v>
      </c>
      <c r="F405" t="s">
        <v>118</v>
      </c>
      <c r="G405" t="s">
        <v>248</v>
      </c>
      <c r="H405" t="s">
        <v>310</v>
      </c>
      <c r="I405" t="s">
        <v>382</v>
      </c>
      <c r="K405" t="s">
        <v>466</v>
      </c>
      <c r="L405" t="s">
        <v>469</v>
      </c>
      <c r="M405" t="s">
        <v>473</v>
      </c>
      <c r="N405" t="s">
        <v>543</v>
      </c>
      <c r="O405" t="s">
        <v>843</v>
      </c>
      <c r="P405" s="1">
        <f>HYPERLINK("https://ec.europa.eu/info/funding-tenders/opportunities/portal/screen/opportunities/topic-details/horizon-cl4-2023-digital-emerging-01-02", "HORIZON-CL4-2023-DIGITAL-EMERGING-01-02")</f>
        <v>0</v>
      </c>
      <c r="Q405" t="s">
        <v>1369</v>
      </c>
    </row>
    <row r="406" spans="1:17">
      <c r="A406">
        <v>45634557</v>
      </c>
      <c r="B406">
        <v>2023</v>
      </c>
      <c r="C406" t="s">
        <v>19</v>
      </c>
      <c r="D406" t="s">
        <v>39</v>
      </c>
      <c r="E406" t="s">
        <v>64</v>
      </c>
      <c r="F406" t="s">
        <v>118</v>
      </c>
      <c r="G406" t="s">
        <v>248</v>
      </c>
      <c r="H406" t="s">
        <v>310</v>
      </c>
      <c r="I406" t="s">
        <v>382</v>
      </c>
      <c r="K406" t="s">
        <v>466</v>
      </c>
      <c r="L406" t="s">
        <v>469</v>
      </c>
      <c r="M406" t="s">
        <v>471</v>
      </c>
      <c r="N406" t="s">
        <v>543</v>
      </c>
      <c r="O406" t="s">
        <v>843</v>
      </c>
      <c r="P406" s="1">
        <f>HYPERLINK("https://ec.europa.eu/info/funding-tenders/opportunities/portal/screen/opportunities/topic-details/horizon-cl4-2023-digital-emerging-01-11", "HORIZON-CL4-2023-DIGITAL-EMERGING-01-11")</f>
        <v>0</v>
      </c>
      <c r="Q406" t="s">
        <v>1370</v>
      </c>
    </row>
    <row r="407" spans="1:17">
      <c r="A407">
        <v>45634534</v>
      </c>
      <c r="B407">
        <v>2023</v>
      </c>
      <c r="C407" t="s">
        <v>19</v>
      </c>
      <c r="D407" t="s">
        <v>39</v>
      </c>
      <c r="E407" t="s">
        <v>64</v>
      </c>
      <c r="F407" t="s">
        <v>109</v>
      </c>
      <c r="G407" t="s">
        <v>248</v>
      </c>
      <c r="H407" t="s">
        <v>310</v>
      </c>
      <c r="I407" t="s">
        <v>382</v>
      </c>
      <c r="K407" t="s">
        <v>466</v>
      </c>
      <c r="L407" t="s">
        <v>469</v>
      </c>
      <c r="M407" t="s">
        <v>471</v>
      </c>
      <c r="N407" t="s">
        <v>542</v>
      </c>
      <c r="O407" t="s">
        <v>843</v>
      </c>
      <c r="P407" s="1">
        <f>HYPERLINK("https://ec.europa.eu/info/funding-tenders/opportunities/portal/screen/opportunities/topic-details/horizon-cl4-2023-digital-emerging-01-12", "HORIZON-CL4-2023-DIGITAL-EMERGING-01-12")</f>
        <v>0</v>
      </c>
      <c r="Q407" t="s">
        <v>1371</v>
      </c>
    </row>
    <row r="408" spans="1:17">
      <c r="A408">
        <v>45634627</v>
      </c>
      <c r="B408">
        <v>2023</v>
      </c>
      <c r="C408" t="s">
        <v>19</v>
      </c>
      <c r="D408" t="s">
        <v>39</v>
      </c>
      <c r="E408" t="s">
        <v>69</v>
      </c>
      <c r="F408" t="s">
        <v>118</v>
      </c>
      <c r="G408" t="s">
        <v>248</v>
      </c>
      <c r="H408" t="s">
        <v>310</v>
      </c>
      <c r="I408" t="s">
        <v>382</v>
      </c>
      <c r="K408" t="s">
        <v>466</v>
      </c>
      <c r="L408" t="s">
        <v>469</v>
      </c>
      <c r="M408" t="s">
        <v>471</v>
      </c>
      <c r="N408" t="s">
        <v>543</v>
      </c>
      <c r="O408" t="s">
        <v>843</v>
      </c>
      <c r="P408" s="1">
        <f>HYPERLINK("https://ec.europa.eu/info/funding-tenders/opportunities/portal/screen/opportunities/topic-details/horizon-cl4-2023-digital-emerging-01-32", "HORIZON-CL4-2023-DIGITAL-EMERGING-01-32")</f>
        <v>0</v>
      </c>
      <c r="Q408" t="s">
        <v>1372</v>
      </c>
    </row>
    <row r="409" spans="1:17">
      <c r="A409">
        <v>45634667</v>
      </c>
      <c r="B409">
        <v>2023</v>
      </c>
      <c r="C409" t="s">
        <v>19</v>
      </c>
      <c r="D409" t="s">
        <v>39</v>
      </c>
      <c r="E409" t="s">
        <v>69</v>
      </c>
      <c r="F409" t="s">
        <v>118</v>
      </c>
      <c r="G409" t="s">
        <v>248</v>
      </c>
      <c r="H409" t="s">
        <v>310</v>
      </c>
      <c r="I409" t="s">
        <v>382</v>
      </c>
      <c r="K409" t="s">
        <v>466</v>
      </c>
      <c r="L409" t="s">
        <v>469</v>
      </c>
      <c r="M409" t="s">
        <v>471</v>
      </c>
      <c r="N409" t="s">
        <v>543</v>
      </c>
      <c r="O409" t="s">
        <v>843</v>
      </c>
      <c r="P409" s="1">
        <f>HYPERLINK("https://ec.europa.eu/info/funding-tenders/opportunities/portal/screen/opportunities/topic-details/horizon-cl4-2023-digital-emerging-01-33", "HORIZON-CL4-2023-DIGITAL-EMERGING-01-33")</f>
        <v>0</v>
      </c>
      <c r="Q409" t="s">
        <v>1373</v>
      </c>
    </row>
    <row r="410" spans="1:17">
      <c r="A410">
        <v>45634588</v>
      </c>
      <c r="B410">
        <v>2023</v>
      </c>
      <c r="C410" t="s">
        <v>19</v>
      </c>
      <c r="D410" t="s">
        <v>39</v>
      </c>
      <c r="E410" t="s">
        <v>63</v>
      </c>
      <c r="F410" t="s">
        <v>118</v>
      </c>
      <c r="G410" t="s">
        <v>248</v>
      </c>
      <c r="H410" t="s">
        <v>310</v>
      </c>
      <c r="I410" t="s">
        <v>382</v>
      </c>
      <c r="K410" t="s">
        <v>466</v>
      </c>
      <c r="L410" t="s">
        <v>469</v>
      </c>
      <c r="M410" t="s">
        <v>471</v>
      </c>
      <c r="N410" t="s">
        <v>543</v>
      </c>
      <c r="O410" t="s">
        <v>843</v>
      </c>
      <c r="P410" s="1">
        <f>HYPERLINK("https://ec.europa.eu/info/funding-tenders/opportunities/portal/screen/opportunities/topic-details/horizon-cl4-2023-digital-emerging-01-40", "HORIZON-CL4-2023-DIGITAL-EMERGING-01-40")</f>
        <v>0</v>
      </c>
      <c r="Q410" t="s">
        <v>1374</v>
      </c>
    </row>
    <row r="411" spans="1:17">
      <c r="A411">
        <v>45634709</v>
      </c>
      <c r="B411">
        <v>2023</v>
      </c>
      <c r="C411" t="s">
        <v>19</v>
      </c>
      <c r="D411" t="s">
        <v>39</v>
      </c>
      <c r="E411" t="s">
        <v>63</v>
      </c>
      <c r="F411" t="s">
        <v>118</v>
      </c>
      <c r="G411" t="s">
        <v>248</v>
      </c>
      <c r="H411" t="s">
        <v>310</v>
      </c>
      <c r="I411" t="s">
        <v>382</v>
      </c>
      <c r="K411" t="s">
        <v>466</v>
      </c>
      <c r="L411" t="s">
        <v>469</v>
      </c>
      <c r="M411" t="s">
        <v>471</v>
      </c>
      <c r="N411" t="s">
        <v>543</v>
      </c>
      <c r="O411" t="s">
        <v>843</v>
      </c>
      <c r="P411" s="1">
        <f>HYPERLINK("https://ec.europa.eu/info/funding-tenders/opportunities/portal/screen/opportunities/topic-details/horizon-cl4-2023-digital-emerging-01-41", "HORIZON-CL4-2023-DIGITAL-EMERGING-01-41")</f>
        <v>0</v>
      </c>
      <c r="Q411" t="s">
        <v>1375</v>
      </c>
    </row>
    <row r="412" spans="1:17">
      <c r="A412">
        <v>45634749</v>
      </c>
      <c r="B412">
        <v>2023</v>
      </c>
      <c r="C412" t="s">
        <v>19</v>
      </c>
      <c r="D412" t="s">
        <v>39</v>
      </c>
      <c r="E412" t="s">
        <v>63</v>
      </c>
      <c r="F412" t="s">
        <v>118</v>
      </c>
      <c r="G412" t="s">
        <v>248</v>
      </c>
      <c r="H412" t="s">
        <v>310</v>
      </c>
      <c r="I412" t="s">
        <v>382</v>
      </c>
      <c r="K412" t="s">
        <v>466</v>
      </c>
      <c r="L412" t="s">
        <v>469</v>
      </c>
      <c r="M412" t="s">
        <v>475</v>
      </c>
      <c r="N412" t="s">
        <v>543</v>
      </c>
      <c r="O412" t="s">
        <v>843</v>
      </c>
      <c r="P412" s="1">
        <f>HYPERLINK("https://ec.europa.eu/info/funding-tenders/opportunities/portal/screen/opportunities/topic-details/horizon-cl4-2023-digital-emerging-01-43", "HORIZON-CL4-2023-DIGITAL-EMERGING-01-43")</f>
        <v>0</v>
      </c>
      <c r="Q412" t="s">
        <v>1376</v>
      </c>
    </row>
    <row r="413" spans="1:17">
      <c r="A413">
        <v>45634764</v>
      </c>
      <c r="B413">
        <v>2023</v>
      </c>
      <c r="C413" t="s">
        <v>19</v>
      </c>
      <c r="D413" t="s">
        <v>39</v>
      </c>
      <c r="E413" t="s">
        <v>63</v>
      </c>
      <c r="F413" t="s">
        <v>118</v>
      </c>
      <c r="G413" t="s">
        <v>248</v>
      </c>
      <c r="H413" t="s">
        <v>310</v>
      </c>
      <c r="I413" t="s">
        <v>382</v>
      </c>
      <c r="K413" t="s">
        <v>466</v>
      </c>
      <c r="L413" t="s">
        <v>469</v>
      </c>
      <c r="M413" t="s">
        <v>471</v>
      </c>
      <c r="N413" t="s">
        <v>543</v>
      </c>
      <c r="O413" t="s">
        <v>843</v>
      </c>
      <c r="P413" s="1">
        <f>HYPERLINK("https://ec.europa.eu/info/funding-tenders/opportunities/portal/screen/opportunities/topic-details/horizon-cl4-2023-digital-emerging-01-50", "HORIZON-CL4-2023-DIGITAL-EMERGING-01-50")</f>
        <v>0</v>
      </c>
      <c r="Q413" t="s">
        <v>1377</v>
      </c>
    </row>
    <row r="414" spans="1:17">
      <c r="A414">
        <v>45634995</v>
      </c>
      <c r="B414">
        <v>2023</v>
      </c>
      <c r="C414" t="s">
        <v>19</v>
      </c>
      <c r="D414" t="s">
        <v>39</v>
      </c>
      <c r="E414" t="s">
        <v>64</v>
      </c>
      <c r="F414" t="s">
        <v>109</v>
      </c>
      <c r="G414" t="s">
        <v>248</v>
      </c>
      <c r="H414" t="s">
        <v>310</v>
      </c>
      <c r="I414" t="s">
        <v>382</v>
      </c>
      <c r="K414" t="s">
        <v>466</v>
      </c>
      <c r="L414" t="s">
        <v>469</v>
      </c>
      <c r="M414" t="s">
        <v>471</v>
      </c>
      <c r="N414" t="s">
        <v>542</v>
      </c>
      <c r="O414" t="s">
        <v>843</v>
      </c>
      <c r="P414" s="1">
        <f>HYPERLINK("https://ec.europa.eu/info/funding-tenders/opportunities/portal/screen/opportunities/topic-details/horizon-cl4-2023-digital-emerging-01-51", "HORIZON-CL4-2023-DIGITAL-EMERGING-01-51")</f>
        <v>0</v>
      </c>
      <c r="Q414" t="s">
        <v>1378</v>
      </c>
    </row>
    <row r="415" spans="1:17">
      <c r="A415">
        <v>45635063</v>
      </c>
      <c r="B415">
        <v>2023</v>
      </c>
      <c r="C415" t="s">
        <v>19</v>
      </c>
      <c r="D415" t="s">
        <v>39</v>
      </c>
      <c r="E415" t="s">
        <v>64</v>
      </c>
      <c r="F415" t="s">
        <v>109</v>
      </c>
      <c r="G415" t="s">
        <v>248</v>
      </c>
      <c r="H415" t="s">
        <v>310</v>
      </c>
      <c r="I415" t="s">
        <v>382</v>
      </c>
      <c r="K415" t="s">
        <v>466</v>
      </c>
      <c r="L415" t="s">
        <v>469</v>
      </c>
      <c r="M415" t="s">
        <v>471</v>
      </c>
      <c r="N415" t="s">
        <v>542</v>
      </c>
      <c r="O415" t="s">
        <v>843</v>
      </c>
      <c r="P415" s="1">
        <f>HYPERLINK("https://ec.europa.eu/info/funding-tenders/opportunities/portal/screen/opportunities/topic-details/horizon-cl4-2023-digital-emerging-01-53", "HORIZON-CL4-2023-DIGITAL-EMERGING-01-53")</f>
        <v>0</v>
      </c>
      <c r="Q415" t="s">
        <v>1379</v>
      </c>
    </row>
    <row r="416" spans="1:17">
      <c r="A416">
        <v>45635099</v>
      </c>
      <c r="B416">
        <v>2023</v>
      </c>
      <c r="C416" t="s">
        <v>19</v>
      </c>
      <c r="D416" t="s">
        <v>39</v>
      </c>
      <c r="E416" t="s">
        <v>64</v>
      </c>
      <c r="F416" t="s">
        <v>118</v>
      </c>
      <c r="G416" t="s">
        <v>248</v>
      </c>
      <c r="H416" t="s">
        <v>310</v>
      </c>
      <c r="I416" t="s">
        <v>382</v>
      </c>
      <c r="K416" t="s">
        <v>466</v>
      </c>
      <c r="L416" t="s">
        <v>469</v>
      </c>
      <c r="M416" t="s">
        <v>472</v>
      </c>
      <c r="N416" t="s">
        <v>543</v>
      </c>
      <c r="O416" t="s">
        <v>843</v>
      </c>
      <c r="P416" s="1">
        <f>HYPERLINK("https://ec.europa.eu/info/funding-tenders/opportunities/portal/screen/opportunities/topic-details/horizon-cl4-2023-digital-emerging-01-56", "HORIZON-CL4-2023-DIGITAL-EMERGING-01-56")</f>
        <v>0</v>
      </c>
      <c r="Q416" t="s">
        <v>1380</v>
      </c>
    </row>
    <row r="417" spans="1:17">
      <c r="A417">
        <v>45635030</v>
      </c>
      <c r="B417">
        <v>2023</v>
      </c>
      <c r="C417" t="s">
        <v>19</v>
      </c>
      <c r="D417" t="s">
        <v>39</v>
      </c>
      <c r="E417" t="s">
        <v>64</v>
      </c>
      <c r="F417" t="s">
        <v>109</v>
      </c>
      <c r="G417" t="s">
        <v>248</v>
      </c>
      <c r="H417" t="s">
        <v>310</v>
      </c>
      <c r="I417" t="s">
        <v>382</v>
      </c>
      <c r="K417" t="s">
        <v>466</v>
      </c>
      <c r="L417" t="s">
        <v>469</v>
      </c>
      <c r="M417" t="s">
        <v>473</v>
      </c>
      <c r="N417" t="s">
        <v>542</v>
      </c>
      <c r="O417" t="s">
        <v>843</v>
      </c>
      <c r="P417" s="1">
        <f>HYPERLINK("https://ec.europa.eu/info/funding-tenders/opportunities/portal/screen/opportunities/topic-details/horizon-cl4-2023-digital-emerging-01-57", "HORIZON-CL4-2023-DIGITAL-EMERGING-01-57")</f>
        <v>0</v>
      </c>
      <c r="Q417" t="s">
        <v>1381</v>
      </c>
    </row>
    <row r="418" spans="1:17">
      <c r="A418">
        <v>45635572</v>
      </c>
      <c r="B418">
        <v>2023</v>
      </c>
      <c r="C418" t="s">
        <v>19</v>
      </c>
      <c r="D418" t="s">
        <v>39</v>
      </c>
      <c r="E418" t="s">
        <v>65</v>
      </c>
      <c r="F418" t="s">
        <v>119</v>
      </c>
      <c r="G418" t="s">
        <v>248</v>
      </c>
      <c r="H418" t="s">
        <v>310</v>
      </c>
      <c r="I418" t="s">
        <v>382</v>
      </c>
      <c r="K418" t="s">
        <v>466</v>
      </c>
      <c r="L418" t="s">
        <v>469</v>
      </c>
      <c r="M418" t="s">
        <v>471</v>
      </c>
      <c r="N418" t="s">
        <v>544</v>
      </c>
      <c r="O418" t="s">
        <v>844</v>
      </c>
      <c r="P418" s="1">
        <f>HYPERLINK("https://ec.europa.eu/info/funding-tenders/opportunities/portal/screen/opportunities/topic-details/horizon-cl4-2023-human-01-01", "HORIZON-CL4-2023-HUMAN-01-01")</f>
        <v>0</v>
      </c>
      <c r="Q418" t="s">
        <v>1382</v>
      </c>
    </row>
    <row r="419" spans="1:17">
      <c r="A419">
        <v>45635631</v>
      </c>
      <c r="B419">
        <v>2023</v>
      </c>
      <c r="C419" t="s">
        <v>19</v>
      </c>
      <c r="D419" t="s">
        <v>39</v>
      </c>
      <c r="E419" t="s">
        <v>65</v>
      </c>
      <c r="F419" t="s">
        <v>119</v>
      </c>
      <c r="G419" t="s">
        <v>248</v>
      </c>
      <c r="H419" t="s">
        <v>310</v>
      </c>
      <c r="I419" t="s">
        <v>382</v>
      </c>
      <c r="K419" t="s">
        <v>466</v>
      </c>
      <c r="L419" t="s">
        <v>469</v>
      </c>
      <c r="M419" t="s">
        <v>473</v>
      </c>
      <c r="N419" t="s">
        <v>544</v>
      </c>
      <c r="O419" t="s">
        <v>844</v>
      </c>
      <c r="P419" s="1">
        <f>HYPERLINK("https://ec.europa.eu/info/funding-tenders/opportunities/portal/screen/opportunities/topic-details/horizon-cl4-2023-human-01-02", "HORIZON-CL4-2023-HUMAN-01-02")</f>
        <v>0</v>
      </c>
      <c r="Q419" t="s">
        <v>1383</v>
      </c>
    </row>
    <row r="420" spans="1:17">
      <c r="A420">
        <v>45635748</v>
      </c>
      <c r="B420">
        <v>2023</v>
      </c>
      <c r="C420" t="s">
        <v>19</v>
      </c>
      <c r="D420" t="s">
        <v>39</v>
      </c>
      <c r="E420" t="s">
        <v>65</v>
      </c>
      <c r="F420" t="s">
        <v>119</v>
      </c>
      <c r="G420" t="s">
        <v>248</v>
      </c>
      <c r="H420" t="s">
        <v>310</v>
      </c>
      <c r="I420" t="s">
        <v>382</v>
      </c>
      <c r="K420" t="s">
        <v>466</v>
      </c>
      <c r="L420" t="s">
        <v>469</v>
      </c>
      <c r="M420" t="s">
        <v>471</v>
      </c>
      <c r="N420" t="s">
        <v>544</v>
      </c>
      <c r="O420" t="s">
        <v>844</v>
      </c>
      <c r="P420" s="1">
        <f>HYPERLINK("https://ec.europa.eu/info/funding-tenders/opportunities/portal/screen/opportunities/topic-details/horizon-cl4-2023-human-01-03", "HORIZON-CL4-2023-HUMAN-01-03")</f>
        <v>0</v>
      </c>
      <c r="Q420" t="s">
        <v>1384</v>
      </c>
    </row>
    <row r="421" spans="1:17">
      <c r="A421">
        <v>45635689</v>
      </c>
      <c r="B421">
        <v>2023</v>
      </c>
      <c r="C421" t="s">
        <v>19</v>
      </c>
      <c r="D421" t="s">
        <v>39</v>
      </c>
      <c r="E421" t="s">
        <v>65</v>
      </c>
      <c r="F421" t="s">
        <v>119</v>
      </c>
      <c r="G421" t="s">
        <v>248</v>
      </c>
      <c r="H421" t="s">
        <v>310</v>
      </c>
      <c r="I421" t="s">
        <v>382</v>
      </c>
      <c r="K421" t="s">
        <v>466</v>
      </c>
      <c r="L421" t="s">
        <v>469</v>
      </c>
      <c r="M421" t="s">
        <v>472</v>
      </c>
      <c r="N421" t="s">
        <v>544</v>
      </c>
      <c r="O421" t="s">
        <v>844</v>
      </c>
      <c r="P421" s="1">
        <f>HYPERLINK("https://ec.europa.eu/info/funding-tenders/opportunities/portal/screen/opportunities/topic-details/horizon-cl4-2023-human-01-04", "HORIZON-CL4-2023-HUMAN-01-04")</f>
        <v>0</v>
      </c>
      <c r="Q421" t="s">
        <v>1385</v>
      </c>
    </row>
    <row r="422" spans="1:17">
      <c r="A422">
        <v>45636163</v>
      </c>
      <c r="B422">
        <v>2023</v>
      </c>
      <c r="C422" t="s">
        <v>19</v>
      </c>
      <c r="D422" t="s">
        <v>39</v>
      </c>
      <c r="E422" t="s">
        <v>65</v>
      </c>
      <c r="F422" t="s">
        <v>119</v>
      </c>
      <c r="G422" t="s">
        <v>248</v>
      </c>
      <c r="H422" t="s">
        <v>310</v>
      </c>
      <c r="I422" t="s">
        <v>382</v>
      </c>
      <c r="K422" t="s">
        <v>466</v>
      </c>
      <c r="L422" t="s">
        <v>469</v>
      </c>
      <c r="M422" t="s">
        <v>473</v>
      </c>
      <c r="N422" t="s">
        <v>544</v>
      </c>
      <c r="O422" t="s">
        <v>844</v>
      </c>
      <c r="P422" s="1">
        <f>HYPERLINK("https://ec.europa.eu/info/funding-tenders/opportunities/portal/screen/opportunities/topic-details/horizon-cl4-2023-human-01-05", "HORIZON-CL4-2023-HUMAN-01-05")</f>
        <v>0</v>
      </c>
      <c r="Q422" t="s">
        <v>1386</v>
      </c>
    </row>
    <row r="423" spans="1:17">
      <c r="A423">
        <v>45635952</v>
      </c>
      <c r="B423">
        <v>2023</v>
      </c>
      <c r="C423" t="s">
        <v>19</v>
      </c>
      <c r="D423" t="s">
        <v>39</v>
      </c>
      <c r="E423" t="s">
        <v>66</v>
      </c>
      <c r="F423" t="s">
        <v>119</v>
      </c>
      <c r="G423" t="s">
        <v>248</v>
      </c>
      <c r="H423" t="s">
        <v>310</v>
      </c>
      <c r="I423" t="s">
        <v>382</v>
      </c>
      <c r="K423" t="s">
        <v>466</v>
      </c>
      <c r="L423" t="s">
        <v>469</v>
      </c>
      <c r="M423" t="s">
        <v>471</v>
      </c>
      <c r="N423" t="s">
        <v>544</v>
      </c>
      <c r="O423" t="s">
        <v>844</v>
      </c>
      <c r="P423" s="1">
        <f>HYPERLINK("https://ec.europa.eu/info/funding-tenders/opportunities/portal/screen/opportunities/topic-details/horizon-cl4-2023-human-01-11", "HORIZON-CL4-2023-HUMAN-01-11")</f>
        <v>0</v>
      </c>
      <c r="Q423" t="s">
        <v>1387</v>
      </c>
    </row>
    <row r="424" spans="1:17">
      <c r="A424">
        <v>45635989</v>
      </c>
      <c r="B424">
        <v>2023</v>
      </c>
      <c r="C424" t="s">
        <v>19</v>
      </c>
      <c r="D424" t="s">
        <v>39</v>
      </c>
      <c r="E424" t="s">
        <v>66</v>
      </c>
      <c r="F424" t="s">
        <v>119</v>
      </c>
      <c r="G424" t="s">
        <v>248</v>
      </c>
      <c r="H424" t="s">
        <v>310</v>
      </c>
      <c r="I424" t="s">
        <v>382</v>
      </c>
      <c r="K424" t="s">
        <v>466</v>
      </c>
      <c r="L424" t="s">
        <v>469</v>
      </c>
      <c r="M424" t="s">
        <v>473</v>
      </c>
      <c r="N424" t="s">
        <v>544</v>
      </c>
      <c r="O424" t="s">
        <v>844</v>
      </c>
      <c r="P424" s="1">
        <f>HYPERLINK("https://ec.europa.eu/info/funding-tenders/opportunities/portal/screen/opportunities/topic-details/horizon-cl4-2023-human-01-12", "HORIZON-CL4-2023-HUMAN-01-12")</f>
        <v>0</v>
      </c>
      <c r="Q424" t="s">
        <v>1388</v>
      </c>
    </row>
    <row r="425" spans="1:17">
      <c r="A425">
        <v>45636024</v>
      </c>
      <c r="B425">
        <v>2023</v>
      </c>
      <c r="C425" t="s">
        <v>19</v>
      </c>
      <c r="D425" t="s">
        <v>39</v>
      </c>
      <c r="E425" t="s">
        <v>66</v>
      </c>
      <c r="F425" t="s">
        <v>119</v>
      </c>
      <c r="G425" t="s">
        <v>248</v>
      </c>
      <c r="H425" t="s">
        <v>310</v>
      </c>
      <c r="I425" t="s">
        <v>382</v>
      </c>
      <c r="K425" t="s">
        <v>466</v>
      </c>
      <c r="L425" t="s">
        <v>469</v>
      </c>
      <c r="M425" t="s">
        <v>471</v>
      </c>
      <c r="N425" t="s">
        <v>544</v>
      </c>
      <c r="O425" t="s">
        <v>844</v>
      </c>
      <c r="P425" s="1">
        <f>HYPERLINK("https://ec.europa.eu/info/funding-tenders/opportunities/portal/screen/opportunities/topic-details/horizon-cl4-2023-human-01-13", "HORIZON-CL4-2023-HUMAN-01-13")</f>
        <v>0</v>
      </c>
      <c r="Q425" t="s">
        <v>1389</v>
      </c>
    </row>
    <row r="426" spans="1:17">
      <c r="A426">
        <v>45636228</v>
      </c>
      <c r="B426">
        <v>2023</v>
      </c>
      <c r="C426" t="s">
        <v>19</v>
      </c>
      <c r="D426" t="s">
        <v>39</v>
      </c>
      <c r="E426" t="s">
        <v>66</v>
      </c>
      <c r="F426" t="s">
        <v>119</v>
      </c>
      <c r="G426" t="s">
        <v>248</v>
      </c>
      <c r="H426" t="s">
        <v>310</v>
      </c>
      <c r="I426" t="s">
        <v>382</v>
      </c>
      <c r="K426" t="s">
        <v>466</v>
      </c>
      <c r="L426" t="s">
        <v>469</v>
      </c>
      <c r="M426" t="s">
        <v>472</v>
      </c>
      <c r="N426" t="s">
        <v>544</v>
      </c>
      <c r="O426" t="s">
        <v>844</v>
      </c>
      <c r="P426" s="1">
        <f>HYPERLINK("https://ec.europa.eu/info/funding-tenders/opportunities/portal/screen/opportunities/topic-details/horizon-cl4-2023-human-01-14", "HORIZON-CL4-2023-HUMAN-01-14")</f>
        <v>0</v>
      </c>
      <c r="Q426" t="s">
        <v>1390</v>
      </c>
    </row>
    <row r="427" spans="1:17">
      <c r="A427">
        <v>45636060</v>
      </c>
      <c r="B427">
        <v>2023</v>
      </c>
      <c r="C427" t="s">
        <v>19</v>
      </c>
      <c r="D427" t="s">
        <v>39</v>
      </c>
      <c r="E427" t="s">
        <v>64</v>
      </c>
      <c r="F427" t="s">
        <v>119</v>
      </c>
      <c r="G427" t="s">
        <v>248</v>
      </c>
      <c r="H427" t="s">
        <v>310</v>
      </c>
      <c r="I427" t="s">
        <v>382</v>
      </c>
      <c r="K427" t="s">
        <v>466</v>
      </c>
      <c r="L427" t="s">
        <v>469</v>
      </c>
      <c r="M427" t="s">
        <v>471</v>
      </c>
      <c r="N427" t="s">
        <v>544</v>
      </c>
      <c r="O427" t="s">
        <v>844</v>
      </c>
      <c r="P427" s="1">
        <f>HYPERLINK("https://ec.europa.eu/info/funding-tenders/opportunities/portal/screen/opportunities/topic-details/horizon-cl4-2023-human-01-21", "HORIZON-CL4-2023-HUMAN-01-21")</f>
        <v>0</v>
      </c>
      <c r="Q427" t="s">
        <v>1391</v>
      </c>
    </row>
    <row r="428" spans="1:17">
      <c r="A428">
        <v>45636107</v>
      </c>
      <c r="B428">
        <v>2023</v>
      </c>
      <c r="C428" t="s">
        <v>19</v>
      </c>
      <c r="D428" t="s">
        <v>39</v>
      </c>
      <c r="E428" t="s">
        <v>64</v>
      </c>
      <c r="F428" t="s">
        <v>119</v>
      </c>
      <c r="G428" t="s">
        <v>248</v>
      </c>
      <c r="H428" t="s">
        <v>310</v>
      </c>
      <c r="I428" t="s">
        <v>382</v>
      </c>
      <c r="K428" t="s">
        <v>466</v>
      </c>
      <c r="L428" t="s">
        <v>469</v>
      </c>
      <c r="M428" t="s">
        <v>473</v>
      </c>
      <c r="N428" t="s">
        <v>544</v>
      </c>
      <c r="O428" t="s">
        <v>844</v>
      </c>
      <c r="P428" s="1">
        <f>HYPERLINK("https://ec.europa.eu/info/funding-tenders/opportunities/portal/screen/opportunities/topic-details/horizon-cl4-2023-human-01-22", "HORIZON-CL4-2023-HUMAN-01-22")</f>
        <v>0</v>
      </c>
      <c r="Q428" t="s">
        <v>1392</v>
      </c>
    </row>
    <row r="429" spans="1:17">
      <c r="A429">
        <v>45636261</v>
      </c>
      <c r="B429">
        <v>2023</v>
      </c>
      <c r="C429" t="s">
        <v>19</v>
      </c>
      <c r="D429" t="s">
        <v>39</v>
      </c>
      <c r="E429" t="s">
        <v>64</v>
      </c>
      <c r="F429" t="s">
        <v>119</v>
      </c>
      <c r="G429" t="s">
        <v>248</v>
      </c>
      <c r="H429" t="s">
        <v>310</v>
      </c>
      <c r="I429" t="s">
        <v>382</v>
      </c>
      <c r="K429" t="s">
        <v>466</v>
      </c>
      <c r="L429" t="s">
        <v>469</v>
      </c>
      <c r="M429" t="s">
        <v>472</v>
      </c>
      <c r="N429" t="s">
        <v>544</v>
      </c>
      <c r="O429" t="s">
        <v>844</v>
      </c>
      <c r="P429" s="1">
        <f>HYPERLINK("https://ec.europa.eu/info/funding-tenders/opportunities/portal/screen/opportunities/topic-details/horizon-cl4-2023-human-01-23", "HORIZON-CL4-2023-HUMAN-01-23")</f>
        <v>0</v>
      </c>
      <c r="Q429" t="s">
        <v>1393</v>
      </c>
    </row>
    <row r="430" spans="1:17">
      <c r="A430">
        <v>45635178</v>
      </c>
      <c r="B430">
        <v>2023</v>
      </c>
      <c r="C430" t="s">
        <v>19</v>
      </c>
      <c r="D430" t="s">
        <v>39</v>
      </c>
      <c r="E430" t="s">
        <v>64</v>
      </c>
      <c r="F430" t="s">
        <v>111</v>
      </c>
      <c r="G430" t="s">
        <v>248</v>
      </c>
      <c r="H430" t="s">
        <v>310</v>
      </c>
      <c r="I430" t="s">
        <v>382</v>
      </c>
      <c r="K430" t="s">
        <v>466</v>
      </c>
      <c r="L430" t="s">
        <v>469</v>
      </c>
      <c r="M430" t="s">
        <v>472</v>
      </c>
      <c r="N430" t="s">
        <v>545</v>
      </c>
      <c r="O430" t="s">
        <v>844</v>
      </c>
      <c r="P430" s="1">
        <f>HYPERLINK("https://ec.europa.eu/info/funding-tenders/opportunities/portal/screen/opportunities/topic-details/horizon-cl4-2023-human-01-31", "HORIZON-CL4-2023-HUMAN-01-31")</f>
        <v>0</v>
      </c>
      <c r="Q430" t="s">
        <v>1394</v>
      </c>
    </row>
    <row r="431" spans="1:17">
      <c r="A431">
        <v>45635197</v>
      </c>
      <c r="B431">
        <v>2023</v>
      </c>
      <c r="C431" t="s">
        <v>19</v>
      </c>
      <c r="D431" t="s">
        <v>39</v>
      </c>
      <c r="E431" t="s">
        <v>64</v>
      </c>
      <c r="F431" t="s">
        <v>111</v>
      </c>
      <c r="G431" t="s">
        <v>248</v>
      </c>
      <c r="H431" t="s">
        <v>310</v>
      </c>
      <c r="I431" t="s">
        <v>382</v>
      </c>
      <c r="K431" t="s">
        <v>466</v>
      </c>
      <c r="L431" t="s">
        <v>469</v>
      </c>
      <c r="M431" t="s">
        <v>472</v>
      </c>
      <c r="N431" t="s">
        <v>545</v>
      </c>
      <c r="O431" t="s">
        <v>844</v>
      </c>
      <c r="P431" s="1">
        <f>HYPERLINK("https://ec.europa.eu/info/funding-tenders/opportunities/portal/screen/opportunities/topic-details/horizon-cl4-2023-human-01-32", "HORIZON-CL4-2023-HUMAN-01-32")</f>
        <v>0</v>
      </c>
      <c r="Q431" t="s">
        <v>1395</v>
      </c>
    </row>
    <row r="432" spans="1:17">
      <c r="A432">
        <v>45635218</v>
      </c>
      <c r="B432">
        <v>2023</v>
      </c>
      <c r="C432" t="s">
        <v>19</v>
      </c>
      <c r="D432" t="s">
        <v>39</v>
      </c>
      <c r="E432" t="s">
        <v>64</v>
      </c>
      <c r="F432" t="s">
        <v>111</v>
      </c>
      <c r="G432" t="s">
        <v>248</v>
      </c>
      <c r="H432" t="s">
        <v>310</v>
      </c>
      <c r="I432" t="s">
        <v>382</v>
      </c>
      <c r="K432" t="s">
        <v>466</v>
      </c>
      <c r="L432" t="s">
        <v>469</v>
      </c>
      <c r="M432" t="s">
        <v>472</v>
      </c>
      <c r="N432" t="s">
        <v>545</v>
      </c>
      <c r="O432" t="s">
        <v>844</v>
      </c>
      <c r="P432" s="1">
        <f>HYPERLINK("https://ec.europa.eu/info/funding-tenders/opportunities/portal/screen/opportunities/topic-details/horizon-cl4-2023-human-01-33", "HORIZON-CL4-2023-HUMAN-01-33")</f>
        <v>0</v>
      </c>
      <c r="Q432" t="s">
        <v>1396</v>
      </c>
    </row>
    <row r="433" spans="1:17">
      <c r="A433">
        <v>45635244</v>
      </c>
      <c r="B433">
        <v>2023</v>
      </c>
      <c r="C433" t="s">
        <v>19</v>
      </c>
      <c r="D433" t="s">
        <v>39</v>
      </c>
      <c r="E433" t="s">
        <v>64</v>
      </c>
      <c r="F433" t="s">
        <v>111</v>
      </c>
      <c r="G433" t="s">
        <v>248</v>
      </c>
      <c r="H433" t="s">
        <v>310</v>
      </c>
      <c r="I433" t="s">
        <v>382</v>
      </c>
      <c r="K433" t="s">
        <v>466</v>
      </c>
      <c r="L433" t="s">
        <v>469</v>
      </c>
      <c r="M433" t="s">
        <v>471</v>
      </c>
      <c r="N433" t="s">
        <v>545</v>
      </c>
      <c r="O433" t="s">
        <v>844</v>
      </c>
      <c r="P433" s="1">
        <f>HYPERLINK("https://ec.europa.eu/info/funding-tenders/opportunities/portal/screen/opportunities/topic-details/horizon-cl4-2023-human-01-51", "HORIZON-CL4-2023-HUMAN-01-51")</f>
        <v>0</v>
      </c>
      <c r="Q433" t="s">
        <v>1397</v>
      </c>
    </row>
    <row r="434" spans="1:17">
      <c r="A434">
        <v>45635264</v>
      </c>
      <c r="B434">
        <v>2023</v>
      </c>
      <c r="C434" t="s">
        <v>19</v>
      </c>
      <c r="D434" t="s">
        <v>39</v>
      </c>
      <c r="E434" t="s">
        <v>64</v>
      </c>
      <c r="F434" t="s">
        <v>111</v>
      </c>
      <c r="G434" t="s">
        <v>248</v>
      </c>
      <c r="H434" t="s">
        <v>310</v>
      </c>
      <c r="I434" t="s">
        <v>382</v>
      </c>
      <c r="K434" t="s">
        <v>466</v>
      </c>
      <c r="L434" t="s">
        <v>469</v>
      </c>
      <c r="M434" t="s">
        <v>471</v>
      </c>
      <c r="N434" t="s">
        <v>545</v>
      </c>
      <c r="O434" t="s">
        <v>844</v>
      </c>
      <c r="P434" s="1">
        <f>HYPERLINK("https://ec.europa.eu/info/funding-tenders/opportunities/portal/screen/opportunities/topic-details/horizon-cl4-2023-human-01-52", "HORIZON-CL4-2023-HUMAN-01-52")</f>
        <v>0</v>
      </c>
      <c r="Q434" t="s">
        <v>1398</v>
      </c>
    </row>
    <row r="435" spans="1:17">
      <c r="A435">
        <v>45635284</v>
      </c>
      <c r="B435">
        <v>2023</v>
      </c>
      <c r="C435" t="s">
        <v>19</v>
      </c>
      <c r="D435" t="s">
        <v>39</v>
      </c>
      <c r="E435" t="s">
        <v>67</v>
      </c>
      <c r="F435" t="s">
        <v>111</v>
      </c>
      <c r="G435" t="s">
        <v>248</v>
      </c>
      <c r="H435" t="s">
        <v>310</v>
      </c>
      <c r="I435" t="s">
        <v>382</v>
      </c>
      <c r="K435" t="s">
        <v>466</v>
      </c>
      <c r="L435" t="s">
        <v>469</v>
      </c>
      <c r="M435" t="s">
        <v>471</v>
      </c>
      <c r="N435" t="s">
        <v>545</v>
      </c>
      <c r="O435" t="s">
        <v>844</v>
      </c>
      <c r="P435" s="1">
        <f>HYPERLINK("https://ec.europa.eu/info/funding-tenders/opportunities/portal/screen/opportunities/topic-details/horizon-cl4-2023-human-01-53", "HORIZON-CL4-2023-HUMAN-01-53")</f>
        <v>0</v>
      </c>
      <c r="Q435" t="s">
        <v>1399</v>
      </c>
    </row>
    <row r="436" spans="1:17">
      <c r="A436">
        <v>45636145</v>
      </c>
      <c r="B436">
        <v>2023</v>
      </c>
      <c r="C436" t="s">
        <v>19</v>
      </c>
      <c r="D436" t="s">
        <v>39</v>
      </c>
      <c r="E436" t="s">
        <v>64</v>
      </c>
      <c r="F436" t="s">
        <v>111</v>
      </c>
      <c r="G436" t="s">
        <v>248</v>
      </c>
      <c r="H436" t="s">
        <v>310</v>
      </c>
      <c r="I436" t="s">
        <v>382</v>
      </c>
      <c r="K436" t="s">
        <v>466</v>
      </c>
      <c r="L436" t="s">
        <v>469</v>
      </c>
      <c r="M436" t="s">
        <v>472</v>
      </c>
      <c r="N436" t="s">
        <v>545</v>
      </c>
      <c r="O436" t="s">
        <v>844</v>
      </c>
      <c r="P436" s="1">
        <f>HYPERLINK("https://ec.europa.eu/info/funding-tenders/opportunities/portal/screen/opportunities/topic-details/horizon-cl4-2023-human-01-54", "HORIZON-CL4-2023-HUMAN-01-54")</f>
        <v>0</v>
      </c>
      <c r="Q436" t="s">
        <v>1400</v>
      </c>
    </row>
    <row r="437" spans="1:17">
      <c r="A437">
        <v>45635314</v>
      </c>
      <c r="B437">
        <v>2023</v>
      </c>
      <c r="C437" t="s">
        <v>19</v>
      </c>
      <c r="D437" t="s">
        <v>39</v>
      </c>
      <c r="E437" t="s">
        <v>64</v>
      </c>
      <c r="F437" t="s">
        <v>111</v>
      </c>
      <c r="G437" t="s">
        <v>248</v>
      </c>
      <c r="H437" t="s">
        <v>310</v>
      </c>
      <c r="I437" t="s">
        <v>382</v>
      </c>
      <c r="K437" t="s">
        <v>466</v>
      </c>
      <c r="L437" t="s">
        <v>469</v>
      </c>
      <c r="M437" t="s">
        <v>472</v>
      </c>
      <c r="N437" t="s">
        <v>545</v>
      </c>
      <c r="O437" t="s">
        <v>844</v>
      </c>
      <c r="P437" s="1">
        <f>HYPERLINK("https://ec.europa.eu/info/funding-tenders/opportunities/portal/screen/opportunities/topic-details/horizon-cl4-2023-human-01-62", "HORIZON-CL4-2023-HUMAN-01-62")</f>
        <v>0</v>
      </c>
      <c r="Q437" t="s">
        <v>1401</v>
      </c>
    </row>
    <row r="438" spans="1:17">
      <c r="A438">
        <v>45635332</v>
      </c>
      <c r="B438">
        <v>2023</v>
      </c>
      <c r="C438" t="s">
        <v>19</v>
      </c>
      <c r="D438" t="s">
        <v>39</v>
      </c>
      <c r="E438" t="s">
        <v>64</v>
      </c>
      <c r="F438" t="s">
        <v>111</v>
      </c>
      <c r="G438" t="s">
        <v>248</v>
      </c>
      <c r="H438" t="s">
        <v>310</v>
      </c>
      <c r="I438" t="s">
        <v>382</v>
      </c>
      <c r="K438" t="s">
        <v>466</v>
      </c>
      <c r="L438" t="s">
        <v>469</v>
      </c>
      <c r="M438" t="s">
        <v>472</v>
      </c>
      <c r="N438" t="s">
        <v>545</v>
      </c>
      <c r="O438" t="s">
        <v>844</v>
      </c>
      <c r="P438" s="1">
        <f>HYPERLINK("https://ec.europa.eu/info/funding-tenders/opportunities/portal/screen/opportunities/topic-details/horizon-cl4-2023-human-01-63", "HORIZON-CL4-2023-HUMAN-01-63")</f>
        <v>0</v>
      </c>
      <c r="Q438" t="s">
        <v>1402</v>
      </c>
    </row>
    <row r="439" spans="1:17">
      <c r="A439">
        <v>45635352</v>
      </c>
      <c r="B439">
        <v>2023</v>
      </c>
      <c r="C439" t="s">
        <v>19</v>
      </c>
      <c r="D439" t="s">
        <v>39</v>
      </c>
      <c r="E439" t="s">
        <v>64</v>
      </c>
      <c r="F439" t="s">
        <v>111</v>
      </c>
      <c r="G439" t="s">
        <v>248</v>
      </c>
      <c r="H439" t="s">
        <v>310</v>
      </c>
      <c r="I439" t="s">
        <v>382</v>
      </c>
      <c r="K439" t="s">
        <v>466</v>
      </c>
      <c r="L439" t="s">
        <v>469</v>
      </c>
      <c r="M439" t="s">
        <v>472</v>
      </c>
      <c r="N439" t="s">
        <v>545</v>
      </c>
      <c r="O439" t="s">
        <v>844</v>
      </c>
      <c r="P439" s="1">
        <f>HYPERLINK("https://ec.europa.eu/info/funding-tenders/opportunities/portal/screen/opportunities/topic-details/horizon-cl4-2023-human-01-64", "HORIZON-CL4-2023-HUMAN-01-64")</f>
        <v>0</v>
      </c>
      <c r="Q439" t="s">
        <v>1403</v>
      </c>
    </row>
    <row r="440" spans="1:17">
      <c r="A440">
        <v>45635395</v>
      </c>
      <c r="B440">
        <v>2023</v>
      </c>
      <c r="C440" t="s">
        <v>19</v>
      </c>
      <c r="D440" t="s">
        <v>39</v>
      </c>
      <c r="E440" t="s">
        <v>64</v>
      </c>
      <c r="F440" t="s">
        <v>119</v>
      </c>
      <c r="G440" t="s">
        <v>248</v>
      </c>
      <c r="H440" t="s">
        <v>310</v>
      </c>
      <c r="I440" t="s">
        <v>382</v>
      </c>
      <c r="K440" t="s">
        <v>466</v>
      </c>
      <c r="L440" t="s">
        <v>469</v>
      </c>
      <c r="M440" t="s">
        <v>472</v>
      </c>
      <c r="N440" t="s">
        <v>544</v>
      </c>
      <c r="O440" t="s">
        <v>844</v>
      </c>
      <c r="P440" s="1">
        <f>HYPERLINK("https://ec.europa.eu/info/funding-tenders/opportunities/portal/screen/opportunities/topic-details/horizon-cl4-2023-human-01-65", "HORIZON-CL4-2023-HUMAN-01-65")</f>
        <v>0</v>
      </c>
      <c r="Q440" t="s">
        <v>1404</v>
      </c>
    </row>
    <row r="441" spans="1:17">
      <c r="A441">
        <v>45635435</v>
      </c>
      <c r="B441">
        <v>2023</v>
      </c>
      <c r="C441" t="s">
        <v>19</v>
      </c>
      <c r="D441" t="s">
        <v>39</v>
      </c>
      <c r="E441" t="s">
        <v>64</v>
      </c>
      <c r="F441" t="s">
        <v>119</v>
      </c>
      <c r="G441" t="s">
        <v>248</v>
      </c>
      <c r="H441" t="s">
        <v>310</v>
      </c>
      <c r="I441" t="s">
        <v>382</v>
      </c>
      <c r="K441" t="s">
        <v>466</v>
      </c>
      <c r="L441" t="s">
        <v>469</v>
      </c>
      <c r="M441" t="s">
        <v>472</v>
      </c>
      <c r="N441" t="s">
        <v>544</v>
      </c>
      <c r="O441" t="s">
        <v>844</v>
      </c>
      <c r="P441" s="1">
        <f>HYPERLINK("https://ec.europa.eu/info/funding-tenders/opportunities/portal/screen/opportunities/topic-details/horizon-cl4-2023-human-01-66", "HORIZON-CL4-2023-HUMAN-01-66")</f>
        <v>0</v>
      </c>
      <c r="Q441" t="s">
        <v>1405</v>
      </c>
    </row>
    <row r="442" spans="1:17">
      <c r="A442">
        <v>45635476</v>
      </c>
      <c r="B442">
        <v>2023</v>
      </c>
      <c r="C442" t="s">
        <v>19</v>
      </c>
      <c r="D442" t="s">
        <v>39</v>
      </c>
      <c r="E442" t="s">
        <v>64</v>
      </c>
      <c r="F442" t="s">
        <v>119</v>
      </c>
      <c r="G442" t="s">
        <v>248</v>
      </c>
      <c r="H442" t="s">
        <v>310</v>
      </c>
      <c r="I442" t="s">
        <v>382</v>
      </c>
      <c r="K442" t="s">
        <v>466</v>
      </c>
      <c r="L442" t="s">
        <v>469</v>
      </c>
      <c r="M442" t="s">
        <v>472</v>
      </c>
      <c r="N442" t="s">
        <v>544</v>
      </c>
      <c r="O442" t="s">
        <v>844</v>
      </c>
      <c r="P442" s="1">
        <f>HYPERLINK("https://ec.europa.eu/info/funding-tenders/opportunities/portal/screen/opportunities/topic-details/horizon-cl4-2023-human-01-81", "HORIZON-CL4-2023-HUMAN-01-81")</f>
        <v>0</v>
      </c>
      <c r="Q442" t="s">
        <v>1406</v>
      </c>
    </row>
    <row r="443" spans="1:17">
      <c r="A443">
        <v>45636196</v>
      </c>
      <c r="B443">
        <v>2023</v>
      </c>
      <c r="C443" t="s">
        <v>19</v>
      </c>
      <c r="D443" t="s">
        <v>39</v>
      </c>
      <c r="E443" t="s">
        <v>64</v>
      </c>
      <c r="F443" t="s">
        <v>119</v>
      </c>
      <c r="G443" t="s">
        <v>248</v>
      </c>
      <c r="H443" t="s">
        <v>310</v>
      </c>
      <c r="I443" t="s">
        <v>382</v>
      </c>
      <c r="K443" t="s">
        <v>466</v>
      </c>
      <c r="L443" t="s">
        <v>469</v>
      </c>
      <c r="M443" t="s">
        <v>472</v>
      </c>
      <c r="N443" t="s">
        <v>544</v>
      </c>
      <c r="O443" t="s">
        <v>844</v>
      </c>
      <c r="P443" s="1">
        <f>HYPERLINK("https://ec.europa.eu/info/funding-tenders/opportunities/portal/screen/opportunities/topic-details/horizon-cl4-2023-human-01-82", "HORIZON-CL4-2023-HUMAN-01-82")</f>
        <v>0</v>
      </c>
      <c r="Q443" t="s">
        <v>1407</v>
      </c>
    </row>
    <row r="444" spans="1:17">
      <c r="A444">
        <v>45635518</v>
      </c>
      <c r="B444">
        <v>2023</v>
      </c>
      <c r="C444" t="s">
        <v>19</v>
      </c>
      <c r="D444" t="s">
        <v>39</v>
      </c>
      <c r="E444" t="s">
        <v>64</v>
      </c>
      <c r="F444" t="s">
        <v>111</v>
      </c>
      <c r="G444" t="s">
        <v>248</v>
      </c>
      <c r="H444" t="s">
        <v>310</v>
      </c>
      <c r="I444" t="s">
        <v>382</v>
      </c>
      <c r="K444" t="s">
        <v>466</v>
      </c>
      <c r="L444" t="s">
        <v>469</v>
      </c>
      <c r="M444" t="s">
        <v>472</v>
      </c>
      <c r="N444" t="s">
        <v>545</v>
      </c>
      <c r="O444" t="s">
        <v>844</v>
      </c>
      <c r="P444" s="1">
        <f>HYPERLINK("https://ec.europa.eu/info/funding-tenders/opportunities/portal/screen/opportunities/topic-details/horizon-cl4-2023-human-01-91", "HORIZON-CL4-2023-HUMAN-01-91")</f>
        <v>0</v>
      </c>
      <c r="Q444" t="s">
        <v>1408</v>
      </c>
    </row>
    <row r="445" spans="1:17">
      <c r="A445">
        <v>45635545</v>
      </c>
      <c r="B445">
        <v>2023</v>
      </c>
      <c r="C445" t="s">
        <v>19</v>
      </c>
      <c r="D445" t="s">
        <v>39</v>
      </c>
      <c r="E445" t="s">
        <v>64</v>
      </c>
      <c r="F445" t="s">
        <v>111</v>
      </c>
      <c r="G445" t="s">
        <v>248</v>
      </c>
      <c r="H445" t="s">
        <v>310</v>
      </c>
      <c r="I445" t="s">
        <v>382</v>
      </c>
      <c r="K445" t="s">
        <v>466</v>
      </c>
      <c r="L445" t="s">
        <v>469</v>
      </c>
      <c r="M445" t="s">
        <v>472</v>
      </c>
      <c r="N445" t="s">
        <v>545</v>
      </c>
      <c r="O445" t="s">
        <v>844</v>
      </c>
      <c r="P445" s="1">
        <f>HYPERLINK("https://ec.europa.eu/info/funding-tenders/opportunities/portal/screen/opportunities/topic-details/horizon-cl4-2023-human-01-92", "HORIZON-CL4-2023-HUMAN-01-92")</f>
        <v>0</v>
      </c>
      <c r="Q445" t="s">
        <v>1409</v>
      </c>
    </row>
    <row r="446" spans="1:17">
      <c r="A446">
        <v>45635370</v>
      </c>
      <c r="B446">
        <v>2023</v>
      </c>
      <c r="C446" t="s">
        <v>19</v>
      </c>
      <c r="D446" t="s">
        <v>39</v>
      </c>
      <c r="E446" t="s">
        <v>64</v>
      </c>
      <c r="F446" t="s">
        <v>111</v>
      </c>
      <c r="G446" t="s">
        <v>248</v>
      </c>
      <c r="H446" t="s">
        <v>310</v>
      </c>
      <c r="I446" t="s">
        <v>382</v>
      </c>
      <c r="K446" t="s">
        <v>466</v>
      </c>
      <c r="L446" t="s">
        <v>469</v>
      </c>
      <c r="M446" t="s">
        <v>472</v>
      </c>
      <c r="N446" t="s">
        <v>545</v>
      </c>
      <c r="O446" t="s">
        <v>844</v>
      </c>
      <c r="P446" s="1">
        <f>HYPERLINK("https://ec.europa.eu/info/funding-tenders/opportunities/portal/screen/opportunities/topic-details/horizon-cl4-2023-human-01-93", "HORIZON-CL4-2023-HUMAN-01-93")</f>
        <v>0</v>
      </c>
      <c r="Q446" t="s">
        <v>1410</v>
      </c>
    </row>
    <row r="447" spans="1:17">
      <c r="A447">
        <v>45636416</v>
      </c>
      <c r="B447">
        <v>2023</v>
      </c>
      <c r="C447" t="s">
        <v>19</v>
      </c>
      <c r="D447" t="s">
        <v>39</v>
      </c>
      <c r="E447" t="s">
        <v>69</v>
      </c>
      <c r="F447" t="s">
        <v>112</v>
      </c>
      <c r="G447" t="s">
        <v>248</v>
      </c>
      <c r="H447" t="s">
        <v>310</v>
      </c>
      <c r="I447" t="s">
        <v>383</v>
      </c>
      <c r="K447" t="s">
        <v>466</v>
      </c>
      <c r="L447" t="s">
        <v>469</v>
      </c>
      <c r="M447" t="s">
        <v>471</v>
      </c>
      <c r="N447" t="s">
        <v>546</v>
      </c>
      <c r="O447" t="s">
        <v>845</v>
      </c>
      <c r="P447" s="1">
        <f>HYPERLINK("https://ec.europa.eu/info/funding-tenders/opportunities/portal/screen/opportunities/topic-details/horizon-cl4-2023-resilience-01-02", "HORIZON-CL4-2023-RESILIENCE-01-02")</f>
        <v>0</v>
      </c>
      <c r="Q447" t="s">
        <v>1411</v>
      </c>
    </row>
    <row r="448" spans="1:17">
      <c r="A448">
        <v>45636436</v>
      </c>
      <c r="B448">
        <v>2023</v>
      </c>
      <c r="C448" t="s">
        <v>19</v>
      </c>
      <c r="D448" t="s">
        <v>39</v>
      </c>
      <c r="E448" t="s">
        <v>69</v>
      </c>
      <c r="F448" t="s">
        <v>112</v>
      </c>
      <c r="G448" t="s">
        <v>248</v>
      </c>
      <c r="H448" t="s">
        <v>310</v>
      </c>
      <c r="I448" t="s">
        <v>383</v>
      </c>
      <c r="K448" t="s">
        <v>466</v>
      </c>
      <c r="L448" t="s">
        <v>469</v>
      </c>
      <c r="M448" t="s">
        <v>473</v>
      </c>
      <c r="N448" t="s">
        <v>546</v>
      </c>
      <c r="O448" t="s">
        <v>845</v>
      </c>
      <c r="P448" s="1">
        <f>HYPERLINK("https://ec.europa.eu/info/funding-tenders/opportunities/portal/screen/opportunities/topic-details/horizon-cl4-2023-resilience-01-03", "HORIZON-CL4-2023-RESILIENCE-01-03")</f>
        <v>0</v>
      </c>
      <c r="Q448" t="s">
        <v>1412</v>
      </c>
    </row>
    <row r="449" spans="1:17">
      <c r="A449">
        <v>45636457</v>
      </c>
      <c r="B449">
        <v>2023</v>
      </c>
      <c r="C449" t="s">
        <v>19</v>
      </c>
      <c r="D449" t="s">
        <v>39</v>
      </c>
      <c r="E449" t="s">
        <v>69</v>
      </c>
      <c r="F449" t="s">
        <v>112</v>
      </c>
      <c r="G449" t="s">
        <v>248</v>
      </c>
      <c r="H449" t="s">
        <v>310</v>
      </c>
      <c r="I449" t="s">
        <v>383</v>
      </c>
      <c r="K449" t="s">
        <v>466</v>
      </c>
      <c r="L449" t="s">
        <v>469</v>
      </c>
      <c r="M449" t="s">
        <v>473</v>
      </c>
      <c r="N449" t="s">
        <v>546</v>
      </c>
      <c r="O449" t="s">
        <v>845</v>
      </c>
      <c r="P449" s="1">
        <f>HYPERLINK("https://ec.europa.eu/info/funding-tenders/opportunities/portal/screen/opportunities/topic-details/horizon-cl4-2023-resilience-01-05", "HORIZON-CL4-2023-RESILIENCE-01-05")</f>
        <v>0</v>
      </c>
      <c r="Q449" t="s">
        <v>1413</v>
      </c>
    </row>
    <row r="450" spans="1:17">
      <c r="A450">
        <v>45636478</v>
      </c>
      <c r="B450">
        <v>2023</v>
      </c>
      <c r="C450" t="s">
        <v>19</v>
      </c>
      <c r="D450" t="s">
        <v>39</v>
      </c>
      <c r="E450" t="s">
        <v>69</v>
      </c>
      <c r="F450" t="s">
        <v>112</v>
      </c>
      <c r="G450" t="s">
        <v>248</v>
      </c>
      <c r="H450" t="s">
        <v>310</v>
      </c>
      <c r="I450" t="s">
        <v>383</v>
      </c>
      <c r="K450" t="s">
        <v>466</v>
      </c>
      <c r="L450" t="s">
        <v>469</v>
      </c>
      <c r="M450" t="s">
        <v>473</v>
      </c>
      <c r="N450" t="s">
        <v>546</v>
      </c>
      <c r="O450" t="s">
        <v>845</v>
      </c>
      <c r="P450" s="1">
        <f>HYPERLINK("https://ec.europa.eu/info/funding-tenders/opportunities/portal/screen/opportunities/topic-details/horizon-cl4-2023-resilience-01-06", "HORIZON-CL4-2023-RESILIENCE-01-06")</f>
        <v>0</v>
      </c>
      <c r="Q450" t="s">
        <v>1414</v>
      </c>
    </row>
    <row r="451" spans="1:17">
      <c r="A451">
        <v>45636498</v>
      </c>
      <c r="B451">
        <v>2023</v>
      </c>
      <c r="C451" t="s">
        <v>19</v>
      </c>
      <c r="D451" t="s">
        <v>39</v>
      </c>
      <c r="E451" t="s">
        <v>69</v>
      </c>
      <c r="F451" t="s">
        <v>112</v>
      </c>
      <c r="G451" t="s">
        <v>248</v>
      </c>
      <c r="H451" t="s">
        <v>310</v>
      </c>
      <c r="I451" t="s">
        <v>383</v>
      </c>
      <c r="K451" t="s">
        <v>466</v>
      </c>
      <c r="L451" t="s">
        <v>469</v>
      </c>
      <c r="M451" t="s">
        <v>472</v>
      </c>
      <c r="N451" t="s">
        <v>546</v>
      </c>
      <c r="O451" t="s">
        <v>845</v>
      </c>
      <c r="P451" s="1">
        <f>HYPERLINK("https://ec.europa.eu/info/funding-tenders/opportunities/portal/screen/opportunities/topic-details/horizon-cl4-2023-resilience-01-07", "HORIZON-CL4-2023-RESILIENCE-01-07")</f>
        <v>0</v>
      </c>
      <c r="Q451" t="s">
        <v>1415</v>
      </c>
    </row>
    <row r="452" spans="1:17">
      <c r="A452">
        <v>45636522</v>
      </c>
      <c r="B452">
        <v>2023</v>
      </c>
      <c r="C452" t="s">
        <v>19</v>
      </c>
      <c r="D452" t="s">
        <v>39</v>
      </c>
      <c r="E452" t="s">
        <v>69</v>
      </c>
      <c r="F452" t="s">
        <v>112</v>
      </c>
      <c r="G452" t="s">
        <v>248</v>
      </c>
      <c r="H452" t="s">
        <v>310</v>
      </c>
      <c r="I452" t="s">
        <v>383</v>
      </c>
      <c r="K452" t="s">
        <v>466</v>
      </c>
      <c r="L452" t="s">
        <v>469</v>
      </c>
      <c r="M452" t="s">
        <v>473</v>
      </c>
      <c r="N452" t="s">
        <v>546</v>
      </c>
      <c r="O452" t="s">
        <v>845</v>
      </c>
      <c r="P452" s="1">
        <f>HYPERLINK("https://ec.europa.eu/info/funding-tenders/opportunities/portal/screen/opportunities/topic-details/horizon-cl4-2023-resilience-01-09", "HORIZON-CL4-2023-RESILIENCE-01-09")</f>
        <v>0</v>
      </c>
      <c r="Q452" t="s">
        <v>1416</v>
      </c>
    </row>
    <row r="453" spans="1:17">
      <c r="A453">
        <v>45636546</v>
      </c>
      <c r="B453">
        <v>2023</v>
      </c>
      <c r="C453" t="s">
        <v>19</v>
      </c>
      <c r="D453" t="s">
        <v>39</v>
      </c>
      <c r="E453" t="s">
        <v>69</v>
      </c>
      <c r="F453" t="s">
        <v>112</v>
      </c>
      <c r="G453" t="s">
        <v>248</v>
      </c>
      <c r="H453" t="s">
        <v>310</v>
      </c>
      <c r="I453" t="s">
        <v>383</v>
      </c>
      <c r="K453" t="s">
        <v>466</v>
      </c>
      <c r="L453" t="s">
        <v>469</v>
      </c>
      <c r="M453" t="s">
        <v>471</v>
      </c>
      <c r="N453" t="s">
        <v>546</v>
      </c>
      <c r="O453" t="s">
        <v>845</v>
      </c>
      <c r="P453" s="1">
        <f>HYPERLINK("https://ec.europa.eu/info/funding-tenders/opportunities/portal/screen/opportunities/topic-details/horizon-cl4-2023-resilience-01-21", "HORIZON-CL4-2023-RESILIENCE-01-21")</f>
        <v>0</v>
      </c>
      <c r="Q453" t="s">
        <v>1417</v>
      </c>
    </row>
    <row r="454" spans="1:17">
      <c r="A454">
        <v>45636567</v>
      </c>
      <c r="B454">
        <v>2023</v>
      </c>
      <c r="C454" t="s">
        <v>19</v>
      </c>
      <c r="D454" t="s">
        <v>39</v>
      </c>
      <c r="E454" t="s">
        <v>69</v>
      </c>
      <c r="F454" t="s">
        <v>112</v>
      </c>
      <c r="G454" t="s">
        <v>248</v>
      </c>
      <c r="H454" t="s">
        <v>310</v>
      </c>
      <c r="I454" t="s">
        <v>383</v>
      </c>
      <c r="K454" t="s">
        <v>466</v>
      </c>
      <c r="L454" t="s">
        <v>469</v>
      </c>
      <c r="M454" t="s">
        <v>471</v>
      </c>
      <c r="N454" t="s">
        <v>546</v>
      </c>
      <c r="O454" t="s">
        <v>845</v>
      </c>
      <c r="P454" s="1">
        <f>HYPERLINK("https://ec.europa.eu/info/funding-tenders/opportunities/portal/screen/opportunities/topic-details/horizon-cl4-2023-resilience-01-22", "HORIZON-CL4-2023-RESILIENCE-01-22")</f>
        <v>0</v>
      </c>
      <c r="Q454" t="s">
        <v>1418</v>
      </c>
    </row>
    <row r="455" spans="1:17">
      <c r="A455">
        <v>45636589</v>
      </c>
      <c r="B455">
        <v>2023</v>
      </c>
      <c r="C455" t="s">
        <v>19</v>
      </c>
      <c r="D455" t="s">
        <v>39</v>
      </c>
      <c r="E455" t="s">
        <v>69</v>
      </c>
      <c r="F455" t="s">
        <v>112</v>
      </c>
      <c r="G455" t="s">
        <v>248</v>
      </c>
      <c r="H455" t="s">
        <v>310</v>
      </c>
      <c r="I455" t="s">
        <v>383</v>
      </c>
      <c r="K455" t="s">
        <v>466</v>
      </c>
      <c r="L455" t="s">
        <v>469</v>
      </c>
      <c r="M455" t="s">
        <v>471</v>
      </c>
      <c r="N455" t="s">
        <v>546</v>
      </c>
      <c r="O455" t="s">
        <v>845</v>
      </c>
      <c r="P455" s="1">
        <f>HYPERLINK("https://ec.europa.eu/info/funding-tenders/opportunities/portal/screen/opportunities/topic-details/horizon-cl4-2023-resilience-01-23", "HORIZON-CL4-2023-RESILIENCE-01-23")</f>
        <v>0</v>
      </c>
      <c r="Q455" t="s">
        <v>1419</v>
      </c>
    </row>
    <row r="456" spans="1:17">
      <c r="A456">
        <v>45636610</v>
      </c>
      <c r="B456">
        <v>2023</v>
      </c>
      <c r="C456" t="s">
        <v>19</v>
      </c>
      <c r="D456" t="s">
        <v>39</v>
      </c>
      <c r="E456" t="s">
        <v>69</v>
      </c>
      <c r="F456" t="s">
        <v>120</v>
      </c>
      <c r="G456" t="s">
        <v>248</v>
      </c>
      <c r="H456" t="s">
        <v>310</v>
      </c>
      <c r="I456" t="s">
        <v>384</v>
      </c>
      <c r="J456" t="s">
        <v>460</v>
      </c>
      <c r="K456" t="s">
        <v>466</v>
      </c>
      <c r="L456" t="s">
        <v>470</v>
      </c>
      <c r="M456" t="s">
        <v>473</v>
      </c>
      <c r="N456" t="s">
        <v>547</v>
      </c>
      <c r="O456" t="s">
        <v>846</v>
      </c>
      <c r="P456" s="1">
        <f>HYPERLINK("https://ec.europa.eu/info/funding-tenders/opportunities/portal/screen/opportunities/topic-details/horizon-cl4-2023-resilience-01-32", "HORIZON-CL4-2023-RESILIENCE-01-32")</f>
        <v>0</v>
      </c>
      <c r="Q456" t="s">
        <v>1420</v>
      </c>
    </row>
    <row r="457" spans="1:17">
      <c r="A457">
        <v>45636631</v>
      </c>
      <c r="B457">
        <v>2023</v>
      </c>
      <c r="C457" t="s">
        <v>19</v>
      </c>
      <c r="D457" t="s">
        <v>39</v>
      </c>
      <c r="E457" t="s">
        <v>69</v>
      </c>
      <c r="F457" t="s">
        <v>120</v>
      </c>
      <c r="G457" t="s">
        <v>248</v>
      </c>
      <c r="H457" t="s">
        <v>310</v>
      </c>
      <c r="I457" t="s">
        <v>384</v>
      </c>
      <c r="J457" t="s">
        <v>460</v>
      </c>
      <c r="K457" t="s">
        <v>466</v>
      </c>
      <c r="L457" t="s">
        <v>470</v>
      </c>
      <c r="M457" t="s">
        <v>471</v>
      </c>
      <c r="N457" t="s">
        <v>547</v>
      </c>
      <c r="O457" t="s">
        <v>846</v>
      </c>
      <c r="P457" s="1">
        <f>HYPERLINK("https://ec.europa.eu/info/funding-tenders/opportunities/portal/screen/opportunities/topic-details/horizon-cl4-2023-resilience-01-33", "HORIZON-CL4-2023-RESILIENCE-01-33")</f>
        <v>0</v>
      </c>
      <c r="Q457" t="s">
        <v>1421</v>
      </c>
    </row>
    <row r="458" spans="1:17">
      <c r="A458">
        <v>45636651</v>
      </c>
      <c r="B458">
        <v>2023</v>
      </c>
      <c r="C458" t="s">
        <v>19</v>
      </c>
      <c r="D458" t="s">
        <v>39</v>
      </c>
      <c r="E458" t="s">
        <v>69</v>
      </c>
      <c r="F458" t="s">
        <v>120</v>
      </c>
      <c r="G458" t="s">
        <v>248</v>
      </c>
      <c r="H458" t="s">
        <v>310</v>
      </c>
      <c r="I458" t="s">
        <v>384</v>
      </c>
      <c r="J458" t="s">
        <v>460</v>
      </c>
      <c r="K458" t="s">
        <v>466</v>
      </c>
      <c r="L458" t="s">
        <v>470</v>
      </c>
      <c r="M458" t="s">
        <v>471</v>
      </c>
      <c r="N458" t="s">
        <v>547</v>
      </c>
      <c r="O458" t="s">
        <v>846</v>
      </c>
      <c r="P458" s="1">
        <f>HYPERLINK("https://ec.europa.eu/info/funding-tenders/opportunities/portal/screen/opportunities/topic-details/horizon-cl4-2023-resilience-01-34", "HORIZON-CL4-2023-RESILIENCE-01-34")</f>
        <v>0</v>
      </c>
      <c r="Q458" t="s">
        <v>1422</v>
      </c>
    </row>
    <row r="459" spans="1:17">
      <c r="A459">
        <v>45636699</v>
      </c>
      <c r="B459">
        <v>2023</v>
      </c>
      <c r="C459" t="s">
        <v>19</v>
      </c>
      <c r="D459" t="s">
        <v>39</v>
      </c>
      <c r="E459" t="s">
        <v>69</v>
      </c>
      <c r="F459" t="s">
        <v>120</v>
      </c>
      <c r="G459" t="s">
        <v>248</v>
      </c>
      <c r="H459" t="s">
        <v>310</v>
      </c>
      <c r="I459" t="s">
        <v>384</v>
      </c>
      <c r="J459" t="s">
        <v>460</v>
      </c>
      <c r="K459" t="s">
        <v>466</v>
      </c>
      <c r="L459" t="s">
        <v>470</v>
      </c>
      <c r="M459" t="s">
        <v>471</v>
      </c>
      <c r="N459" t="s">
        <v>547</v>
      </c>
      <c r="O459" t="s">
        <v>846</v>
      </c>
      <c r="P459" s="1">
        <f>HYPERLINK("https://ec.europa.eu/info/funding-tenders/opportunities/portal/screen/opportunities/topic-details/horizon-cl4-2023-resilience-01-37", "HORIZON-CL4-2023-RESILIENCE-01-37")</f>
        <v>0</v>
      </c>
      <c r="Q459" t="s">
        <v>1423</v>
      </c>
    </row>
    <row r="460" spans="1:17">
      <c r="A460">
        <v>45636674</v>
      </c>
      <c r="B460">
        <v>2023</v>
      </c>
      <c r="C460" t="s">
        <v>19</v>
      </c>
      <c r="D460" t="s">
        <v>39</v>
      </c>
      <c r="E460" t="s">
        <v>69</v>
      </c>
      <c r="F460" t="s">
        <v>112</v>
      </c>
      <c r="G460" t="s">
        <v>248</v>
      </c>
      <c r="H460" t="s">
        <v>310</v>
      </c>
      <c r="I460" t="s">
        <v>383</v>
      </c>
      <c r="K460" t="s">
        <v>466</v>
      </c>
      <c r="L460" t="s">
        <v>469</v>
      </c>
      <c r="M460" t="s">
        <v>472</v>
      </c>
      <c r="N460" t="s">
        <v>546</v>
      </c>
      <c r="O460" t="s">
        <v>845</v>
      </c>
      <c r="P460" s="1">
        <f>HYPERLINK("https://ec.europa.eu/info/funding-tenders/opportunities/portal/screen/opportunities/topic-details/horizon-cl4-2023-resilience-01-39", "HORIZON-CL4-2023-RESILIENCE-01-39")</f>
        <v>0</v>
      </c>
      <c r="Q460" t="s">
        <v>1424</v>
      </c>
    </row>
    <row r="461" spans="1:17">
      <c r="A461">
        <v>45636718</v>
      </c>
      <c r="B461">
        <v>2023</v>
      </c>
      <c r="C461" t="s">
        <v>19</v>
      </c>
      <c r="D461" t="s">
        <v>39</v>
      </c>
      <c r="E461" t="s">
        <v>64</v>
      </c>
      <c r="F461" t="s">
        <v>112</v>
      </c>
      <c r="G461" t="s">
        <v>248</v>
      </c>
      <c r="H461" t="s">
        <v>310</v>
      </c>
      <c r="I461" t="s">
        <v>383</v>
      </c>
      <c r="K461" t="s">
        <v>466</v>
      </c>
      <c r="L461" t="s">
        <v>469</v>
      </c>
      <c r="M461" t="s">
        <v>472</v>
      </c>
      <c r="N461" t="s">
        <v>546</v>
      </c>
      <c r="O461" t="s">
        <v>845</v>
      </c>
      <c r="P461" s="1">
        <f>HYPERLINK("https://ec.europa.eu/info/funding-tenders/opportunities/portal/screen/opportunities/topic-details/horizon-cl4-2023-resilience-01-42", "HORIZON-CL4-2023-RESILIENCE-01-42")</f>
        <v>0</v>
      </c>
      <c r="Q461" t="s">
        <v>1425</v>
      </c>
    </row>
    <row r="462" spans="1:17">
      <c r="A462">
        <v>45636738</v>
      </c>
      <c r="B462">
        <v>2023</v>
      </c>
      <c r="C462" t="s">
        <v>19</v>
      </c>
      <c r="D462" t="s">
        <v>39</v>
      </c>
      <c r="E462" t="s">
        <v>64</v>
      </c>
      <c r="F462" t="s">
        <v>112</v>
      </c>
      <c r="G462" t="s">
        <v>248</v>
      </c>
      <c r="H462" t="s">
        <v>310</v>
      </c>
      <c r="I462" t="s">
        <v>383</v>
      </c>
      <c r="K462" t="s">
        <v>466</v>
      </c>
      <c r="L462" t="s">
        <v>469</v>
      </c>
      <c r="M462" t="s">
        <v>473</v>
      </c>
      <c r="N462" t="s">
        <v>546</v>
      </c>
      <c r="O462" t="s">
        <v>845</v>
      </c>
      <c r="P462" s="1">
        <f>HYPERLINK("https://ec.europa.eu/info/funding-tenders/opportunities/portal/screen/opportunities/topic-details/horizon-cl4-2023-resilience-01-44", "HORIZON-CL4-2023-RESILIENCE-01-44")</f>
        <v>0</v>
      </c>
      <c r="Q462" t="s">
        <v>1426</v>
      </c>
    </row>
    <row r="463" spans="1:17">
      <c r="A463">
        <v>45637749</v>
      </c>
      <c r="B463">
        <v>2023</v>
      </c>
      <c r="C463" t="s">
        <v>19</v>
      </c>
      <c r="D463" t="s">
        <v>39</v>
      </c>
      <c r="E463" t="s">
        <v>70</v>
      </c>
      <c r="F463" t="s">
        <v>114</v>
      </c>
      <c r="G463" t="s">
        <v>248</v>
      </c>
      <c r="H463" t="s">
        <v>311</v>
      </c>
      <c r="I463" t="s">
        <v>385</v>
      </c>
      <c r="K463" t="s">
        <v>466</v>
      </c>
      <c r="L463" t="s">
        <v>469</v>
      </c>
      <c r="M463" t="s">
        <v>473</v>
      </c>
      <c r="N463" t="s">
        <v>548</v>
      </c>
      <c r="O463" t="s">
        <v>847</v>
      </c>
      <c r="P463" s="1">
        <f>HYPERLINK("https://ec.europa.eu/info/funding-tenders/opportunities/portal/screen/opportunities/topic-details/horizon-cl4-2023-space-01-11", "HORIZON-CL4-2023-SPACE-01-11")</f>
        <v>0</v>
      </c>
      <c r="Q463" t="s">
        <v>1343</v>
      </c>
    </row>
    <row r="464" spans="1:17">
      <c r="A464">
        <v>45637767</v>
      </c>
      <c r="B464">
        <v>2023</v>
      </c>
      <c r="C464" t="s">
        <v>19</v>
      </c>
      <c r="D464" t="s">
        <v>39</v>
      </c>
      <c r="E464" t="s">
        <v>70</v>
      </c>
      <c r="F464" t="s">
        <v>114</v>
      </c>
      <c r="G464" t="s">
        <v>248</v>
      </c>
      <c r="H464" t="s">
        <v>311</v>
      </c>
      <c r="I464" t="s">
        <v>385</v>
      </c>
      <c r="K464" t="s">
        <v>466</v>
      </c>
      <c r="L464" t="s">
        <v>469</v>
      </c>
      <c r="M464" t="s">
        <v>471</v>
      </c>
      <c r="N464" t="s">
        <v>548</v>
      </c>
      <c r="O464" t="s">
        <v>847</v>
      </c>
      <c r="P464" s="1">
        <f>HYPERLINK("https://ec.europa.eu/info/funding-tenders/opportunities/portal/screen/opportunities/topic-details/horizon-cl4-2023-space-01-12", "HORIZON-CL4-2023-SPACE-01-12")</f>
        <v>0</v>
      </c>
      <c r="Q464" t="s">
        <v>1427</v>
      </c>
    </row>
    <row r="465" spans="1:17">
      <c r="A465">
        <v>45637785</v>
      </c>
      <c r="B465">
        <v>2023</v>
      </c>
      <c r="C465" t="s">
        <v>19</v>
      </c>
      <c r="D465" t="s">
        <v>39</v>
      </c>
      <c r="E465" t="s">
        <v>70</v>
      </c>
      <c r="F465" t="s">
        <v>114</v>
      </c>
      <c r="G465" t="s">
        <v>248</v>
      </c>
      <c r="H465" t="s">
        <v>311</v>
      </c>
      <c r="I465" t="s">
        <v>385</v>
      </c>
      <c r="K465" t="s">
        <v>466</v>
      </c>
      <c r="L465" t="s">
        <v>469</v>
      </c>
      <c r="M465" t="s">
        <v>472</v>
      </c>
      <c r="N465" t="s">
        <v>548</v>
      </c>
      <c r="O465" t="s">
        <v>847</v>
      </c>
      <c r="P465" s="1">
        <f>HYPERLINK("https://ec.europa.eu/info/funding-tenders/opportunities/portal/screen/opportunities/topic-details/horizon-cl4-2023-space-01-13", "HORIZON-CL4-2023-SPACE-01-13")</f>
        <v>0</v>
      </c>
      <c r="Q465" t="s">
        <v>1428</v>
      </c>
    </row>
    <row r="466" spans="1:17">
      <c r="A466">
        <v>45637801</v>
      </c>
      <c r="B466">
        <v>2023</v>
      </c>
      <c r="C466" t="s">
        <v>19</v>
      </c>
      <c r="D466" t="s">
        <v>39</v>
      </c>
      <c r="E466" t="s">
        <v>70</v>
      </c>
      <c r="F466" t="s">
        <v>114</v>
      </c>
      <c r="G466" t="s">
        <v>248</v>
      </c>
      <c r="H466" t="s">
        <v>311</v>
      </c>
      <c r="I466" t="s">
        <v>385</v>
      </c>
      <c r="K466" t="s">
        <v>466</v>
      </c>
      <c r="L466" t="s">
        <v>469</v>
      </c>
      <c r="M466" t="s">
        <v>471</v>
      </c>
      <c r="N466" t="s">
        <v>548</v>
      </c>
      <c r="O466" t="s">
        <v>847</v>
      </c>
      <c r="P466" s="1">
        <f>HYPERLINK("https://ec.europa.eu/info/funding-tenders/opportunities/portal/screen/opportunities/topic-details/horizon-cl4-2023-space-01-21", "HORIZON-CL4-2023-SPACE-01-21")</f>
        <v>0</v>
      </c>
      <c r="Q466" t="s">
        <v>1429</v>
      </c>
    </row>
    <row r="467" spans="1:17">
      <c r="A467">
        <v>45637819</v>
      </c>
      <c r="B467">
        <v>2023</v>
      </c>
      <c r="C467" t="s">
        <v>19</v>
      </c>
      <c r="D467" t="s">
        <v>39</v>
      </c>
      <c r="E467" t="s">
        <v>70</v>
      </c>
      <c r="F467" t="s">
        <v>114</v>
      </c>
      <c r="G467" t="s">
        <v>248</v>
      </c>
      <c r="H467" t="s">
        <v>311</v>
      </c>
      <c r="I467" t="s">
        <v>385</v>
      </c>
      <c r="K467" t="s">
        <v>466</v>
      </c>
      <c r="L467" t="s">
        <v>469</v>
      </c>
      <c r="M467" t="s">
        <v>471</v>
      </c>
      <c r="N467" t="s">
        <v>548</v>
      </c>
      <c r="O467" t="s">
        <v>847</v>
      </c>
      <c r="P467" s="1">
        <f>HYPERLINK("https://ec.europa.eu/info/funding-tenders/opportunities/portal/screen/opportunities/topic-details/horizon-cl4-2023-space-01-22", "HORIZON-CL4-2023-SPACE-01-22")</f>
        <v>0</v>
      </c>
      <c r="Q467" t="s">
        <v>1270</v>
      </c>
    </row>
    <row r="468" spans="1:17">
      <c r="A468">
        <v>45637839</v>
      </c>
      <c r="B468">
        <v>2023</v>
      </c>
      <c r="C468" t="s">
        <v>19</v>
      </c>
      <c r="D468" t="s">
        <v>39</v>
      </c>
      <c r="E468" t="s">
        <v>70</v>
      </c>
      <c r="F468" t="s">
        <v>114</v>
      </c>
      <c r="G468" t="s">
        <v>248</v>
      </c>
      <c r="H468" t="s">
        <v>311</v>
      </c>
      <c r="I468" t="s">
        <v>385</v>
      </c>
      <c r="K468" t="s">
        <v>466</v>
      </c>
      <c r="L468" t="s">
        <v>469</v>
      </c>
      <c r="M468" t="s">
        <v>471</v>
      </c>
      <c r="N468" t="s">
        <v>548</v>
      </c>
      <c r="O468" t="s">
        <v>847</v>
      </c>
      <c r="P468" s="1">
        <f>HYPERLINK("https://ec.europa.eu/info/funding-tenders/opportunities/portal/screen/opportunities/topic-details/horizon-cl4-2023-space-01-23", "HORIZON-CL4-2023-SPACE-01-23")</f>
        <v>0</v>
      </c>
      <c r="Q468" t="s">
        <v>1430</v>
      </c>
    </row>
    <row r="469" spans="1:17">
      <c r="A469">
        <v>45637858</v>
      </c>
      <c r="B469">
        <v>2023</v>
      </c>
      <c r="C469" t="s">
        <v>19</v>
      </c>
      <c r="D469" t="s">
        <v>39</v>
      </c>
      <c r="E469" t="s">
        <v>70</v>
      </c>
      <c r="F469" t="s">
        <v>114</v>
      </c>
      <c r="G469" t="s">
        <v>248</v>
      </c>
      <c r="H469" t="s">
        <v>311</v>
      </c>
      <c r="I469" t="s">
        <v>385</v>
      </c>
      <c r="K469" t="s">
        <v>466</v>
      </c>
      <c r="L469" t="s">
        <v>469</v>
      </c>
      <c r="M469" t="s">
        <v>471</v>
      </c>
      <c r="N469" t="s">
        <v>548</v>
      </c>
      <c r="O469" t="s">
        <v>847</v>
      </c>
      <c r="P469" s="1">
        <f>HYPERLINK("https://ec.europa.eu/info/funding-tenders/opportunities/portal/screen/opportunities/topic-details/horizon-cl4-2023-space-01-31", "HORIZON-CL4-2023-SPACE-01-31")</f>
        <v>0</v>
      </c>
      <c r="Q469" t="s">
        <v>1431</v>
      </c>
    </row>
    <row r="470" spans="1:17">
      <c r="A470">
        <v>45637877</v>
      </c>
      <c r="B470">
        <v>2023</v>
      </c>
      <c r="C470" t="s">
        <v>19</v>
      </c>
      <c r="D470" t="s">
        <v>39</v>
      </c>
      <c r="E470" t="s">
        <v>70</v>
      </c>
      <c r="F470" t="s">
        <v>114</v>
      </c>
      <c r="G470" t="s">
        <v>248</v>
      </c>
      <c r="H470" t="s">
        <v>311</v>
      </c>
      <c r="I470" t="s">
        <v>385</v>
      </c>
      <c r="K470" t="s">
        <v>466</v>
      </c>
      <c r="L470" t="s">
        <v>469</v>
      </c>
      <c r="M470" t="s">
        <v>471</v>
      </c>
      <c r="N470" t="s">
        <v>548</v>
      </c>
      <c r="O470" t="s">
        <v>847</v>
      </c>
      <c r="P470" s="1">
        <f>HYPERLINK("https://ec.europa.eu/info/funding-tenders/opportunities/portal/screen/opportunities/topic-details/horizon-cl4-2023-space-01-32", "HORIZON-CL4-2023-SPACE-01-32")</f>
        <v>0</v>
      </c>
      <c r="Q470" t="s">
        <v>1432</v>
      </c>
    </row>
    <row r="471" spans="1:17">
      <c r="A471">
        <v>45637894</v>
      </c>
      <c r="B471">
        <v>2023</v>
      </c>
      <c r="C471" t="s">
        <v>19</v>
      </c>
      <c r="D471" t="s">
        <v>39</v>
      </c>
      <c r="E471" t="s">
        <v>70</v>
      </c>
      <c r="F471" t="s">
        <v>114</v>
      </c>
      <c r="G471" t="s">
        <v>248</v>
      </c>
      <c r="H471" t="s">
        <v>311</v>
      </c>
      <c r="I471" t="s">
        <v>385</v>
      </c>
      <c r="K471" t="s">
        <v>466</v>
      </c>
      <c r="L471" t="s">
        <v>469</v>
      </c>
      <c r="M471" t="s">
        <v>471</v>
      </c>
      <c r="N471" t="s">
        <v>548</v>
      </c>
      <c r="O471" t="s">
        <v>847</v>
      </c>
      <c r="P471" s="1">
        <f>HYPERLINK("https://ec.europa.eu/info/funding-tenders/opportunities/portal/screen/opportunities/topic-details/horizon-cl4-2023-space-01-33", "HORIZON-CL4-2023-SPACE-01-33")</f>
        <v>0</v>
      </c>
      <c r="Q471" t="s">
        <v>1433</v>
      </c>
    </row>
    <row r="472" spans="1:17">
      <c r="A472">
        <v>45637910</v>
      </c>
      <c r="B472">
        <v>2023</v>
      </c>
      <c r="C472" t="s">
        <v>19</v>
      </c>
      <c r="D472" t="s">
        <v>39</v>
      </c>
      <c r="E472" t="s">
        <v>70</v>
      </c>
      <c r="F472" t="s">
        <v>114</v>
      </c>
      <c r="G472" t="s">
        <v>248</v>
      </c>
      <c r="H472" t="s">
        <v>311</v>
      </c>
      <c r="I472" t="s">
        <v>385</v>
      </c>
      <c r="K472" t="s">
        <v>466</v>
      </c>
      <c r="L472" t="s">
        <v>469</v>
      </c>
      <c r="M472" t="s">
        <v>471</v>
      </c>
      <c r="N472" t="s">
        <v>548</v>
      </c>
      <c r="O472" t="s">
        <v>847</v>
      </c>
      <c r="P472" s="1">
        <f>HYPERLINK("https://ec.europa.eu/info/funding-tenders/opportunities/portal/screen/opportunities/topic-details/horizon-cl4-2023-space-01-34", "HORIZON-CL4-2023-SPACE-01-34")</f>
        <v>0</v>
      </c>
      <c r="Q472" t="s">
        <v>1434</v>
      </c>
    </row>
    <row r="473" spans="1:17">
      <c r="A473">
        <v>45637931</v>
      </c>
      <c r="B473">
        <v>2023</v>
      </c>
      <c r="C473" t="s">
        <v>19</v>
      </c>
      <c r="D473" t="s">
        <v>39</v>
      </c>
      <c r="E473" t="s">
        <v>70</v>
      </c>
      <c r="F473" t="s">
        <v>114</v>
      </c>
      <c r="G473" t="s">
        <v>248</v>
      </c>
      <c r="H473" t="s">
        <v>311</v>
      </c>
      <c r="I473" t="s">
        <v>385</v>
      </c>
      <c r="K473" t="s">
        <v>466</v>
      </c>
      <c r="L473" t="s">
        <v>469</v>
      </c>
      <c r="M473" t="s">
        <v>471</v>
      </c>
      <c r="N473" t="s">
        <v>548</v>
      </c>
      <c r="O473" t="s">
        <v>847</v>
      </c>
      <c r="P473" s="1">
        <f>HYPERLINK("https://ec.europa.eu/info/funding-tenders/opportunities/portal/screen/opportunities/topic-details/horizon-cl4-2023-space-01-62", "HORIZON-CL4-2023-SPACE-01-62")</f>
        <v>0</v>
      </c>
      <c r="Q473" t="s">
        <v>1435</v>
      </c>
    </row>
    <row r="474" spans="1:17">
      <c r="A474">
        <v>45637950</v>
      </c>
      <c r="B474">
        <v>2023</v>
      </c>
      <c r="C474" t="s">
        <v>19</v>
      </c>
      <c r="D474" t="s">
        <v>39</v>
      </c>
      <c r="E474" t="s">
        <v>70</v>
      </c>
      <c r="F474" t="s">
        <v>114</v>
      </c>
      <c r="G474" t="s">
        <v>248</v>
      </c>
      <c r="H474" t="s">
        <v>311</v>
      </c>
      <c r="I474" t="s">
        <v>385</v>
      </c>
      <c r="K474" t="s">
        <v>466</v>
      </c>
      <c r="L474" t="s">
        <v>469</v>
      </c>
      <c r="M474" t="s">
        <v>471</v>
      </c>
      <c r="N474" t="s">
        <v>548</v>
      </c>
      <c r="O474" t="s">
        <v>847</v>
      </c>
      <c r="P474" s="1">
        <f>HYPERLINK("https://ec.europa.eu/info/funding-tenders/opportunities/portal/screen/opportunities/topic-details/horizon-cl4-2023-space-01-63", "HORIZON-CL4-2023-SPACE-01-63")</f>
        <v>0</v>
      </c>
      <c r="Q474" t="s">
        <v>1436</v>
      </c>
    </row>
    <row r="475" spans="1:17">
      <c r="A475">
        <v>45637968</v>
      </c>
      <c r="B475">
        <v>2023</v>
      </c>
      <c r="C475" t="s">
        <v>19</v>
      </c>
      <c r="D475" t="s">
        <v>39</v>
      </c>
      <c r="E475" t="s">
        <v>70</v>
      </c>
      <c r="F475" t="s">
        <v>114</v>
      </c>
      <c r="G475" t="s">
        <v>248</v>
      </c>
      <c r="H475" t="s">
        <v>311</v>
      </c>
      <c r="I475" t="s">
        <v>385</v>
      </c>
      <c r="K475" t="s">
        <v>466</v>
      </c>
      <c r="L475" t="s">
        <v>469</v>
      </c>
      <c r="M475" t="s">
        <v>471</v>
      </c>
      <c r="N475" t="s">
        <v>548</v>
      </c>
      <c r="O475" t="s">
        <v>847</v>
      </c>
      <c r="P475" s="1">
        <f>HYPERLINK("https://ec.europa.eu/info/funding-tenders/opportunities/portal/screen/opportunities/topic-details/horizon-cl4-2023-space-01-71", "HORIZON-CL4-2023-SPACE-01-71")</f>
        <v>0</v>
      </c>
      <c r="Q475" t="s">
        <v>1437</v>
      </c>
    </row>
    <row r="476" spans="1:17">
      <c r="A476">
        <v>45637989</v>
      </c>
      <c r="B476">
        <v>2023</v>
      </c>
      <c r="C476" t="s">
        <v>19</v>
      </c>
      <c r="D476" t="s">
        <v>39</v>
      </c>
      <c r="E476" t="s">
        <v>70</v>
      </c>
      <c r="F476" t="s">
        <v>114</v>
      </c>
      <c r="G476" t="s">
        <v>248</v>
      </c>
      <c r="H476" t="s">
        <v>311</v>
      </c>
      <c r="I476" t="s">
        <v>385</v>
      </c>
      <c r="K476" t="s">
        <v>466</v>
      </c>
      <c r="L476" t="s">
        <v>469</v>
      </c>
      <c r="M476" t="s">
        <v>471</v>
      </c>
      <c r="N476" t="s">
        <v>548</v>
      </c>
      <c r="O476" t="s">
        <v>847</v>
      </c>
      <c r="P476" s="1">
        <f>HYPERLINK("https://ec.europa.eu/info/funding-tenders/opportunities/portal/screen/opportunities/topic-details/horizon-cl4-2023-space-01-72", "HORIZON-CL4-2023-SPACE-01-72")</f>
        <v>0</v>
      </c>
      <c r="Q476" t="s">
        <v>1276</v>
      </c>
    </row>
    <row r="477" spans="1:17">
      <c r="A477">
        <v>45637184</v>
      </c>
      <c r="B477">
        <v>2023</v>
      </c>
      <c r="C477" t="s">
        <v>19</v>
      </c>
      <c r="D477" t="s">
        <v>39</v>
      </c>
      <c r="E477" t="s">
        <v>67</v>
      </c>
      <c r="F477" t="s">
        <v>115</v>
      </c>
      <c r="G477" t="s">
        <v>248</v>
      </c>
      <c r="H477" t="s">
        <v>310</v>
      </c>
      <c r="I477" t="s">
        <v>383</v>
      </c>
      <c r="K477" t="s">
        <v>466</v>
      </c>
      <c r="L477" t="s">
        <v>469</v>
      </c>
      <c r="M477" t="s">
        <v>473</v>
      </c>
      <c r="N477" t="s">
        <v>549</v>
      </c>
      <c r="O477" t="s">
        <v>848</v>
      </c>
      <c r="P477" s="1">
        <f>HYPERLINK("https://ec.europa.eu/info/funding-tenders/opportunities/portal/screen/opportunities/topic-details/horizon-cl4-2023-twin-transition-01-02", "HORIZON-CL4-2023-TWIN-TRANSITION-01-02")</f>
        <v>0</v>
      </c>
      <c r="Q477" t="s">
        <v>1438</v>
      </c>
    </row>
    <row r="478" spans="1:17">
      <c r="A478">
        <v>45637215</v>
      </c>
      <c r="B478">
        <v>2023</v>
      </c>
      <c r="C478" t="s">
        <v>19</v>
      </c>
      <c r="D478" t="s">
        <v>39</v>
      </c>
      <c r="E478" t="s">
        <v>67</v>
      </c>
      <c r="F478" t="s">
        <v>115</v>
      </c>
      <c r="G478" t="s">
        <v>248</v>
      </c>
      <c r="H478" t="s">
        <v>310</v>
      </c>
      <c r="I478" t="s">
        <v>383</v>
      </c>
      <c r="K478" t="s">
        <v>466</v>
      </c>
      <c r="L478" t="s">
        <v>469</v>
      </c>
      <c r="M478" t="s">
        <v>473</v>
      </c>
      <c r="N478" t="s">
        <v>549</v>
      </c>
      <c r="O478" t="s">
        <v>848</v>
      </c>
      <c r="P478" s="1">
        <f>HYPERLINK("https://ec.europa.eu/info/funding-tenders/opportunities/portal/screen/opportunities/topic-details/horizon-cl4-2023-twin-transition-01-04", "HORIZON-CL4-2023-TWIN-TRANSITION-01-04")</f>
        <v>0</v>
      </c>
      <c r="Q478" t="s">
        <v>1439</v>
      </c>
    </row>
    <row r="479" spans="1:17">
      <c r="A479">
        <v>45636965</v>
      </c>
      <c r="B479">
        <v>2023</v>
      </c>
      <c r="C479" t="s">
        <v>19</v>
      </c>
      <c r="D479" t="s">
        <v>39</v>
      </c>
      <c r="E479" t="s">
        <v>67</v>
      </c>
      <c r="F479" t="s">
        <v>115</v>
      </c>
      <c r="G479" t="s">
        <v>248</v>
      </c>
      <c r="H479" t="s">
        <v>310</v>
      </c>
      <c r="I479" t="s">
        <v>383</v>
      </c>
      <c r="K479" t="s">
        <v>466</v>
      </c>
      <c r="L479" t="s">
        <v>469</v>
      </c>
      <c r="M479" t="s">
        <v>471</v>
      </c>
      <c r="N479" t="s">
        <v>549</v>
      </c>
      <c r="O479" t="s">
        <v>848</v>
      </c>
      <c r="P479" s="1">
        <f>HYPERLINK("https://ec.europa.eu/info/funding-tenders/opportunities/portal/screen/opportunities/topic-details/horizon-cl4-2023-twin-transition-01-07", "HORIZON-CL4-2023-TWIN-TRANSITION-01-07")</f>
        <v>0</v>
      </c>
      <c r="Q479" t="s">
        <v>1440</v>
      </c>
    </row>
    <row r="480" spans="1:17">
      <c r="A480">
        <v>45636992</v>
      </c>
      <c r="B480">
        <v>2023</v>
      </c>
      <c r="C480" t="s">
        <v>19</v>
      </c>
      <c r="D480" t="s">
        <v>39</v>
      </c>
      <c r="E480" t="s">
        <v>67</v>
      </c>
      <c r="F480" t="s">
        <v>115</v>
      </c>
      <c r="G480" t="s">
        <v>248</v>
      </c>
      <c r="H480" t="s">
        <v>310</v>
      </c>
      <c r="I480" t="s">
        <v>383</v>
      </c>
      <c r="K480" t="s">
        <v>466</v>
      </c>
      <c r="L480" t="s">
        <v>469</v>
      </c>
      <c r="M480" t="s">
        <v>472</v>
      </c>
      <c r="N480" t="s">
        <v>549</v>
      </c>
      <c r="O480" t="s">
        <v>848</v>
      </c>
      <c r="P480" s="1">
        <f>HYPERLINK("https://ec.europa.eu/info/funding-tenders/opportunities/portal/screen/opportunities/topic-details/horizon-cl4-2023-twin-transition-01-08", "HORIZON-CL4-2023-TWIN-TRANSITION-01-08")</f>
        <v>0</v>
      </c>
      <c r="Q480" t="s">
        <v>1441</v>
      </c>
    </row>
    <row r="481" spans="1:17">
      <c r="A481">
        <v>45636863</v>
      </c>
      <c r="B481">
        <v>2023</v>
      </c>
      <c r="C481" t="s">
        <v>19</v>
      </c>
      <c r="D481" t="s">
        <v>39</v>
      </c>
      <c r="E481" t="s">
        <v>67</v>
      </c>
      <c r="F481" t="s">
        <v>121</v>
      </c>
      <c r="G481" t="s">
        <v>248</v>
      </c>
      <c r="H481" t="s">
        <v>310</v>
      </c>
      <c r="I481" t="s">
        <v>384</v>
      </c>
      <c r="J481" t="s">
        <v>460</v>
      </c>
      <c r="K481" t="s">
        <v>466</v>
      </c>
      <c r="L481" t="s">
        <v>470</v>
      </c>
      <c r="M481" t="s">
        <v>471</v>
      </c>
      <c r="N481" t="s">
        <v>550</v>
      </c>
      <c r="O481" t="s">
        <v>849</v>
      </c>
      <c r="P481" s="1">
        <f>HYPERLINK("https://ec.europa.eu/info/funding-tenders/opportunities/portal/screen/opportunities/topic-details/horizon-cl4-2023-twin-transition-01-11", "HORIZON-CL4-2023-TWIN-TRANSITION-01-11")</f>
        <v>0</v>
      </c>
      <c r="Q481" t="s">
        <v>1442</v>
      </c>
    </row>
    <row r="482" spans="1:17">
      <c r="A482">
        <v>45637123</v>
      </c>
      <c r="B482">
        <v>2023</v>
      </c>
      <c r="C482" t="s">
        <v>19</v>
      </c>
      <c r="D482" t="s">
        <v>39</v>
      </c>
      <c r="E482" t="s">
        <v>75</v>
      </c>
      <c r="F482" t="s">
        <v>115</v>
      </c>
      <c r="G482" t="s">
        <v>248</v>
      </c>
      <c r="H482" t="s">
        <v>310</v>
      </c>
      <c r="I482" t="s">
        <v>383</v>
      </c>
      <c r="K482" t="s">
        <v>466</v>
      </c>
      <c r="L482" t="s">
        <v>469</v>
      </c>
      <c r="M482" t="s">
        <v>471</v>
      </c>
      <c r="N482" t="s">
        <v>549</v>
      </c>
      <c r="O482" t="s">
        <v>848</v>
      </c>
      <c r="P482" s="1">
        <f>HYPERLINK("https://ec.europa.eu/info/funding-tenders/opportunities/portal/screen/opportunities/topic-details/horizon-cl4-2023-twin-transition-01-31", "HORIZON-CL4-2023-TWIN-TRANSITION-01-31")</f>
        <v>0</v>
      </c>
      <c r="Q482" t="s">
        <v>1443</v>
      </c>
    </row>
    <row r="483" spans="1:17">
      <c r="A483">
        <v>45637142</v>
      </c>
      <c r="B483">
        <v>2023</v>
      </c>
      <c r="C483" t="s">
        <v>19</v>
      </c>
      <c r="D483" t="s">
        <v>39</v>
      </c>
      <c r="E483" t="s">
        <v>75</v>
      </c>
      <c r="F483" t="s">
        <v>115</v>
      </c>
      <c r="G483" t="s">
        <v>248</v>
      </c>
      <c r="H483" t="s">
        <v>310</v>
      </c>
      <c r="I483" t="s">
        <v>383</v>
      </c>
      <c r="K483" t="s">
        <v>466</v>
      </c>
      <c r="L483" t="s">
        <v>469</v>
      </c>
      <c r="M483" t="s">
        <v>473</v>
      </c>
      <c r="N483" t="s">
        <v>549</v>
      </c>
      <c r="O483" t="s">
        <v>848</v>
      </c>
      <c r="P483" s="1">
        <f>HYPERLINK("https://ec.europa.eu/info/funding-tenders/opportunities/portal/screen/opportunities/topic-details/horizon-cl4-2023-twin-transition-01-33", "HORIZON-CL4-2023-TWIN-TRANSITION-01-33")</f>
        <v>0</v>
      </c>
      <c r="Q483" t="s">
        <v>1444</v>
      </c>
    </row>
    <row r="484" spans="1:17">
      <c r="A484">
        <v>45637161</v>
      </c>
      <c r="B484">
        <v>2023</v>
      </c>
      <c r="C484" t="s">
        <v>19</v>
      </c>
      <c r="D484" t="s">
        <v>39</v>
      </c>
      <c r="E484" t="s">
        <v>75</v>
      </c>
      <c r="F484" t="s">
        <v>115</v>
      </c>
      <c r="G484" t="s">
        <v>248</v>
      </c>
      <c r="H484" t="s">
        <v>310</v>
      </c>
      <c r="I484" t="s">
        <v>383</v>
      </c>
      <c r="K484" t="s">
        <v>466</v>
      </c>
      <c r="L484" t="s">
        <v>469</v>
      </c>
      <c r="M484" t="s">
        <v>471</v>
      </c>
      <c r="N484" t="s">
        <v>549</v>
      </c>
      <c r="O484" t="s">
        <v>848</v>
      </c>
      <c r="P484" s="1">
        <f>HYPERLINK("https://ec.europa.eu/info/funding-tenders/opportunities/portal/screen/opportunities/topic-details/horizon-cl4-2023-twin-transition-01-36", "HORIZON-CL4-2023-TWIN-TRANSITION-01-36")</f>
        <v>0</v>
      </c>
      <c r="Q484" t="s">
        <v>1445</v>
      </c>
    </row>
    <row r="485" spans="1:17">
      <c r="A485">
        <v>45637018</v>
      </c>
      <c r="B485">
        <v>2023</v>
      </c>
      <c r="C485" t="s">
        <v>19</v>
      </c>
      <c r="D485" t="s">
        <v>39</v>
      </c>
      <c r="E485" t="s">
        <v>68</v>
      </c>
      <c r="F485" t="s">
        <v>115</v>
      </c>
      <c r="G485" t="s">
        <v>248</v>
      </c>
      <c r="H485" t="s">
        <v>310</v>
      </c>
      <c r="I485" t="s">
        <v>383</v>
      </c>
      <c r="K485" t="s">
        <v>466</v>
      </c>
      <c r="L485" t="s">
        <v>469</v>
      </c>
      <c r="M485" t="s">
        <v>473</v>
      </c>
      <c r="N485" t="s">
        <v>549</v>
      </c>
      <c r="O485" t="s">
        <v>848</v>
      </c>
      <c r="P485" s="1">
        <f>HYPERLINK("https://ec.europa.eu/info/funding-tenders/opportunities/portal/screen/opportunities/topic-details/horizon-cl4-2023-twin-transition-01-37", "HORIZON-CL4-2023-TWIN-TRANSITION-01-37")</f>
        <v>0</v>
      </c>
      <c r="Q485" t="s">
        <v>1446</v>
      </c>
    </row>
    <row r="486" spans="1:17">
      <c r="A486">
        <v>45637040</v>
      </c>
      <c r="B486">
        <v>2023</v>
      </c>
      <c r="C486" t="s">
        <v>19</v>
      </c>
      <c r="D486" t="s">
        <v>39</v>
      </c>
      <c r="E486" t="s">
        <v>75</v>
      </c>
      <c r="F486" t="s">
        <v>115</v>
      </c>
      <c r="G486" t="s">
        <v>248</v>
      </c>
      <c r="H486" t="s">
        <v>310</v>
      </c>
      <c r="I486" t="s">
        <v>383</v>
      </c>
      <c r="K486" t="s">
        <v>466</v>
      </c>
      <c r="L486" t="s">
        <v>469</v>
      </c>
      <c r="M486" t="s">
        <v>471</v>
      </c>
      <c r="N486" t="s">
        <v>549</v>
      </c>
      <c r="O486" t="s">
        <v>848</v>
      </c>
      <c r="P486" s="1">
        <f>HYPERLINK("https://ec.europa.eu/info/funding-tenders/opportunities/portal/screen/opportunities/topic-details/horizon-cl4-2023-twin-transition-01-40", "HORIZON-CL4-2023-TWIN-TRANSITION-01-40")</f>
        <v>0</v>
      </c>
      <c r="Q486" t="s">
        <v>1447</v>
      </c>
    </row>
    <row r="487" spans="1:17">
      <c r="A487">
        <v>45637062</v>
      </c>
      <c r="B487">
        <v>2023</v>
      </c>
      <c r="C487" t="s">
        <v>19</v>
      </c>
      <c r="D487" t="s">
        <v>39</v>
      </c>
      <c r="E487" t="s">
        <v>75</v>
      </c>
      <c r="F487" t="s">
        <v>115</v>
      </c>
      <c r="G487" t="s">
        <v>248</v>
      </c>
      <c r="H487" t="s">
        <v>310</v>
      </c>
      <c r="I487" t="s">
        <v>383</v>
      </c>
      <c r="K487" t="s">
        <v>466</v>
      </c>
      <c r="L487" t="s">
        <v>469</v>
      </c>
      <c r="M487" t="s">
        <v>471</v>
      </c>
      <c r="N487" t="s">
        <v>549</v>
      </c>
      <c r="O487" t="s">
        <v>848</v>
      </c>
      <c r="P487" s="1">
        <f>HYPERLINK("https://ec.europa.eu/info/funding-tenders/opportunities/portal/screen/opportunities/topic-details/horizon-cl4-2023-twin-transition-01-42", "HORIZON-CL4-2023-TWIN-TRANSITION-01-42")</f>
        <v>0</v>
      </c>
      <c r="Q487" t="s">
        <v>1448</v>
      </c>
    </row>
    <row r="488" spans="1:17">
      <c r="A488">
        <v>45637085</v>
      </c>
      <c r="B488">
        <v>2023</v>
      </c>
      <c r="C488" t="s">
        <v>19</v>
      </c>
      <c r="D488" t="s">
        <v>39</v>
      </c>
      <c r="E488" t="s">
        <v>75</v>
      </c>
      <c r="F488" t="s">
        <v>115</v>
      </c>
      <c r="G488" t="s">
        <v>248</v>
      </c>
      <c r="H488" t="s">
        <v>310</v>
      </c>
      <c r="I488" t="s">
        <v>383</v>
      </c>
      <c r="K488" t="s">
        <v>466</v>
      </c>
      <c r="L488" t="s">
        <v>469</v>
      </c>
      <c r="M488" t="s">
        <v>473</v>
      </c>
      <c r="N488" t="s">
        <v>549</v>
      </c>
      <c r="O488" t="s">
        <v>848</v>
      </c>
      <c r="P488" s="1">
        <f>HYPERLINK("https://ec.europa.eu/info/funding-tenders/opportunities/portal/screen/opportunities/topic-details/horizon-cl4-2023-twin-transition-01-43", "HORIZON-CL4-2023-TWIN-TRANSITION-01-43")</f>
        <v>0</v>
      </c>
      <c r="Q488" t="s">
        <v>1449</v>
      </c>
    </row>
    <row r="489" spans="1:17">
      <c r="A489">
        <v>45637104</v>
      </c>
      <c r="B489">
        <v>2023</v>
      </c>
      <c r="C489" t="s">
        <v>19</v>
      </c>
      <c r="D489" t="s">
        <v>39</v>
      </c>
      <c r="E489" t="s">
        <v>75</v>
      </c>
      <c r="F489" t="s">
        <v>115</v>
      </c>
      <c r="G489" t="s">
        <v>248</v>
      </c>
      <c r="H489" t="s">
        <v>310</v>
      </c>
      <c r="I489" t="s">
        <v>383</v>
      </c>
      <c r="K489" t="s">
        <v>466</v>
      </c>
      <c r="L489" t="s">
        <v>469</v>
      </c>
      <c r="M489" t="s">
        <v>471</v>
      </c>
      <c r="N489" t="s">
        <v>549</v>
      </c>
      <c r="O489" t="s">
        <v>848</v>
      </c>
      <c r="P489" s="1">
        <f>HYPERLINK("https://ec.europa.eu/info/funding-tenders/opportunities/portal/screen/opportunities/topic-details/horizon-cl4-2023-twin-transition-01-45", "HORIZON-CL4-2023-TWIN-TRANSITION-01-45")</f>
        <v>0</v>
      </c>
      <c r="Q489" t="s">
        <v>1450</v>
      </c>
    </row>
    <row r="490" spans="1:17">
      <c r="A490">
        <v>45703758</v>
      </c>
      <c r="B490">
        <v>2024</v>
      </c>
      <c r="C490" t="s">
        <v>19</v>
      </c>
      <c r="D490" t="s">
        <v>39</v>
      </c>
      <c r="E490" t="s">
        <v>65</v>
      </c>
      <c r="F490" t="s">
        <v>108</v>
      </c>
      <c r="G490" t="s">
        <v>248</v>
      </c>
      <c r="H490" t="s">
        <v>312</v>
      </c>
      <c r="I490" t="s">
        <v>386</v>
      </c>
      <c r="K490" t="s">
        <v>466</v>
      </c>
      <c r="L490" t="s">
        <v>469</v>
      </c>
      <c r="M490" t="s">
        <v>473</v>
      </c>
      <c r="N490" t="s">
        <v>551</v>
      </c>
      <c r="O490" t="s">
        <v>842</v>
      </c>
      <c r="P490" s="1">
        <f>HYPERLINK("https://ec.europa.eu/info/funding-tenders/opportunities/portal/screen/opportunities/topic-details/horizon-cl4-2024-data-01-01", "HORIZON-CL4-2024-DATA-01-01")</f>
        <v>0</v>
      </c>
      <c r="Q490" t="s">
        <v>1451</v>
      </c>
    </row>
    <row r="491" spans="1:17">
      <c r="A491">
        <v>45703720</v>
      </c>
      <c r="B491">
        <v>2024</v>
      </c>
      <c r="C491" t="s">
        <v>19</v>
      </c>
      <c r="D491" t="s">
        <v>39</v>
      </c>
      <c r="E491" t="s">
        <v>63</v>
      </c>
      <c r="F491" t="s">
        <v>108</v>
      </c>
      <c r="G491" t="s">
        <v>248</v>
      </c>
      <c r="H491" t="s">
        <v>312</v>
      </c>
      <c r="I491" t="s">
        <v>386</v>
      </c>
      <c r="K491" t="s">
        <v>466</v>
      </c>
      <c r="L491" t="s">
        <v>469</v>
      </c>
      <c r="M491" t="s">
        <v>473</v>
      </c>
      <c r="N491" t="s">
        <v>551</v>
      </c>
      <c r="O491" t="s">
        <v>842</v>
      </c>
      <c r="P491" s="1">
        <f>HYPERLINK("https://ec.europa.eu/info/funding-tenders/opportunities/portal/screen/opportunities/topic-details/horizon-cl4-2024-data-01-03", "HORIZON-CL4-2024-DATA-01-03")</f>
        <v>0</v>
      </c>
      <c r="Q491" t="s">
        <v>1452</v>
      </c>
    </row>
    <row r="492" spans="1:17">
      <c r="A492">
        <v>45703687</v>
      </c>
      <c r="B492">
        <v>2024</v>
      </c>
      <c r="C492" t="s">
        <v>19</v>
      </c>
      <c r="D492" t="s">
        <v>39</v>
      </c>
      <c r="E492" t="s">
        <v>63</v>
      </c>
      <c r="F492" t="s">
        <v>108</v>
      </c>
      <c r="G492" t="s">
        <v>248</v>
      </c>
      <c r="H492" t="s">
        <v>312</v>
      </c>
      <c r="I492" t="s">
        <v>386</v>
      </c>
      <c r="K492" t="s">
        <v>466</v>
      </c>
      <c r="L492" t="s">
        <v>469</v>
      </c>
      <c r="M492" t="s">
        <v>472</v>
      </c>
      <c r="N492" t="s">
        <v>551</v>
      </c>
      <c r="O492" t="s">
        <v>842</v>
      </c>
      <c r="P492" s="1">
        <f>HYPERLINK("https://ec.europa.eu/info/funding-tenders/opportunities/portal/screen/opportunities/topic-details/horizon-cl4-2024-data-01-05", "HORIZON-CL4-2024-DATA-01-05")</f>
        <v>0</v>
      </c>
      <c r="Q492" t="s">
        <v>1453</v>
      </c>
    </row>
    <row r="493" spans="1:17">
      <c r="A493">
        <v>45704198</v>
      </c>
      <c r="B493">
        <v>2024</v>
      </c>
      <c r="C493" t="s">
        <v>19</v>
      </c>
      <c r="D493" t="s">
        <v>39</v>
      </c>
      <c r="E493" t="s">
        <v>65</v>
      </c>
      <c r="F493" t="s">
        <v>109</v>
      </c>
      <c r="G493" t="s">
        <v>248</v>
      </c>
      <c r="H493" t="s">
        <v>312</v>
      </c>
      <c r="I493" t="s">
        <v>386</v>
      </c>
      <c r="K493" t="s">
        <v>466</v>
      </c>
      <c r="L493" t="s">
        <v>469</v>
      </c>
      <c r="M493" t="s">
        <v>471</v>
      </c>
      <c r="N493" t="s">
        <v>552</v>
      </c>
      <c r="O493" t="s">
        <v>843</v>
      </c>
      <c r="P493" s="1">
        <f>HYPERLINK("https://ec.europa.eu/info/funding-tenders/opportunities/portal/screen/opportunities/topic-details/horizon-cl4-2024-digital-emerging-01-03", "HORIZON-CL4-2024-DIGITAL-EMERGING-01-03")</f>
        <v>0</v>
      </c>
      <c r="Q493" t="s">
        <v>1454</v>
      </c>
    </row>
    <row r="494" spans="1:17">
      <c r="A494">
        <v>45704318</v>
      </c>
      <c r="B494">
        <v>2024</v>
      </c>
      <c r="C494" t="s">
        <v>19</v>
      </c>
      <c r="D494" t="s">
        <v>39</v>
      </c>
      <c r="E494" t="s">
        <v>65</v>
      </c>
      <c r="F494" t="s">
        <v>109</v>
      </c>
      <c r="G494" t="s">
        <v>248</v>
      </c>
      <c r="H494" t="s">
        <v>312</v>
      </c>
      <c r="I494" t="s">
        <v>386</v>
      </c>
      <c r="K494" t="s">
        <v>466</v>
      </c>
      <c r="L494" t="s">
        <v>469</v>
      </c>
      <c r="M494" t="s">
        <v>473</v>
      </c>
      <c r="N494" t="s">
        <v>552</v>
      </c>
      <c r="O494" t="s">
        <v>843</v>
      </c>
      <c r="P494" s="1">
        <f>HYPERLINK("https://ec.europa.eu/info/funding-tenders/opportunities/portal/screen/opportunities/topic-details/horizon-cl4-2024-digital-emerging-01-04", "HORIZON-CL4-2024-DIGITAL-EMERGING-01-04")</f>
        <v>0</v>
      </c>
      <c r="Q494" t="s">
        <v>1455</v>
      </c>
    </row>
    <row r="495" spans="1:17">
      <c r="A495">
        <v>45704121</v>
      </c>
      <c r="B495">
        <v>2024</v>
      </c>
      <c r="C495" t="s">
        <v>19</v>
      </c>
      <c r="D495" t="s">
        <v>39</v>
      </c>
      <c r="E495" t="s">
        <v>64</v>
      </c>
      <c r="F495" t="s">
        <v>118</v>
      </c>
      <c r="G495" t="s">
        <v>248</v>
      </c>
      <c r="H495" t="s">
        <v>312</v>
      </c>
      <c r="I495" t="s">
        <v>386</v>
      </c>
      <c r="K495" t="s">
        <v>466</v>
      </c>
      <c r="L495" t="s">
        <v>469</v>
      </c>
      <c r="M495" t="s">
        <v>471</v>
      </c>
      <c r="N495" t="s">
        <v>553</v>
      </c>
      <c r="O495" t="s">
        <v>843</v>
      </c>
      <c r="P495" s="1">
        <f>HYPERLINK("https://ec.europa.eu/info/funding-tenders/opportunities/portal/screen/opportunities/topic-details/horizon-cl4-2024-digital-emerging-01-21", "HORIZON-CL4-2024-DIGITAL-EMERGING-01-21")</f>
        <v>0</v>
      </c>
      <c r="Q495" t="s">
        <v>1456</v>
      </c>
    </row>
    <row r="496" spans="1:17">
      <c r="A496">
        <v>45704163</v>
      </c>
      <c r="B496">
        <v>2024</v>
      </c>
      <c r="C496" t="s">
        <v>19</v>
      </c>
      <c r="D496" t="s">
        <v>39</v>
      </c>
      <c r="E496" t="s">
        <v>64</v>
      </c>
      <c r="F496" t="s">
        <v>109</v>
      </c>
      <c r="G496" t="s">
        <v>248</v>
      </c>
      <c r="H496" t="s">
        <v>312</v>
      </c>
      <c r="I496" t="s">
        <v>386</v>
      </c>
      <c r="K496" t="s">
        <v>466</v>
      </c>
      <c r="L496" t="s">
        <v>469</v>
      </c>
      <c r="M496" t="s">
        <v>471</v>
      </c>
      <c r="N496" t="s">
        <v>552</v>
      </c>
      <c r="O496" t="s">
        <v>843</v>
      </c>
      <c r="P496" s="1">
        <f>HYPERLINK("https://ec.europa.eu/info/funding-tenders/opportunities/portal/screen/opportunities/topic-details/horizon-cl4-2024-digital-emerging-01-22", "HORIZON-CL4-2024-DIGITAL-EMERGING-01-22")</f>
        <v>0</v>
      </c>
      <c r="Q496" t="s">
        <v>1457</v>
      </c>
    </row>
    <row r="497" spans="1:17">
      <c r="A497">
        <v>45703997</v>
      </c>
      <c r="B497">
        <v>2024</v>
      </c>
      <c r="C497" t="s">
        <v>19</v>
      </c>
      <c r="D497" t="s">
        <v>39</v>
      </c>
      <c r="E497" t="s">
        <v>64</v>
      </c>
      <c r="F497" t="s">
        <v>118</v>
      </c>
      <c r="G497" t="s">
        <v>248</v>
      </c>
      <c r="H497" t="s">
        <v>312</v>
      </c>
      <c r="I497" t="s">
        <v>386</v>
      </c>
      <c r="K497" t="s">
        <v>466</v>
      </c>
      <c r="L497" t="s">
        <v>469</v>
      </c>
      <c r="M497" t="s">
        <v>472</v>
      </c>
      <c r="N497" t="s">
        <v>553</v>
      </c>
      <c r="O497" t="s">
        <v>843</v>
      </c>
      <c r="P497" s="1">
        <f>HYPERLINK("https://ec.europa.eu/info/funding-tenders/opportunities/portal/screen/opportunities/topic-details/horizon-cl4-2024-digital-emerging-01-23", "HORIZON-CL4-2024-DIGITAL-EMERGING-01-23")</f>
        <v>0</v>
      </c>
      <c r="Q497" t="s">
        <v>1458</v>
      </c>
    </row>
    <row r="498" spans="1:17">
      <c r="A498">
        <v>45704442</v>
      </c>
      <c r="B498">
        <v>2024</v>
      </c>
      <c r="C498" t="s">
        <v>19</v>
      </c>
      <c r="D498" t="s">
        <v>39</v>
      </c>
      <c r="E498" t="s">
        <v>69</v>
      </c>
      <c r="F498" t="s">
        <v>118</v>
      </c>
      <c r="G498" t="s">
        <v>248</v>
      </c>
      <c r="H498" t="s">
        <v>312</v>
      </c>
      <c r="I498" t="s">
        <v>386</v>
      </c>
      <c r="K498" t="s">
        <v>466</v>
      </c>
      <c r="L498" t="s">
        <v>469</v>
      </c>
      <c r="M498" t="s">
        <v>471</v>
      </c>
      <c r="N498" t="s">
        <v>553</v>
      </c>
      <c r="O498" t="s">
        <v>843</v>
      </c>
      <c r="P498" s="1">
        <f>HYPERLINK("https://ec.europa.eu/info/funding-tenders/opportunities/portal/screen/opportunities/topic-details/horizon-cl4-2024-digital-emerging-01-31", "HORIZON-CL4-2024-DIGITAL-EMERGING-01-31")</f>
        <v>0</v>
      </c>
      <c r="Q498" t="s">
        <v>1459</v>
      </c>
    </row>
    <row r="499" spans="1:17">
      <c r="A499">
        <v>45704485</v>
      </c>
      <c r="B499">
        <v>2024</v>
      </c>
      <c r="C499" t="s">
        <v>19</v>
      </c>
      <c r="D499" t="s">
        <v>39</v>
      </c>
      <c r="E499" t="s">
        <v>69</v>
      </c>
      <c r="F499" t="s">
        <v>118</v>
      </c>
      <c r="G499" t="s">
        <v>248</v>
      </c>
      <c r="H499" t="s">
        <v>312</v>
      </c>
      <c r="I499" t="s">
        <v>386</v>
      </c>
      <c r="K499" t="s">
        <v>466</v>
      </c>
      <c r="L499" t="s">
        <v>469</v>
      </c>
      <c r="M499" t="s">
        <v>472</v>
      </c>
      <c r="N499" t="s">
        <v>553</v>
      </c>
      <c r="O499" t="s">
        <v>843</v>
      </c>
      <c r="P499" s="1">
        <f>HYPERLINK("https://ec.europa.eu/info/funding-tenders/opportunities/portal/screen/opportunities/topic-details/horizon-cl4-2024-digital-emerging-01-34", "HORIZON-CL4-2024-DIGITAL-EMERGING-01-34")</f>
        <v>0</v>
      </c>
      <c r="Q499" t="s">
        <v>1460</v>
      </c>
    </row>
    <row r="500" spans="1:17">
      <c r="A500">
        <v>45703962</v>
      </c>
      <c r="B500">
        <v>2024</v>
      </c>
      <c r="C500" t="s">
        <v>19</v>
      </c>
      <c r="D500" t="s">
        <v>39</v>
      </c>
      <c r="E500" t="s">
        <v>63</v>
      </c>
      <c r="F500" t="s">
        <v>118</v>
      </c>
      <c r="G500" t="s">
        <v>248</v>
      </c>
      <c r="H500" t="s">
        <v>312</v>
      </c>
      <c r="I500" t="s">
        <v>386</v>
      </c>
      <c r="K500" t="s">
        <v>466</v>
      </c>
      <c r="L500" t="s">
        <v>469</v>
      </c>
      <c r="M500" t="s">
        <v>471</v>
      </c>
      <c r="N500" t="s">
        <v>553</v>
      </c>
      <c r="O500" t="s">
        <v>843</v>
      </c>
      <c r="P500" s="1">
        <f>HYPERLINK("https://ec.europa.eu/info/funding-tenders/opportunities/portal/screen/opportunities/topic-details/horizon-cl4-2024-digital-emerging-01-42", "HORIZON-CL4-2024-DIGITAL-EMERGING-01-42")</f>
        <v>0</v>
      </c>
      <c r="Q500" t="s">
        <v>1461</v>
      </c>
    </row>
    <row r="501" spans="1:17">
      <c r="A501">
        <v>45704038</v>
      </c>
      <c r="B501">
        <v>2024</v>
      </c>
      <c r="C501" t="s">
        <v>19</v>
      </c>
      <c r="D501" t="s">
        <v>39</v>
      </c>
      <c r="E501" t="s">
        <v>63</v>
      </c>
      <c r="F501" t="s">
        <v>118</v>
      </c>
      <c r="G501" t="s">
        <v>248</v>
      </c>
      <c r="H501" t="s">
        <v>312</v>
      </c>
      <c r="I501" t="s">
        <v>386</v>
      </c>
      <c r="K501" t="s">
        <v>466</v>
      </c>
      <c r="L501" t="s">
        <v>469</v>
      </c>
      <c r="M501" t="s">
        <v>473</v>
      </c>
      <c r="N501" t="s">
        <v>553</v>
      </c>
      <c r="O501" t="s">
        <v>843</v>
      </c>
      <c r="P501" s="1">
        <f>HYPERLINK("https://ec.europa.eu/info/funding-tenders/opportunities/portal/screen/opportunities/topic-details/horizon-cl4-2024-digital-emerging-01-45", "HORIZON-CL4-2024-DIGITAL-EMERGING-01-45")</f>
        <v>0</v>
      </c>
      <c r="Q501" t="s">
        <v>1462</v>
      </c>
    </row>
    <row r="502" spans="1:17">
      <c r="A502">
        <v>45704530</v>
      </c>
      <c r="B502">
        <v>2024</v>
      </c>
      <c r="C502" t="s">
        <v>19</v>
      </c>
      <c r="D502" t="s">
        <v>39</v>
      </c>
      <c r="E502" t="s">
        <v>64</v>
      </c>
      <c r="F502" t="s">
        <v>109</v>
      </c>
      <c r="G502" t="s">
        <v>248</v>
      </c>
      <c r="H502" t="s">
        <v>312</v>
      </c>
      <c r="I502" t="s">
        <v>386</v>
      </c>
      <c r="K502" t="s">
        <v>466</v>
      </c>
      <c r="L502" t="s">
        <v>469</v>
      </c>
      <c r="M502" t="s">
        <v>471</v>
      </c>
      <c r="N502" t="s">
        <v>552</v>
      </c>
      <c r="O502" t="s">
        <v>843</v>
      </c>
      <c r="P502" s="1">
        <f>HYPERLINK("https://ec.europa.eu/info/funding-tenders/opportunities/portal/screen/opportunities/topic-details/horizon-cl4-2024-digital-emerging-01-54", "HORIZON-CL4-2024-DIGITAL-EMERGING-01-54")</f>
        <v>0</v>
      </c>
      <c r="Q502" t="s">
        <v>1463</v>
      </c>
    </row>
    <row r="503" spans="1:17">
      <c r="A503">
        <v>45704090</v>
      </c>
      <c r="B503">
        <v>2024</v>
      </c>
      <c r="C503" t="s">
        <v>19</v>
      </c>
      <c r="D503" t="s">
        <v>39</v>
      </c>
      <c r="E503" t="s">
        <v>64</v>
      </c>
      <c r="F503" t="s">
        <v>109</v>
      </c>
      <c r="G503" t="s">
        <v>248</v>
      </c>
      <c r="H503" t="s">
        <v>312</v>
      </c>
      <c r="I503" t="s">
        <v>386</v>
      </c>
      <c r="K503" t="s">
        <v>466</v>
      </c>
      <c r="L503" t="s">
        <v>469</v>
      </c>
      <c r="M503" t="s">
        <v>473</v>
      </c>
      <c r="N503" t="s">
        <v>552</v>
      </c>
      <c r="O503" t="s">
        <v>843</v>
      </c>
      <c r="P503" s="1">
        <f>HYPERLINK("https://ec.europa.eu/info/funding-tenders/opportunities/portal/screen/opportunities/topic-details/horizon-cl4-2024-digital-emerging-01-55", "HORIZON-CL4-2024-DIGITAL-EMERGING-01-55")</f>
        <v>0</v>
      </c>
      <c r="Q503" t="s">
        <v>1464</v>
      </c>
    </row>
    <row r="504" spans="1:17">
      <c r="A504">
        <v>46950984</v>
      </c>
      <c r="B504">
        <v>2024</v>
      </c>
      <c r="C504" t="s">
        <v>19</v>
      </c>
      <c r="D504" t="s">
        <v>39</v>
      </c>
      <c r="E504" t="s">
        <v>63</v>
      </c>
      <c r="F504" t="s">
        <v>110</v>
      </c>
      <c r="G504" t="s">
        <v>249</v>
      </c>
      <c r="H504" t="s">
        <v>313</v>
      </c>
      <c r="I504" t="s">
        <v>387</v>
      </c>
      <c r="K504" t="s">
        <v>467</v>
      </c>
      <c r="L504" t="s">
        <v>469</v>
      </c>
      <c r="M504" t="s">
        <v>473</v>
      </c>
      <c r="N504" t="s">
        <v>554</v>
      </c>
      <c r="O504" t="s">
        <v>843</v>
      </c>
      <c r="P504" s="1">
        <f>HYPERLINK("https://ec.europa.eu/info/funding-tenders/opportunities/portal/screen/opportunities/topic-details/horizon-cl4-2024-digital-emerging-02-01", "HORIZON-CL4-2024-DIGITAL-EMERGING-02-01")</f>
        <v>0</v>
      </c>
      <c r="Q504" t="s">
        <v>1465</v>
      </c>
    </row>
    <row r="505" spans="1:17">
      <c r="A505">
        <v>46951016</v>
      </c>
      <c r="B505">
        <v>2024</v>
      </c>
      <c r="C505" t="s">
        <v>19</v>
      </c>
      <c r="D505" t="s">
        <v>39</v>
      </c>
      <c r="E505" t="s">
        <v>63</v>
      </c>
      <c r="F505" t="s">
        <v>110</v>
      </c>
      <c r="G505" t="s">
        <v>249</v>
      </c>
      <c r="H505" t="s">
        <v>313</v>
      </c>
      <c r="I505" t="s">
        <v>387</v>
      </c>
      <c r="K505" t="s">
        <v>467</v>
      </c>
      <c r="L505" t="s">
        <v>469</v>
      </c>
      <c r="M505" t="s">
        <v>471</v>
      </c>
      <c r="N505" t="s">
        <v>554</v>
      </c>
      <c r="O505" t="s">
        <v>843</v>
      </c>
      <c r="P505" s="1">
        <f>HYPERLINK("https://ec.europa.eu/info/funding-tenders/opportunities/portal/screen/opportunities/topic-details/horizon-cl4-2024-digital-emerging-02-02", "HORIZON-CL4-2024-DIGITAL-EMERGING-02-02")</f>
        <v>0</v>
      </c>
      <c r="Q505" t="s">
        <v>1466</v>
      </c>
    </row>
    <row r="506" spans="1:17">
      <c r="A506">
        <v>45703838</v>
      </c>
      <c r="B506">
        <v>2024</v>
      </c>
      <c r="C506" t="s">
        <v>19</v>
      </c>
      <c r="D506" t="s">
        <v>39</v>
      </c>
      <c r="E506" t="s">
        <v>65</v>
      </c>
      <c r="F506" t="s">
        <v>111</v>
      </c>
      <c r="G506" t="s">
        <v>248</v>
      </c>
      <c r="H506" t="s">
        <v>312</v>
      </c>
      <c r="I506" t="s">
        <v>386</v>
      </c>
      <c r="K506" t="s">
        <v>466</v>
      </c>
      <c r="L506" t="s">
        <v>469</v>
      </c>
      <c r="M506" t="s">
        <v>471</v>
      </c>
      <c r="N506" t="s">
        <v>555</v>
      </c>
      <c r="O506" t="s">
        <v>844</v>
      </c>
      <c r="P506" s="1">
        <f>HYPERLINK("https://ec.europa.eu/info/funding-tenders/opportunities/portal/screen/opportunities/topic-details/horizon-cl4-2024-human-01-06", "HORIZON-CL4-2024-HUMAN-01-06")</f>
        <v>0</v>
      </c>
      <c r="Q506" t="s">
        <v>1467</v>
      </c>
    </row>
    <row r="507" spans="1:17">
      <c r="A507">
        <v>45703902</v>
      </c>
      <c r="B507">
        <v>2024</v>
      </c>
      <c r="C507" t="s">
        <v>19</v>
      </c>
      <c r="D507" t="s">
        <v>39</v>
      </c>
      <c r="E507" t="s">
        <v>65</v>
      </c>
      <c r="F507" t="s">
        <v>111</v>
      </c>
      <c r="G507" t="s">
        <v>248</v>
      </c>
      <c r="H507" t="s">
        <v>312</v>
      </c>
      <c r="I507" t="s">
        <v>386</v>
      </c>
      <c r="K507" t="s">
        <v>466</v>
      </c>
      <c r="L507" t="s">
        <v>469</v>
      </c>
      <c r="M507" t="s">
        <v>471</v>
      </c>
      <c r="N507" t="s">
        <v>555</v>
      </c>
      <c r="O507" t="s">
        <v>844</v>
      </c>
      <c r="P507" s="1">
        <f>HYPERLINK("https://ec.europa.eu/info/funding-tenders/opportunities/portal/screen/opportunities/topic-details/horizon-cl4-2024-human-01-07", "HORIZON-CL4-2024-HUMAN-01-07")</f>
        <v>0</v>
      </c>
      <c r="Q507" t="s">
        <v>1468</v>
      </c>
    </row>
    <row r="508" spans="1:17">
      <c r="A508">
        <v>45703796</v>
      </c>
      <c r="B508">
        <v>2024</v>
      </c>
      <c r="C508" t="s">
        <v>19</v>
      </c>
      <c r="D508" t="s">
        <v>39</v>
      </c>
      <c r="E508" t="s">
        <v>64</v>
      </c>
      <c r="F508" t="s">
        <v>111</v>
      </c>
      <c r="G508" t="s">
        <v>248</v>
      </c>
      <c r="H508" t="s">
        <v>312</v>
      </c>
      <c r="I508" t="s">
        <v>386</v>
      </c>
      <c r="K508" t="s">
        <v>466</v>
      </c>
      <c r="L508" t="s">
        <v>469</v>
      </c>
      <c r="M508" t="s">
        <v>472</v>
      </c>
      <c r="N508" t="s">
        <v>555</v>
      </c>
      <c r="O508" t="s">
        <v>844</v>
      </c>
      <c r="P508" s="1">
        <f>HYPERLINK("https://ec.europa.eu/info/funding-tenders/opportunities/portal/screen/opportunities/topic-details/horizon-cl4-2024-human-01-61", "HORIZON-CL4-2024-HUMAN-01-61")</f>
        <v>0</v>
      </c>
      <c r="Q508" t="s">
        <v>1469</v>
      </c>
    </row>
    <row r="509" spans="1:17">
      <c r="A509">
        <v>45947798</v>
      </c>
      <c r="B509">
        <v>2024</v>
      </c>
      <c r="C509" t="s">
        <v>19</v>
      </c>
      <c r="D509" t="s">
        <v>39</v>
      </c>
      <c r="E509" t="s">
        <v>64</v>
      </c>
      <c r="F509" t="s">
        <v>116</v>
      </c>
      <c r="G509" t="s">
        <v>251</v>
      </c>
      <c r="H509" t="s">
        <v>313</v>
      </c>
      <c r="I509" t="s">
        <v>388</v>
      </c>
      <c r="K509" t="s">
        <v>467</v>
      </c>
      <c r="L509" t="s">
        <v>469</v>
      </c>
      <c r="M509" t="s">
        <v>472</v>
      </c>
      <c r="N509" t="s">
        <v>556</v>
      </c>
      <c r="O509" t="s">
        <v>850</v>
      </c>
      <c r="P509" s="1">
        <f>HYPERLINK("https://ec.europa.eu/info/funding-tenders/opportunities/portal/screen/opportunities/topic-details/horizon-cl4-2024-human-02-34", "HORIZON-CL4-2024-HUMAN-02-34")</f>
        <v>0</v>
      </c>
      <c r="Q509" t="s">
        <v>1470</v>
      </c>
    </row>
    <row r="510" spans="1:17">
      <c r="A510">
        <v>46951482</v>
      </c>
      <c r="B510">
        <v>2024</v>
      </c>
      <c r="C510" t="s">
        <v>19</v>
      </c>
      <c r="D510" t="s">
        <v>39</v>
      </c>
      <c r="E510" t="s">
        <v>64</v>
      </c>
      <c r="F510" t="s">
        <v>116</v>
      </c>
      <c r="G510" t="s">
        <v>251</v>
      </c>
      <c r="H510" t="s">
        <v>313</v>
      </c>
      <c r="I510" t="s">
        <v>388</v>
      </c>
      <c r="K510" t="s">
        <v>467</v>
      </c>
      <c r="L510" t="s">
        <v>469</v>
      </c>
      <c r="M510" t="s">
        <v>472</v>
      </c>
      <c r="N510" t="s">
        <v>556</v>
      </c>
      <c r="O510" t="s">
        <v>850</v>
      </c>
      <c r="P510" s="1">
        <f>HYPERLINK("https://ec.europa.eu/info/funding-tenders/opportunities/portal/screen/opportunities/topic-details/horizon-cl4-2024-human-02-35", "HORIZON-CL4-2024-HUMAN-02-35")</f>
        <v>0</v>
      </c>
      <c r="Q510" t="s">
        <v>1471</v>
      </c>
    </row>
    <row r="511" spans="1:17">
      <c r="A511">
        <v>46951410</v>
      </c>
      <c r="B511">
        <v>2024</v>
      </c>
      <c r="C511" t="s">
        <v>19</v>
      </c>
      <c r="D511" t="s">
        <v>39</v>
      </c>
      <c r="E511" t="s">
        <v>69</v>
      </c>
      <c r="F511" t="s">
        <v>116</v>
      </c>
      <c r="G511" t="s">
        <v>251</v>
      </c>
      <c r="H511" t="s">
        <v>313</v>
      </c>
      <c r="I511" t="s">
        <v>388</v>
      </c>
      <c r="K511" t="s">
        <v>467</v>
      </c>
      <c r="L511" t="s">
        <v>469</v>
      </c>
      <c r="M511" t="s">
        <v>472</v>
      </c>
      <c r="N511" t="s">
        <v>556</v>
      </c>
      <c r="O511" t="s">
        <v>850</v>
      </c>
      <c r="P511" s="1">
        <f>HYPERLINK("https://ec.europa.eu/info/funding-tenders/opportunities/portal/screen/opportunities/topic-details/horizon-cl4-2024-human-02-36", "HORIZON-CL4-2024-HUMAN-02-36")</f>
        <v>0</v>
      </c>
      <c r="Q511" t="s">
        <v>1472</v>
      </c>
    </row>
    <row r="512" spans="1:17">
      <c r="A512">
        <v>46950709</v>
      </c>
      <c r="B512">
        <v>2024</v>
      </c>
      <c r="C512" t="s">
        <v>19</v>
      </c>
      <c r="D512" t="s">
        <v>39</v>
      </c>
      <c r="E512" t="s">
        <v>65</v>
      </c>
      <c r="F512" t="s">
        <v>122</v>
      </c>
      <c r="G512" t="s">
        <v>249</v>
      </c>
      <c r="H512" t="s">
        <v>313</v>
      </c>
      <c r="I512" t="s">
        <v>387</v>
      </c>
      <c r="K512" t="s">
        <v>467</v>
      </c>
      <c r="L512" t="s">
        <v>469</v>
      </c>
      <c r="M512" t="s">
        <v>471</v>
      </c>
      <c r="N512" t="s">
        <v>557</v>
      </c>
      <c r="O512" t="s">
        <v>844</v>
      </c>
      <c r="P512" s="1">
        <f>HYPERLINK("https://ec.europa.eu/info/funding-tenders/opportunities/portal/screen/opportunities/topic-details/horizon-cl4-2024-human-03-01", "HORIZON-CL4-2024-HUMAN-03-01")</f>
        <v>0</v>
      </c>
      <c r="Q512" t="s">
        <v>1473</v>
      </c>
    </row>
    <row r="513" spans="1:17">
      <c r="A513">
        <v>46950745</v>
      </c>
      <c r="B513">
        <v>2024</v>
      </c>
      <c r="C513" t="s">
        <v>19</v>
      </c>
      <c r="D513" t="s">
        <v>39</v>
      </c>
      <c r="E513" t="s">
        <v>65</v>
      </c>
      <c r="F513" t="s">
        <v>122</v>
      </c>
      <c r="G513" t="s">
        <v>249</v>
      </c>
      <c r="H513" t="s">
        <v>313</v>
      </c>
      <c r="I513" t="s">
        <v>387</v>
      </c>
      <c r="K513" t="s">
        <v>467</v>
      </c>
      <c r="L513" t="s">
        <v>469</v>
      </c>
      <c r="M513" t="s">
        <v>471</v>
      </c>
      <c r="N513" t="s">
        <v>557</v>
      </c>
      <c r="O513" t="s">
        <v>844</v>
      </c>
      <c r="P513" s="1">
        <f>HYPERLINK("https://ec.europa.eu/info/funding-tenders/opportunities/portal/screen/opportunities/topic-details/horizon-cl4-2024-human-03-02", "HORIZON-CL4-2024-HUMAN-03-02")</f>
        <v>0</v>
      </c>
      <c r="Q513" t="s">
        <v>1467</v>
      </c>
    </row>
    <row r="514" spans="1:17">
      <c r="A514">
        <v>46950804</v>
      </c>
      <c r="B514">
        <v>2024</v>
      </c>
      <c r="C514" t="s">
        <v>19</v>
      </c>
      <c r="D514" t="s">
        <v>39</v>
      </c>
      <c r="E514" t="s">
        <v>64</v>
      </c>
      <c r="F514" t="s">
        <v>122</v>
      </c>
      <c r="G514" t="s">
        <v>249</v>
      </c>
      <c r="H514" t="s">
        <v>313</v>
      </c>
      <c r="I514" t="s">
        <v>387</v>
      </c>
      <c r="K514" t="s">
        <v>467</v>
      </c>
      <c r="L514" t="s">
        <v>469</v>
      </c>
      <c r="M514" t="s">
        <v>472</v>
      </c>
      <c r="N514" t="s">
        <v>557</v>
      </c>
      <c r="O514" t="s">
        <v>844</v>
      </c>
      <c r="P514" s="1">
        <f>HYPERLINK("https://ec.europa.eu/info/funding-tenders/opportunities/portal/screen/opportunities/topic-details/horizon-cl4-2024-human-03-03", "HORIZON-CL4-2024-HUMAN-03-03")</f>
        <v>0</v>
      </c>
      <c r="Q514" t="s">
        <v>1406</v>
      </c>
    </row>
    <row r="515" spans="1:17">
      <c r="A515">
        <v>46950864</v>
      </c>
      <c r="B515">
        <v>2024</v>
      </c>
      <c r="C515" t="s">
        <v>19</v>
      </c>
      <c r="D515" t="s">
        <v>39</v>
      </c>
      <c r="E515" t="s">
        <v>64</v>
      </c>
      <c r="F515" t="s">
        <v>122</v>
      </c>
      <c r="G515" t="s">
        <v>249</v>
      </c>
      <c r="H515" t="s">
        <v>313</v>
      </c>
      <c r="I515" t="s">
        <v>387</v>
      </c>
      <c r="K515" t="s">
        <v>467</v>
      </c>
      <c r="L515" t="s">
        <v>469</v>
      </c>
      <c r="M515" t="s">
        <v>472</v>
      </c>
      <c r="N515" t="s">
        <v>557</v>
      </c>
      <c r="O515" t="s">
        <v>844</v>
      </c>
      <c r="P515" s="1">
        <f>HYPERLINK("https://ec.europa.eu/info/funding-tenders/opportunities/portal/screen/opportunities/topic-details/horizon-cl4-2024-human-03-04", "HORIZON-CL4-2024-HUMAN-03-04")</f>
        <v>0</v>
      </c>
      <c r="Q515" t="s">
        <v>1469</v>
      </c>
    </row>
    <row r="516" spans="1:17">
      <c r="A516">
        <v>45704711</v>
      </c>
      <c r="B516">
        <v>2024</v>
      </c>
      <c r="C516" t="s">
        <v>19</v>
      </c>
      <c r="D516" t="s">
        <v>39</v>
      </c>
      <c r="E516" t="s">
        <v>69</v>
      </c>
      <c r="F516" t="s">
        <v>112</v>
      </c>
      <c r="G516" t="s">
        <v>248</v>
      </c>
      <c r="H516" t="s">
        <v>314</v>
      </c>
      <c r="I516" t="s">
        <v>371</v>
      </c>
      <c r="K516" t="s">
        <v>466</v>
      </c>
      <c r="L516" t="s">
        <v>469</v>
      </c>
      <c r="M516" t="s">
        <v>471</v>
      </c>
      <c r="N516" t="s">
        <v>558</v>
      </c>
      <c r="O516" t="s">
        <v>851</v>
      </c>
      <c r="P516" s="1">
        <f>HYPERLINK("https://ec.europa.eu/info/funding-tenders/opportunities/portal/screen/opportunities/topic-details/horizon-cl4-2024-resilience-01-01", "HORIZON-CL4-2024-RESILIENCE-01-01")</f>
        <v>0</v>
      </c>
      <c r="Q516" t="s">
        <v>1474</v>
      </c>
    </row>
    <row r="517" spans="1:17">
      <c r="A517">
        <v>45705054</v>
      </c>
      <c r="B517">
        <v>2024</v>
      </c>
      <c r="C517" t="s">
        <v>19</v>
      </c>
      <c r="D517" t="s">
        <v>39</v>
      </c>
      <c r="E517" t="s">
        <v>69</v>
      </c>
      <c r="F517" t="s">
        <v>112</v>
      </c>
      <c r="G517" t="s">
        <v>248</v>
      </c>
      <c r="H517" t="s">
        <v>314</v>
      </c>
      <c r="I517" t="s">
        <v>371</v>
      </c>
      <c r="K517" t="s">
        <v>466</v>
      </c>
      <c r="L517" t="s">
        <v>469</v>
      </c>
      <c r="M517" t="s">
        <v>473</v>
      </c>
      <c r="N517" t="s">
        <v>558</v>
      </c>
      <c r="O517" t="s">
        <v>851</v>
      </c>
      <c r="P517" s="1">
        <f>HYPERLINK("https://ec.europa.eu/info/funding-tenders/opportunities/portal/screen/opportunities/topic-details/horizon-cl4-2024-resilience-01-04", "HORIZON-CL4-2024-RESILIENCE-01-04")</f>
        <v>0</v>
      </c>
      <c r="Q517" t="s">
        <v>1412</v>
      </c>
    </row>
    <row r="518" spans="1:17">
      <c r="A518">
        <v>45705073</v>
      </c>
      <c r="B518">
        <v>2024</v>
      </c>
      <c r="C518" t="s">
        <v>19</v>
      </c>
      <c r="D518" t="s">
        <v>39</v>
      </c>
      <c r="E518" t="s">
        <v>69</v>
      </c>
      <c r="F518" t="s">
        <v>112</v>
      </c>
      <c r="G518" t="s">
        <v>248</v>
      </c>
      <c r="H518" t="s">
        <v>314</v>
      </c>
      <c r="I518" t="s">
        <v>371</v>
      </c>
      <c r="K518" t="s">
        <v>466</v>
      </c>
      <c r="L518" t="s">
        <v>469</v>
      </c>
      <c r="M518" t="s">
        <v>473</v>
      </c>
      <c r="N518" t="s">
        <v>558</v>
      </c>
      <c r="O518" t="s">
        <v>851</v>
      </c>
      <c r="P518" s="1">
        <f>HYPERLINK("https://ec.europa.eu/info/funding-tenders/opportunities/portal/screen/opportunities/topic-details/horizon-cl4-2024-resilience-01-08", "HORIZON-CL4-2024-RESILIENCE-01-08")</f>
        <v>0</v>
      </c>
      <c r="Q518" t="s">
        <v>1475</v>
      </c>
    </row>
    <row r="519" spans="1:17">
      <c r="A519">
        <v>45704825</v>
      </c>
      <c r="B519">
        <v>2024</v>
      </c>
      <c r="C519" t="s">
        <v>19</v>
      </c>
      <c r="D519" t="s">
        <v>39</v>
      </c>
      <c r="E519" t="s">
        <v>69</v>
      </c>
      <c r="F519" t="s">
        <v>112</v>
      </c>
      <c r="G519" t="s">
        <v>248</v>
      </c>
      <c r="H519" t="s">
        <v>314</v>
      </c>
      <c r="I519" t="s">
        <v>371</v>
      </c>
      <c r="K519" t="s">
        <v>466</v>
      </c>
      <c r="L519" t="s">
        <v>469</v>
      </c>
      <c r="M519" t="s">
        <v>472</v>
      </c>
      <c r="N519" t="s">
        <v>558</v>
      </c>
      <c r="O519" t="s">
        <v>851</v>
      </c>
      <c r="P519" s="1">
        <f>HYPERLINK("https://ec.europa.eu/info/funding-tenders/opportunities/portal/screen/opportunities/topic-details/horizon-cl4-2024-resilience-01-10", "HORIZON-CL4-2024-RESILIENCE-01-10")</f>
        <v>0</v>
      </c>
      <c r="Q519" t="s">
        <v>1476</v>
      </c>
    </row>
    <row r="520" spans="1:17">
      <c r="A520">
        <v>45704968</v>
      </c>
      <c r="B520">
        <v>2024</v>
      </c>
      <c r="C520" t="s">
        <v>19</v>
      </c>
      <c r="D520" t="s">
        <v>39</v>
      </c>
      <c r="E520" t="s">
        <v>69</v>
      </c>
      <c r="F520" t="s">
        <v>112</v>
      </c>
      <c r="G520" t="s">
        <v>248</v>
      </c>
      <c r="H520" t="s">
        <v>314</v>
      </c>
      <c r="I520" t="s">
        <v>371</v>
      </c>
      <c r="K520" t="s">
        <v>466</v>
      </c>
      <c r="L520" t="s">
        <v>469</v>
      </c>
      <c r="M520" t="s">
        <v>473</v>
      </c>
      <c r="N520" t="s">
        <v>558</v>
      </c>
      <c r="O520" t="s">
        <v>851</v>
      </c>
      <c r="P520" s="1">
        <f>HYPERLINK("https://ec.europa.eu/info/funding-tenders/opportunities/portal/screen/opportunities/topic-details/horizon-cl4-2024-resilience-01-11", "HORIZON-CL4-2024-RESILIENCE-01-11")</f>
        <v>0</v>
      </c>
      <c r="Q520" t="s">
        <v>1477</v>
      </c>
    </row>
    <row r="521" spans="1:17">
      <c r="A521">
        <v>45705260</v>
      </c>
      <c r="B521">
        <v>2024</v>
      </c>
      <c r="C521" t="s">
        <v>19</v>
      </c>
      <c r="D521" t="s">
        <v>39</v>
      </c>
      <c r="E521" t="s">
        <v>69</v>
      </c>
      <c r="F521" t="s">
        <v>112</v>
      </c>
      <c r="G521" t="s">
        <v>248</v>
      </c>
      <c r="H521" t="s">
        <v>314</v>
      </c>
      <c r="I521" t="s">
        <v>371</v>
      </c>
      <c r="K521" t="s">
        <v>466</v>
      </c>
      <c r="L521" t="s">
        <v>469</v>
      </c>
      <c r="M521" t="s">
        <v>473</v>
      </c>
      <c r="N521" t="s">
        <v>558</v>
      </c>
      <c r="O521" t="s">
        <v>851</v>
      </c>
      <c r="P521" s="1">
        <f>HYPERLINK("https://ec.europa.eu/info/funding-tenders/opportunities/portal/screen/opportunities/topic-details/horizon-cl4-2024-resilience-01-24", "HORIZON-CL4-2024-RESILIENCE-01-24")</f>
        <v>0</v>
      </c>
      <c r="Q521" t="s">
        <v>1478</v>
      </c>
    </row>
    <row r="522" spans="1:17">
      <c r="A522">
        <v>45705118</v>
      </c>
      <c r="B522">
        <v>2024</v>
      </c>
      <c r="C522" t="s">
        <v>19</v>
      </c>
      <c r="D522" t="s">
        <v>39</v>
      </c>
      <c r="E522" t="s">
        <v>69</v>
      </c>
      <c r="F522" t="s">
        <v>120</v>
      </c>
      <c r="G522" t="s">
        <v>248</v>
      </c>
      <c r="H522" t="s">
        <v>314</v>
      </c>
      <c r="I522" t="s">
        <v>371</v>
      </c>
      <c r="J522" t="s">
        <v>409</v>
      </c>
      <c r="K522" t="s">
        <v>466</v>
      </c>
      <c r="L522" t="s">
        <v>470</v>
      </c>
      <c r="M522" t="s">
        <v>473</v>
      </c>
      <c r="N522" t="s">
        <v>559</v>
      </c>
      <c r="O522" t="s">
        <v>852</v>
      </c>
      <c r="P522" s="1">
        <f>HYPERLINK("https://ec.europa.eu/info/funding-tenders/opportunities/portal/screen/opportunities/topic-details/horizon-cl4-2024-resilience-01-35", "HORIZON-CL4-2024-RESILIENCE-01-35")</f>
        <v>0</v>
      </c>
      <c r="Q522" t="s">
        <v>1479</v>
      </c>
    </row>
    <row r="523" spans="1:17">
      <c r="A523">
        <v>45704731</v>
      </c>
      <c r="B523">
        <v>2024</v>
      </c>
      <c r="C523" t="s">
        <v>19</v>
      </c>
      <c r="D523" t="s">
        <v>39</v>
      </c>
      <c r="E523" t="s">
        <v>69</v>
      </c>
      <c r="F523" t="s">
        <v>120</v>
      </c>
      <c r="G523" t="s">
        <v>248</v>
      </c>
      <c r="H523" t="s">
        <v>314</v>
      </c>
      <c r="I523" t="s">
        <v>371</v>
      </c>
      <c r="J523" t="s">
        <v>409</v>
      </c>
      <c r="K523" t="s">
        <v>466</v>
      </c>
      <c r="L523" t="s">
        <v>470</v>
      </c>
      <c r="M523" t="s">
        <v>473</v>
      </c>
      <c r="N523" t="s">
        <v>559</v>
      </c>
      <c r="O523" t="s">
        <v>852</v>
      </c>
      <c r="P523" s="1">
        <f>HYPERLINK("https://ec.europa.eu/info/funding-tenders/opportunities/portal/screen/opportunities/topic-details/horizon-cl4-2024-resilience-01-36", "HORIZON-CL4-2024-RESILIENCE-01-36")</f>
        <v>0</v>
      </c>
      <c r="Q523" t="s">
        <v>1480</v>
      </c>
    </row>
    <row r="524" spans="1:17">
      <c r="A524">
        <v>45705096</v>
      </c>
      <c r="B524">
        <v>2024</v>
      </c>
      <c r="C524" t="s">
        <v>19</v>
      </c>
      <c r="D524" t="s">
        <v>39</v>
      </c>
      <c r="E524" t="s">
        <v>64</v>
      </c>
      <c r="F524" t="s">
        <v>112</v>
      </c>
      <c r="G524" t="s">
        <v>248</v>
      </c>
      <c r="H524" t="s">
        <v>314</v>
      </c>
      <c r="I524" t="s">
        <v>371</v>
      </c>
      <c r="K524" t="s">
        <v>466</v>
      </c>
      <c r="L524" t="s">
        <v>469</v>
      </c>
      <c r="M524" t="s">
        <v>472</v>
      </c>
      <c r="N524" t="s">
        <v>558</v>
      </c>
      <c r="O524" t="s">
        <v>851</v>
      </c>
      <c r="P524" s="1">
        <f>HYPERLINK("https://ec.europa.eu/info/funding-tenders/opportunities/portal/screen/opportunities/topic-details/horizon-cl4-2024-resilience-01-41", "HORIZON-CL4-2024-RESILIENCE-01-41")</f>
        <v>0</v>
      </c>
      <c r="Q524" t="s">
        <v>1263</v>
      </c>
    </row>
    <row r="525" spans="1:17">
      <c r="A525">
        <v>45704932</v>
      </c>
      <c r="B525">
        <v>2024</v>
      </c>
      <c r="C525" t="s">
        <v>19</v>
      </c>
      <c r="D525" t="s">
        <v>39</v>
      </c>
      <c r="E525" t="s">
        <v>70</v>
      </c>
      <c r="F525" t="s">
        <v>114</v>
      </c>
      <c r="G525" t="s">
        <v>248</v>
      </c>
      <c r="H525" t="s">
        <v>315</v>
      </c>
      <c r="I525" t="s">
        <v>389</v>
      </c>
      <c r="K525" t="s">
        <v>466</v>
      </c>
      <c r="L525" t="s">
        <v>469</v>
      </c>
      <c r="M525" t="s">
        <v>471</v>
      </c>
      <c r="N525" t="s">
        <v>560</v>
      </c>
      <c r="O525" t="s">
        <v>853</v>
      </c>
      <c r="P525" s="1">
        <f>HYPERLINK("https://ec.europa.eu/info/funding-tenders/opportunities/portal/screen/opportunities/topic-details/horizon-cl4-2024-space-01-35", "HORIZON-CL4-2024-SPACE-01-35")</f>
        <v>0</v>
      </c>
      <c r="Q525" t="s">
        <v>1481</v>
      </c>
    </row>
    <row r="526" spans="1:17">
      <c r="A526">
        <v>45705422</v>
      </c>
      <c r="B526">
        <v>2024</v>
      </c>
      <c r="C526" t="s">
        <v>19</v>
      </c>
      <c r="D526" t="s">
        <v>39</v>
      </c>
      <c r="E526" t="s">
        <v>70</v>
      </c>
      <c r="F526" t="s">
        <v>114</v>
      </c>
      <c r="G526" t="s">
        <v>248</v>
      </c>
      <c r="H526" t="s">
        <v>315</v>
      </c>
      <c r="I526" t="s">
        <v>389</v>
      </c>
      <c r="K526" t="s">
        <v>466</v>
      </c>
      <c r="L526" t="s">
        <v>469</v>
      </c>
      <c r="M526" t="s">
        <v>471</v>
      </c>
      <c r="N526" t="s">
        <v>560</v>
      </c>
      <c r="O526" t="s">
        <v>853</v>
      </c>
      <c r="P526" s="1">
        <f>HYPERLINK("https://ec.europa.eu/info/funding-tenders/opportunities/portal/screen/opportunities/topic-details/horizon-cl4-2024-space-01-36", "HORIZON-CL4-2024-SPACE-01-36")</f>
        <v>0</v>
      </c>
      <c r="Q526" t="s">
        <v>1482</v>
      </c>
    </row>
    <row r="527" spans="1:17">
      <c r="A527">
        <v>45704950</v>
      </c>
      <c r="B527">
        <v>2024</v>
      </c>
      <c r="C527" t="s">
        <v>19</v>
      </c>
      <c r="D527" t="s">
        <v>39</v>
      </c>
      <c r="E527" t="s">
        <v>70</v>
      </c>
      <c r="F527" t="s">
        <v>114</v>
      </c>
      <c r="G527" t="s">
        <v>248</v>
      </c>
      <c r="H527" t="s">
        <v>315</v>
      </c>
      <c r="I527" t="s">
        <v>389</v>
      </c>
      <c r="K527" t="s">
        <v>466</v>
      </c>
      <c r="L527" t="s">
        <v>469</v>
      </c>
      <c r="M527" t="s">
        <v>471</v>
      </c>
      <c r="N527" t="s">
        <v>560</v>
      </c>
      <c r="O527" t="s">
        <v>853</v>
      </c>
      <c r="P527" s="1">
        <f>HYPERLINK("https://ec.europa.eu/info/funding-tenders/opportunities/portal/screen/opportunities/topic-details/horizon-cl4-2024-space-01-64", "HORIZON-CL4-2024-SPACE-01-64")</f>
        <v>0</v>
      </c>
      <c r="Q527" t="s">
        <v>1483</v>
      </c>
    </row>
    <row r="528" spans="1:17">
      <c r="A528">
        <v>45704802</v>
      </c>
      <c r="B528">
        <v>2024</v>
      </c>
      <c r="C528" t="s">
        <v>19</v>
      </c>
      <c r="D528" t="s">
        <v>39</v>
      </c>
      <c r="E528" t="s">
        <v>70</v>
      </c>
      <c r="F528" t="s">
        <v>114</v>
      </c>
      <c r="G528" t="s">
        <v>248</v>
      </c>
      <c r="H528" t="s">
        <v>315</v>
      </c>
      <c r="I528" t="s">
        <v>389</v>
      </c>
      <c r="K528" t="s">
        <v>466</v>
      </c>
      <c r="L528" t="s">
        <v>469</v>
      </c>
      <c r="M528" t="s">
        <v>471</v>
      </c>
      <c r="N528" t="s">
        <v>560</v>
      </c>
      <c r="O528" t="s">
        <v>853</v>
      </c>
      <c r="P528" s="1">
        <f>HYPERLINK("https://ec.europa.eu/info/funding-tenders/opportunities/portal/screen/opportunities/topic-details/horizon-cl4-2024-space-01-73", "HORIZON-CL4-2024-SPACE-01-73")</f>
        <v>0</v>
      </c>
      <c r="Q528" t="s">
        <v>1276</v>
      </c>
    </row>
    <row r="529" spans="1:17">
      <c r="A529">
        <v>45705031</v>
      </c>
      <c r="B529">
        <v>2024</v>
      </c>
      <c r="C529" t="s">
        <v>19</v>
      </c>
      <c r="D529" t="s">
        <v>39</v>
      </c>
      <c r="E529" t="s">
        <v>67</v>
      </c>
      <c r="F529" t="s">
        <v>121</v>
      </c>
      <c r="G529" t="s">
        <v>248</v>
      </c>
      <c r="H529" t="s">
        <v>314</v>
      </c>
      <c r="I529" t="s">
        <v>371</v>
      </c>
      <c r="J529" t="s">
        <v>409</v>
      </c>
      <c r="K529" t="s">
        <v>466</v>
      </c>
      <c r="L529" t="s">
        <v>470</v>
      </c>
      <c r="M529" t="s">
        <v>471</v>
      </c>
      <c r="N529" t="s">
        <v>561</v>
      </c>
      <c r="O529" t="s">
        <v>854</v>
      </c>
      <c r="P529" s="1">
        <f>HYPERLINK("https://ec.europa.eu/info/funding-tenders/opportunities/portal/screen/opportunities/topic-details/horizon-cl4-2024-twin-transition-01-01", "HORIZON-CL4-2024-TWIN-TRANSITION-01-01")</f>
        <v>0</v>
      </c>
      <c r="Q529" t="s">
        <v>1484</v>
      </c>
    </row>
    <row r="530" spans="1:17">
      <c r="A530">
        <v>45704845</v>
      </c>
      <c r="B530">
        <v>2024</v>
      </c>
      <c r="C530" t="s">
        <v>19</v>
      </c>
      <c r="D530" t="s">
        <v>39</v>
      </c>
      <c r="E530" t="s">
        <v>67</v>
      </c>
      <c r="F530" t="s">
        <v>115</v>
      </c>
      <c r="G530" t="s">
        <v>248</v>
      </c>
      <c r="H530" t="s">
        <v>314</v>
      </c>
      <c r="I530" t="s">
        <v>371</v>
      </c>
      <c r="K530" t="s">
        <v>466</v>
      </c>
      <c r="L530" t="s">
        <v>469</v>
      </c>
      <c r="M530" t="s">
        <v>471</v>
      </c>
      <c r="N530" t="s">
        <v>562</v>
      </c>
      <c r="O530" t="s">
        <v>855</v>
      </c>
      <c r="P530" s="1">
        <f>HYPERLINK("https://ec.europa.eu/info/funding-tenders/opportunities/portal/screen/opportunities/topic-details/horizon-cl4-2024-twin-transition-01-03", "HORIZON-CL4-2024-TWIN-TRANSITION-01-03")</f>
        <v>0</v>
      </c>
      <c r="Q530" t="s">
        <v>1485</v>
      </c>
    </row>
    <row r="531" spans="1:17">
      <c r="A531">
        <v>45705009</v>
      </c>
      <c r="B531">
        <v>2024</v>
      </c>
      <c r="C531" t="s">
        <v>19</v>
      </c>
      <c r="D531" t="s">
        <v>39</v>
      </c>
      <c r="E531" t="s">
        <v>67</v>
      </c>
      <c r="F531" t="s">
        <v>115</v>
      </c>
      <c r="G531" t="s">
        <v>248</v>
      </c>
      <c r="H531" t="s">
        <v>314</v>
      </c>
      <c r="I531" t="s">
        <v>371</v>
      </c>
      <c r="K531" t="s">
        <v>466</v>
      </c>
      <c r="L531" t="s">
        <v>469</v>
      </c>
      <c r="M531" t="s">
        <v>471</v>
      </c>
      <c r="N531" t="s">
        <v>562</v>
      </c>
      <c r="O531" t="s">
        <v>855</v>
      </c>
      <c r="P531" s="1">
        <f>HYPERLINK("https://ec.europa.eu/info/funding-tenders/opportunities/portal/screen/opportunities/topic-details/horizon-cl4-2024-twin-transition-01-05", "HORIZON-CL4-2024-TWIN-TRANSITION-01-05")</f>
        <v>0</v>
      </c>
      <c r="Q531" t="s">
        <v>1486</v>
      </c>
    </row>
    <row r="532" spans="1:17">
      <c r="A532">
        <v>45704990</v>
      </c>
      <c r="B532">
        <v>2024</v>
      </c>
      <c r="C532" t="s">
        <v>19</v>
      </c>
      <c r="D532" t="s">
        <v>39</v>
      </c>
      <c r="E532" t="s">
        <v>67</v>
      </c>
      <c r="F532" t="s">
        <v>121</v>
      </c>
      <c r="G532" t="s">
        <v>248</v>
      </c>
      <c r="H532" t="s">
        <v>314</v>
      </c>
      <c r="I532" t="s">
        <v>371</v>
      </c>
      <c r="J532" t="s">
        <v>409</v>
      </c>
      <c r="K532" t="s">
        <v>466</v>
      </c>
      <c r="L532" t="s">
        <v>470</v>
      </c>
      <c r="M532" t="s">
        <v>471</v>
      </c>
      <c r="N532" t="s">
        <v>561</v>
      </c>
      <c r="O532" t="s">
        <v>854</v>
      </c>
      <c r="P532" s="1">
        <f>HYPERLINK("https://ec.europa.eu/info/funding-tenders/opportunities/portal/screen/opportunities/topic-details/horizon-cl4-2024-twin-transition-01-12", "HORIZON-CL4-2024-TWIN-TRANSITION-01-12")</f>
        <v>0</v>
      </c>
      <c r="Q532" t="s">
        <v>1487</v>
      </c>
    </row>
    <row r="533" spans="1:17">
      <c r="A533">
        <v>45704872</v>
      </c>
      <c r="B533">
        <v>2024</v>
      </c>
      <c r="C533" t="s">
        <v>19</v>
      </c>
      <c r="D533" t="s">
        <v>39</v>
      </c>
      <c r="E533" t="s">
        <v>75</v>
      </c>
      <c r="F533" t="s">
        <v>115</v>
      </c>
      <c r="G533" t="s">
        <v>248</v>
      </c>
      <c r="H533" t="s">
        <v>314</v>
      </c>
      <c r="I533" t="s">
        <v>371</v>
      </c>
      <c r="K533" t="s">
        <v>466</v>
      </c>
      <c r="L533" t="s">
        <v>469</v>
      </c>
      <c r="M533" t="s">
        <v>473</v>
      </c>
      <c r="N533" t="s">
        <v>562</v>
      </c>
      <c r="O533" t="s">
        <v>855</v>
      </c>
      <c r="P533" s="1">
        <f>HYPERLINK("https://ec.europa.eu/info/funding-tenders/opportunities/portal/screen/opportunities/topic-details/horizon-cl4-2024-twin-transition-01-32", "HORIZON-CL4-2024-TWIN-TRANSITION-01-32")</f>
        <v>0</v>
      </c>
      <c r="Q533" t="s">
        <v>1488</v>
      </c>
    </row>
    <row r="534" spans="1:17">
      <c r="A534">
        <v>45704892</v>
      </c>
      <c r="B534">
        <v>2024</v>
      </c>
      <c r="C534" t="s">
        <v>19</v>
      </c>
      <c r="D534" t="s">
        <v>39</v>
      </c>
      <c r="E534" t="s">
        <v>75</v>
      </c>
      <c r="F534" t="s">
        <v>115</v>
      </c>
      <c r="G534" t="s">
        <v>248</v>
      </c>
      <c r="H534" t="s">
        <v>314</v>
      </c>
      <c r="I534" t="s">
        <v>371</v>
      </c>
      <c r="K534" t="s">
        <v>466</v>
      </c>
      <c r="L534" t="s">
        <v>469</v>
      </c>
      <c r="M534" t="s">
        <v>471</v>
      </c>
      <c r="N534" t="s">
        <v>562</v>
      </c>
      <c r="O534" t="s">
        <v>855</v>
      </c>
      <c r="P534" s="1">
        <f>HYPERLINK("https://ec.europa.eu/info/funding-tenders/opportunities/portal/screen/opportunities/topic-details/horizon-cl4-2024-twin-transition-01-34", "HORIZON-CL4-2024-TWIN-TRANSITION-01-34")</f>
        <v>0</v>
      </c>
      <c r="Q534" t="s">
        <v>1489</v>
      </c>
    </row>
    <row r="535" spans="1:17">
      <c r="A535">
        <v>45704912</v>
      </c>
      <c r="B535">
        <v>2024</v>
      </c>
      <c r="C535" t="s">
        <v>19</v>
      </c>
      <c r="D535" t="s">
        <v>39</v>
      </c>
      <c r="E535" t="s">
        <v>75</v>
      </c>
      <c r="F535" t="s">
        <v>115</v>
      </c>
      <c r="G535" t="s">
        <v>248</v>
      </c>
      <c r="H535" t="s">
        <v>314</v>
      </c>
      <c r="I535" t="s">
        <v>371</v>
      </c>
      <c r="K535" t="s">
        <v>466</v>
      </c>
      <c r="L535" t="s">
        <v>469</v>
      </c>
      <c r="M535" t="s">
        <v>473</v>
      </c>
      <c r="N535" t="s">
        <v>562</v>
      </c>
      <c r="O535" t="s">
        <v>855</v>
      </c>
      <c r="P535" s="1">
        <f>HYPERLINK("https://ec.europa.eu/info/funding-tenders/opportunities/portal/screen/opportunities/topic-details/horizon-cl4-2024-twin-transition-01-35", "HORIZON-CL4-2024-TWIN-TRANSITION-01-35")</f>
        <v>0</v>
      </c>
      <c r="Q535" t="s">
        <v>1490</v>
      </c>
    </row>
    <row r="536" spans="1:17">
      <c r="A536">
        <v>45705203</v>
      </c>
      <c r="B536">
        <v>2024</v>
      </c>
      <c r="C536" t="s">
        <v>19</v>
      </c>
      <c r="D536" t="s">
        <v>39</v>
      </c>
      <c r="E536" t="s">
        <v>68</v>
      </c>
      <c r="F536" t="s">
        <v>115</v>
      </c>
      <c r="G536" t="s">
        <v>248</v>
      </c>
      <c r="H536" t="s">
        <v>314</v>
      </c>
      <c r="I536" t="s">
        <v>371</v>
      </c>
      <c r="K536" t="s">
        <v>466</v>
      </c>
      <c r="L536" t="s">
        <v>469</v>
      </c>
      <c r="M536" t="s">
        <v>473</v>
      </c>
      <c r="N536" t="s">
        <v>562</v>
      </c>
      <c r="O536" t="s">
        <v>855</v>
      </c>
      <c r="P536" s="1">
        <f>HYPERLINK("https://ec.europa.eu/info/funding-tenders/opportunities/portal/screen/opportunities/topic-details/horizon-cl4-2024-twin-transition-01-38", "HORIZON-CL4-2024-TWIN-TRANSITION-01-38")</f>
        <v>0</v>
      </c>
      <c r="Q536" t="s">
        <v>1491</v>
      </c>
    </row>
    <row r="537" spans="1:17">
      <c r="A537">
        <v>45705229</v>
      </c>
      <c r="B537">
        <v>2024</v>
      </c>
      <c r="C537" t="s">
        <v>19</v>
      </c>
      <c r="D537" t="s">
        <v>39</v>
      </c>
      <c r="E537" t="s">
        <v>75</v>
      </c>
      <c r="F537" t="s">
        <v>115</v>
      </c>
      <c r="G537" t="s">
        <v>248</v>
      </c>
      <c r="H537" t="s">
        <v>314</v>
      </c>
      <c r="I537" t="s">
        <v>371</v>
      </c>
      <c r="K537" t="s">
        <v>466</v>
      </c>
      <c r="L537" t="s">
        <v>469</v>
      </c>
      <c r="M537" t="s">
        <v>471</v>
      </c>
      <c r="N537" t="s">
        <v>562</v>
      </c>
      <c r="O537" t="s">
        <v>855</v>
      </c>
      <c r="P537" s="1">
        <f>HYPERLINK("https://ec.europa.eu/info/funding-tenders/opportunities/portal/screen/opportunities/topic-details/horizon-cl4-2024-twin-transition-01-41", "HORIZON-CL4-2024-TWIN-TRANSITION-01-41")</f>
        <v>0</v>
      </c>
      <c r="Q537" t="s">
        <v>1492</v>
      </c>
    </row>
    <row r="538" spans="1:17">
      <c r="A538">
        <v>45704756</v>
      </c>
      <c r="B538">
        <v>2024</v>
      </c>
      <c r="C538" t="s">
        <v>19</v>
      </c>
      <c r="D538" t="s">
        <v>39</v>
      </c>
      <c r="E538" t="s">
        <v>75</v>
      </c>
      <c r="F538" t="s">
        <v>115</v>
      </c>
      <c r="G538" t="s">
        <v>248</v>
      </c>
      <c r="H538" t="s">
        <v>314</v>
      </c>
      <c r="I538" t="s">
        <v>371</v>
      </c>
      <c r="K538" t="s">
        <v>466</v>
      </c>
      <c r="L538" t="s">
        <v>469</v>
      </c>
      <c r="M538" t="s">
        <v>473</v>
      </c>
      <c r="N538" t="s">
        <v>562</v>
      </c>
      <c r="O538" t="s">
        <v>855</v>
      </c>
      <c r="P538" s="1">
        <f>HYPERLINK("https://ec.europa.eu/info/funding-tenders/opportunities/portal/screen/opportunities/topic-details/horizon-cl4-2024-twin-transition-01-44", "HORIZON-CL4-2024-TWIN-TRANSITION-01-44")</f>
        <v>0</v>
      </c>
      <c r="Q538" t="s">
        <v>1493</v>
      </c>
    </row>
    <row r="539" spans="1:17">
      <c r="A539">
        <v>45704779</v>
      </c>
      <c r="B539">
        <v>2024</v>
      </c>
      <c r="C539" t="s">
        <v>19</v>
      </c>
      <c r="D539" t="s">
        <v>39</v>
      </c>
      <c r="E539" t="s">
        <v>75</v>
      </c>
      <c r="F539" t="s">
        <v>115</v>
      </c>
      <c r="G539" t="s">
        <v>248</v>
      </c>
      <c r="H539" t="s">
        <v>314</v>
      </c>
      <c r="I539" t="s">
        <v>371</v>
      </c>
      <c r="K539" t="s">
        <v>466</v>
      </c>
      <c r="L539" t="s">
        <v>469</v>
      </c>
      <c r="M539" t="s">
        <v>471</v>
      </c>
      <c r="N539" t="s">
        <v>562</v>
      </c>
      <c r="O539" t="s">
        <v>855</v>
      </c>
      <c r="P539" s="1">
        <f>HYPERLINK("https://ec.europa.eu/info/funding-tenders/opportunities/portal/screen/opportunities/topic-details/horizon-cl4-2024-twin-transition-01-46", "HORIZON-CL4-2024-TWIN-TRANSITION-01-46")</f>
        <v>0</v>
      </c>
      <c r="Q539" t="s">
        <v>1494</v>
      </c>
    </row>
    <row r="540" spans="1:17">
      <c r="A540">
        <v>44120939</v>
      </c>
      <c r="B540">
        <v>2021</v>
      </c>
      <c r="C540" t="s">
        <v>20</v>
      </c>
      <c r="D540" t="s">
        <v>40</v>
      </c>
      <c r="E540" t="s">
        <v>71</v>
      </c>
      <c r="F540" t="s">
        <v>123</v>
      </c>
      <c r="G540" t="s">
        <v>246</v>
      </c>
      <c r="H540" t="s">
        <v>316</v>
      </c>
      <c r="I540" t="s">
        <v>390</v>
      </c>
      <c r="K540" t="s">
        <v>466</v>
      </c>
      <c r="L540" t="s">
        <v>469</v>
      </c>
      <c r="M540" t="s">
        <v>471</v>
      </c>
      <c r="N540" t="s">
        <v>563</v>
      </c>
      <c r="O540" t="s">
        <v>856</v>
      </c>
      <c r="P540" s="1">
        <f>HYPERLINK("https://ec.europa.eu/info/funding-tenders/opportunities/portal/screen/opportunities/topic-details/horizon-cl5-2021-d1-01-01", "HORIZON-CL5-2021-D1-01-01")</f>
        <v>0</v>
      </c>
      <c r="Q540" t="s">
        <v>1495</v>
      </c>
    </row>
    <row r="541" spans="1:17">
      <c r="A541">
        <v>44118018</v>
      </c>
      <c r="B541">
        <v>2021</v>
      </c>
      <c r="C541" t="s">
        <v>20</v>
      </c>
      <c r="D541" t="s">
        <v>40</v>
      </c>
      <c r="E541" t="s">
        <v>71</v>
      </c>
      <c r="F541" t="s">
        <v>123</v>
      </c>
      <c r="G541" t="s">
        <v>246</v>
      </c>
      <c r="H541" t="s">
        <v>316</v>
      </c>
      <c r="I541" t="s">
        <v>390</v>
      </c>
      <c r="K541" t="s">
        <v>466</v>
      </c>
      <c r="L541" t="s">
        <v>469</v>
      </c>
      <c r="M541" t="s">
        <v>471</v>
      </c>
      <c r="N541" t="s">
        <v>563</v>
      </c>
      <c r="O541" t="s">
        <v>856</v>
      </c>
      <c r="P541" s="1">
        <f>HYPERLINK("https://ec.europa.eu/info/funding-tenders/opportunities/portal/screen/opportunities/topic-details/horizon-cl5-2021-d1-01-02", "HORIZON-CL5-2021-D1-01-02")</f>
        <v>0</v>
      </c>
      <c r="Q541" t="s">
        <v>1496</v>
      </c>
    </row>
    <row r="542" spans="1:17">
      <c r="A542">
        <v>44120959</v>
      </c>
      <c r="B542">
        <v>2021</v>
      </c>
      <c r="C542" t="s">
        <v>20</v>
      </c>
      <c r="D542" t="s">
        <v>40</v>
      </c>
      <c r="E542" t="s">
        <v>71</v>
      </c>
      <c r="F542" t="s">
        <v>123</v>
      </c>
      <c r="G542" t="s">
        <v>246</v>
      </c>
      <c r="H542" t="s">
        <v>316</v>
      </c>
      <c r="I542" t="s">
        <v>390</v>
      </c>
      <c r="K542" t="s">
        <v>466</v>
      </c>
      <c r="L542" t="s">
        <v>469</v>
      </c>
      <c r="M542" t="s">
        <v>472</v>
      </c>
      <c r="N542" t="s">
        <v>563</v>
      </c>
      <c r="O542" t="s">
        <v>856</v>
      </c>
      <c r="P542" s="1">
        <f>HYPERLINK("https://ec.europa.eu/info/funding-tenders/opportunities/portal/screen/opportunities/topic-details/horizon-cl5-2021-d1-01-03", "HORIZON-CL5-2021-D1-01-03")</f>
        <v>0</v>
      </c>
      <c r="Q542" t="s">
        <v>1497</v>
      </c>
    </row>
    <row r="543" spans="1:17">
      <c r="A543">
        <v>44118040</v>
      </c>
      <c r="B543">
        <v>2021</v>
      </c>
      <c r="C543" t="s">
        <v>20</v>
      </c>
      <c r="D543" t="s">
        <v>40</v>
      </c>
      <c r="E543" t="s">
        <v>71</v>
      </c>
      <c r="F543" t="s">
        <v>123</v>
      </c>
      <c r="G543" t="s">
        <v>246</v>
      </c>
      <c r="H543" t="s">
        <v>316</v>
      </c>
      <c r="I543" t="s">
        <v>390</v>
      </c>
      <c r="K543" t="s">
        <v>466</v>
      </c>
      <c r="L543" t="s">
        <v>469</v>
      </c>
      <c r="M543" t="s">
        <v>471</v>
      </c>
      <c r="N543" t="s">
        <v>563</v>
      </c>
      <c r="O543" t="s">
        <v>856</v>
      </c>
      <c r="P543" s="1">
        <f>HYPERLINK("https://ec.europa.eu/info/funding-tenders/opportunities/portal/screen/opportunities/topic-details/horizon-cl5-2021-d1-01-04", "HORIZON-CL5-2021-D1-01-04")</f>
        <v>0</v>
      </c>
      <c r="Q543" t="s">
        <v>1498</v>
      </c>
    </row>
    <row r="544" spans="1:17">
      <c r="A544">
        <v>44118061</v>
      </c>
      <c r="B544">
        <v>2021</v>
      </c>
      <c r="C544" t="s">
        <v>20</v>
      </c>
      <c r="D544" t="s">
        <v>40</v>
      </c>
      <c r="E544" t="s">
        <v>71</v>
      </c>
      <c r="F544" t="s">
        <v>123</v>
      </c>
      <c r="G544" t="s">
        <v>246</v>
      </c>
      <c r="H544" t="s">
        <v>316</v>
      </c>
      <c r="I544" t="s">
        <v>390</v>
      </c>
      <c r="K544" t="s">
        <v>466</v>
      </c>
      <c r="L544" t="s">
        <v>469</v>
      </c>
      <c r="M544" t="s">
        <v>471</v>
      </c>
      <c r="N544" t="s">
        <v>563</v>
      </c>
      <c r="O544" t="s">
        <v>856</v>
      </c>
      <c r="P544" s="1">
        <f>HYPERLINK("https://ec.europa.eu/info/funding-tenders/opportunities/portal/screen/opportunities/topic-details/horizon-cl5-2021-d1-01-05", "HORIZON-CL5-2021-D1-01-05")</f>
        <v>0</v>
      </c>
      <c r="Q544" t="s">
        <v>1499</v>
      </c>
    </row>
    <row r="545" spans="1:17">
      <c r="A545">
        <v>44120980</v>
      </c>
      <c r="B545">
        <v>2021</v>
      </c>
      <c r="C545" t="s">
        <v>20</v>
      </c>
      <c r="D545" t="s">
        <v>40</v>
      </c>
      <c r="E545" t="s">
        <v>71</v>
      </c>
      <c r="F545" t="s">
        <v>123</v>
      </c>
      <c r="G545" t="s">
        <v>246</v>
      </c>
      <c r="H545" t="s">
        <v>316</v>
      </c>
      <c r="I545" t="s">
        <v>390</v>
      </c>
      <c r="K545" t="s">
        <v>466</v>
      </c>
      <c r="L545" t="s">
        <v>469</v>
      </c>
      <c r="M545" t="s">
        <v>472</v>
      </c>
      <c r="N545" t="s">
        <v>563</v>
      </c>
      <c r="O545" t="s">
        <v>856</v>
      </c>
      <c r="P545" s="1">
        <f>HYPERLINK("https://ec.europa.eu/info/funding-tenders/opportunities/portal/screen/opportunities/topic-details/horizon-cl5-2021-d1-01-06", "HORIZON-CL5-2021-D1-01-06")</f>
        <v>0</v>
      </c>
      <c r="Q545" t="s">
        <v>1500</v>
      </c>
    </row>
    <row r="546" spans="1:17">
      <c r="A546">
        <v>44118081</v>
      </c>
      <c r="B546">
        <v>2021</v>
      </c>
      <c r="C546" t="s">
        <v>20</v>
      </c>
      <c r="D546" t="s">
        <v>40</v>
      </c>
      <c r="E546" t="s">
        <v>71</v>
      </c>
      <c r="F546" t="s">
        <v>123</v>
      </c>
      <c r="G546" t="s">
        <v>246</v>
      </c>
      <c r="H546" t="s">
        <v>316</v>
      </c>
      <c r="I546" t="s">
        <v>390</v>
      </c>
      <c r="K546" t="s">
        <v>466</v>
      </c>
      <c r="L546" t="s">
        <v>469</v>
      </c>
      <c r="M546" t="s">
        <v>471</v>
      </c>
      <c r="N546" t="s">
        <v>563</v>
      </c>
      <c r="O546" t="s">
        <v>856</v>
      </c>
      <c r="P546" s="1">
        <f>HYPERLINK("https://ec.europa.eu/info/funding-tenders/opportunities/portal/screen/opportunities/topic-details/horizon-cl5-2021-d1-01-07", "HORIZON-CL5-2021-D1-01-07")</f>
        <v>0</v>
      </c>
      <c r="Q546" t="s">
        <v>1501</v>
      </c>
    </row>
    <row r="547" spans="1:17">
      <c r="A547">
        <v>44118100</v>
      </c>
      <c r="B547">
        <v>2021</v>
      </c>
      <c r="C547" t="s">
        <v>20</v>
      </c>
      <c r="D547" t="s">
        <v>40</v>
      </c>
      <c r="E547" t="s">
        <v>71</v>
      </c>
      <c r="F547" t="s">
        <v>123</v>
      </c>
      <c r="G547" t="s">
        <v>246</v>
      </c>
      <c r="H547" t="s">
        <v>316</v>
      </c>
      <c r="I547" t="s">
        <v>390</v>
      </c>
      <c r="K547" t="s">
        <v>466</v>
      </c>
      <c r="L547" t="s">
        <v>469</v>
      </c>
      <c r="M547" t="s">
        <v>471</v>
      </c>
      <c r="N547" t="s">
        <v>563</v>
      </c>
      <c r="O547" t="s">
        <v>856</v>
      </c>
      <c r="P547" s="1">
        <f>HYPERLINK("https://ec.europa.eu/info/funding-tenders/opportunities/portal/screen/opportunities/topic-details/horizon-cl5-2021-d1-01-08", "HORIZON-CL5-2021-D1-01-08")</f>
        <v>0</v>
      </c>
      <c r="Q547" t="s">
        <v>1502</v>
      </c>
    </row>
    <row r="548" spans="1:17">
      <c r="A548">
        <v>44121001</v>
      </c>
      <c r="B548">
        <v>2021</v>
      </c>
      <c r="C548" t="s">
        <v>20</v>
      </c>
      <c r="D548" t="s">
        <v>40</v>
      </c>
      <c r="E548" t="s">
        <v>71</v>
      </c>
      <c r="F548" t="s">
        <v>123</v>
      </c>
      <c r="G548" t="s">
        <v>246</v>
      </c>
      <c r="H548" t="s">
        <v>316</v>
      </c>
      <c r="I548" t="s">
        <v>390</v>
      </c>
      <c r="K548" t="s">
        <v>466</v>
      </c>
      <c r="L548" t="s">
        <v>469</v>
      </c>
      <c r="M548" t="s">
        <v>471</v>
      </c>
      <c r="N548" t="s">
        <v>563</v>
      </c>
      <c r="O548" t="s">
        <v>856</v>
      </c>
      <c r="P548" s="1">
        <f>HYPERLINK("https://ec.europa.eu/info/funding-tenders/opportunities/portal/screen/opportunities/topic-details/horizon-cl5-2021-d1-01-09", "HORIZON-CL5-2021-D1-01-09")</f>
        <v>0</v>
      </c>
      <c r="Q548" t="s">
        <v>1503</v>
      </c>
    </row>
    <row r="549" spans="1:17">
      <c r="A549">
        <v>44117327</v>
      </c>
      <c r="B549">
        <v>2021</v>
      </c>
      <c r="C549" t="s">
        <v>20</v>
      </c>
      <c r="D549" t="s">
        <v>40</v>
      </c>
      <c r="E549" t="s">
        <v>76</v>
      </c>
      <c r="F549" t="s">
        <v>124</v>
      </c>
      <c r="G549" t="s">
        <v>246</v>
      </c>
      <c r="H549" t="s">
        <v>316</v>
      </c>
      <c r="I549" t="s">
        <v>391</v>
      </c>
      <c r="K549" t="s">
        <v>466</v>
      </c>
      <c r="L549" t="s">
        <v>469</v>
      </c>
      <c r="M549" t="s">
        <v>471</v>
      </c>
      <c r="N549" t="s">
        <v>564</v>
      </c>
      <c r="O549" t="s">
        <v>857</v>
      </c>
      <c r="P549" s="1">
        <f>HYPERLINK("https://ec.europa.eu/info/funding-tenders/opportunities/portal/screen/opportunities/topic-details/horizon-cl5-2021-d2-01-01", "HORIZON-CL5-2021-D2-01-01")</f>
        <v>0</v>
      </c>
      <c r="Q549" t="s">
        <v>1504</v>
      </c>
    </row>
    <row r="550" spans="1:17">
      <c r="A550">
        <v>44118249</v>
      </c>
      <c r="B550">
        <v>2021</v>
      </c>
      <c r="C550" t="s">
        <v>20</v>
      </c>
      <c r="D550" t="s">
        <v>40</v>
      </c>
      <c r="E550" t="s">
        <v>76</v>
      </c>
      <c r="F550" t="s">
        <v>124</v>
      </c>
      <c r="G550" t="s">
        <v>246</v>
      </c>
      <c r="H550" t="s">
        <v>316</v>
      </c>
      <c r="I550" t="s">
        <v>391</v>
      </c>
      <c r="K550" t="s">
        <v>466</v>
      </c>
      <c r="L550" t="s">
        <v>469</v>
      </c>
      <c r="M550" t="s">
        <v>471</v>
      </c>
      <c r="N550" t="s">
        <v>564</v>
      </c>
      <c r="O550" t="s">
        <v>857</v>
      </c>
      <c r="P550" s="1">
        <f>HYPERLINK("https://ec.europa.eu/info/funding-tenders/opportunities/portal/screen/opportunities/topic-details/horizon-cl5-2021-d2-01-02", "HORIZON-CL5-2021-D2-01-02")</f>
        <v>0</v>
      </c>
      <c r="Q550" t="s">
        <v>1505</v>
      </c>
    </row>
    <row r="551" spans="1:17">
      <c r="A551">
        <v>44117356</v>
      </c>
      <c r="B551">
        <v>2021</v>
      </c>
      <c r="C551" t="s">
        <v>20</v>
      </c>
      <c r="D551" t="s">
        <v>40</v>
      </c>
      <c r="E551" t="s">
        <v>76</v>
      </c>
      <c r="F551" t="s">
        <v>124</v>
      </c>
      <c r="G551" t="s">
        <v>246</v>
      </c>
      <c r="H551" t="s">
        <v>316</v>
      </c>
      <c r="I551" t="s">
        <v>391</v>
      </c>
      <c r="K551" t="s">
        <v>466</v>
      </c>
      <c r="L551" t="s">
        <v>469</v>
      </c>
      <c r="M551" t="s">
        <v>471</v>
      </c>
      <c r="N551" t="s">
        <v>564</v>
      </c>
      <c r="O551" t="s">
        <v>857</v>
      </c>
      <c r="P551" s="1">
        <f>HYPERLINK("https://ec.europa.eu/info/funding-tenders/opportunities/portal/screen/opportunities/topic-details/horizon-cl5-2021-d2-01-03", "HORIZON-CL5-2021-D2-01-03")</f>
        <v>0</v>
      </c>
      <c r="Q551" t="s">
        <v>1506</v>
      </c>
    </row>
    <row r="552" spans="1:17">
      <c r="A552">
        <v>44118280</v>
      </c>
      <c r="B552">
        <v>2021</v>
      </c>
      <c r="C552" t="s">
        <v>20</v>
      </c>
      <c r="D552" t="s">
        <v>40</v>
      </c>
      <c r="E552" t="s">
        <v>76</v>
      </c>
      <c r="F552" t="s">
        <v>124</v>
      </c>
      <c r="G552" t="s">
        <v>246</v>
      </c>
      <c r="H552" t="s">
        <v>316</v>
      </c>
      <c r="I552" t="s">
        <v>391</v>
      </c>
      <c r="K552" t="s">
        <v>466</v>
      </c>
      <c r="L552" t="s">
        <v>469</v>
      </c>
      <c r="M552" t="s">
        <v>471</v>
      </c>
      <c r="N552" t="s">
        <v>564</v>
      </c>
      <c r="O552" t="s">
        <v>857</v>
      </c>
      <c r="P552" s="1">
        <f>HYPERLINK("https://ec.europa.eu/info/funding-tenders/opportunities/portal/screen/opportunities/topic-details/horizon-cl5-2021-d2-01-04", "HORIZON-CL5-2021-D2-01-04")</f>
        <v>0</v>
      </c>
      <c r="Q552" t="s">
        <v>1507</v>
      </c>
    </row>
    <row r="553" spans="1:17">
      <c r="A553">
        <v>44118312</v>
      </c>
      <c r="B553">
        <v>2021</v>
      </c>
      <c r="C553" t="s">
        <v>20</v>
      </c>
      <c r="D553" t="s">
        <v>40</v>
      </c>
      <c r="E553" t="s">
        <v>76</v>
      </c>
      <c r="F553" t="s">
        <v>124</v>
      </c>
      <c r="G553" t="s">
        <v>246</v>
      </c>
      <c r="H553" t="s">
        <v>316</v>
      </c>
      <c r="I553" t="s">
        <v>391</v>
      </c>
      <c r="K553" t="s">
        <v>466</v>
      </c>
      <c r="L553" t="s">
        <v>469</v>
      </c>
      <c r="M553" t="s">
        <v>471</v>
      </c>
      <c r="N553" t="s">
        <v>564</v>
      </c>
      <c r="O553" t="s">
        <v>857</v>
      </c>
      <c r="P553" s="1">
        <f>HYPERLINK("https://ec.europa.eu/info/funding-tenders/opportunities/portal/screen/opportunities/topic-details/horizon-cl5-2021-d2-01-05", "HORIZON-CL5-2021-D2-01-05")</f>
        <v>0</v>
      </c>
      <c r="Q553" t="s">
        <v>1508</v>
      </c>
    </row>
    <row r="554" spans="1:17">
      <c r="A554">
        <v>44118343</v>
      </c>
      <c r="B554">
        <v>2021</v>
      </c>
      <c r="C554" t="s">
        <v>20</v>
      </c>
      <c r="D554" t="s">
        <v>40</v>
      </c>
      <c r="E554" t="s">
        <v>76</v>
      </c>
      <c r="F554" t="s">
        <v>124</v>
      </c>
      <c r="G554" t="s">
        <v>246</v>
      </c>
      <c r="H554" t="s">
        <v>316</v>
      </c>
      <c r="I554" t="s">
        <v>391</v>
      </c>
      <c r="K554" t="s">
        <v>466</v>
      </c>
      <c r="L554" t="s">
        <v>469</v>
      </c>
      <c r="M554" t="s">
        <v>471</v>
      </c>
      <c r="N554" t="s">
        <v>564</v>
      </c>
      <c r="O554" t="s">
        <v>857</v>
      </c>
      <c r="P554" s="1">
        <f>HYPERLINK("https://ec.europa.eu/info/funding-tenders/opportunities/portal/screen/opportunities/topic-details/horizon-cl5-2021-d2-01-06", "HORIZON-CL5-2021-D2-01-06")</f>
        <v>0</v>
      </c>
      <c r="Q554" t="s">
        <v>1509</v>
      </c>
    </row>
    <row r="555" spans="1:17">
      <c r="A555">
        <v>44118399</v>
      </c>
      <c r="B555">
        <v>2021</v>
      </c>
      <c r="C555" t="s">
        <v>20</v>
      </c>
      <c r="D555" t="s">
        <v>40</v>
      </c>
      <c r="E555" t="s">
        <v>76</v>
      </c>
      <c r="F555" t="s">
        <v>124</v>
      </c>
      <c r="G555" t="s">
        <v>246</v>
      </c>
      <c r="H555" t="s">
        <v>316</v>
      </c>
      <c r="I555" t="s">
        <v>391</v>
      </c>
      <c r="K555" t="s">
        <v>466</v>
      </c>
      <c r="L555" t="s">
        <v>469</v>
      </c>
      <c r="M555" t="s">
        <v>472</v>
      </c>
      <c r="N555" t="s">
        <v>564</v>
      </c>
      <c r="O555" t="s">
        <v>857</v>
      </c>
      <c r="P555" s="1">
        <f>HYPERLINK("https://ec.europa.eu/info/funding-tenders/opportunities/portal/screen/opportunities/topic-details/horizon-cl5-2021-d2-01-07", "HORIZON-CL5-2021-D2-01-07")</f>
        <v>0</v>
      </c>
      <c r="Q555" t="s">
        <v>1510</v>
      </c>
    </row>
    <row r="556" spans="1:17">
      <c r="A556">
        <v>44121194</v>
      </c>
      <c r="B556">
        <v>2021</v>
      </c>
      <c r="C556" t="s">
        <v>20</v>
      </c>
      <c r="D556" t="s">
        <v>40</v>
      </c>
      <c r="E556" t="s">
        <v>71</v>
      </c>
      <c r="F556" t="s">
        <v>124</v>
      </c>
      <c r="G556" t="s">
        <v>246</v>
      </c>
      <c r="H556" t="s">
        <v>316</v>
      </c>
      <c r="I556" t="s">
        <v>391</v>
      </c>
      <c r="K556" t="s">
        <v>466</v>
      </c>
      <c r="L556" t="s">
        <v>469</v>
      </c>
      <c r="M556" t="s">
        <v>471</v>
      </c>
      <c r="N556" t="s">
        <v>564</v>
      </c>
      <c r="O556" t="s">
        <v>857</v>
      </c>
      <c r="P556" s="1">
        <f>HYPERLINK("https://ec.europa.eu/info/funding-tenders/opportunities/portal/screen/opportunities/topic-details/horizon-cl5-2021-d2-01-08", "HORIZON-CL5-2021-D2-01-08")</f>
        <v>0</v>
      </c>
      <c r="Q556" t="s">
        <v>1511</v>
      </c>
    </row>
    <row r="557" spans="1:17">
      <c r="A557">
        <v>44118431</v>
      </c>
      <c r="B557">
        <v>2021</v>
      </c>
      <c r="C557" t="s">
        <v>20</v>
      </c>
      <c r="D557" t="s">
        <v>40</v>
      </c>
      <c r="E557" t="s">
        <v>71</v>
      </c>
      <c r="F557" t="s">
        <v>124</v>
      </c>
      <c r="G557" t="s">
        <v>246</v>
      </c>
      <c r="H557" t="s">
        <v>316</v>
      </c>
      <c r="I557" t="s">
        <v>391</v>
      </c>
      <c r="K557" t="s">
        <v>466</v>
      </c>
      <c r="L557" t="s">
        <v>469</v>
      </c>
      <c r="M557" t="s">
        <v>471</v>
      </c>
      <c r="N557" t="s">
        <v>564</v>
      </c>
      <c r="O557" t="s">
        <v>857</v>
      </c>
      <c r="P557" s="1">
        <f>HYPERLINK("https://ec.europa.eu/info/funding-tenders/opportunities/portal/screen/opportunities/topic-details/horizon-cl5-2021-d2-01-09", "HORIZON-CL5-2021-D2-01-09")</f>
        <v>0</v>
      </c>
      <c r="Q557" t="s">
        <v>1512</v>
      </c>
    </row>
    <row r="558" spans="1:17">
      <c r="A558">
        <v>44118461</v>
      </c>
      <c r="B558">
        <v>2021</v>
      </c>
      <c r="C558" t="s">
        <v>20</v>
      </c>
      <c r="D558" t="s">
        <v>40</v>
      </c>
      <c r="E558" t="s">
        <v>71</v>
      </c>
      <c r="F558" t="s">
        <v>124</v>
      </c>
      <c r="G558" t="s">
        <v>246</v>
      </c>
      <c r="H558" t="s">
        <v>316</v>
      </c>
      <c r="I558" t="s">
        <v>391</v>
      </c>
      <c r="K558" t="s">
        <v>466</v>
      </c>
      <c r="L558" t="s">
        <v>469</v>
      </c>
      <c r="M558" t="s">
        <v>471</v>
      </c>
      <c r="N558" t="s">
        <v>564</v>
      </c>
      <c r="O558" t="s">
        <v>857</v>
      </c>
      <c r="P558" s="1">
        <f>HYPERLINK("https://ec.europa.eu/info/funding-tenders/opportunities/portal/screen/opportunities/topic-details/horizon-cl5-2021-d2-01-10", "HORIZON-CL5-2021-D2-01-10")</f>
        <v>0</v>
      </c>
      <c r="Q558" t="s">
        <v>1513</v>
      </c>
    </row>
    <row r="559" spans="1:17">
      <c r="A559">
        <v>44118490</v>
      </c>
      <c r="B559">
        <v>2021</v>
      </c>
      <c r="C559" t="s">
        <v>20</v>
      </c>
      <c r="D559" t="s">
        <v>40</v>
      </c>
      <c r="E559" t="s">
        <v>77</v>
      </c>
      <c r="F559" t="s">
        <v>124</v>
      </c>
      <c r="G559" t="s">
        <v>246</v>
      </c>
      <c r="H559" t="s">
        <v>316</v>
      </c>
      <c r="I559" t="s">
        <v>391</v>
      </c>
      <c r="K559" t="s">
        <v>466</v>
      </c>
      <c r="L559" t="s">
        <v>469</v>
      </c>
      <c r="M559" t="s">
        <v>471</v>
      </c>
      <c r="N559" t="s">
        <v>564</v>
      </c>
      <c r="O559" t="s">
        <v>857</v>
      </c>
      <c r="P559" s="1">
        <f>HYPERLINK("https://ec.europa.eu/info/funding-tenders/opportunities/portal/screen/opportunities/topic-details/horizon-cl5-2021-d2-01-11", "HORIZON-CL5-2021-D2-01-11")</f>
        <v>0</v>
      </c>
      <c r="Q559" t="s">
        <v>1514</v>
      </c>
    </row>
    <row r="560" spans="1:17">
      <c r="A560">
        <v>44121064</v>
      </c>
      <c r="B560">
        <v>2021</v>
      </c>
      <c r="C560" t="s">
        <v>20</v>
      </c>
      <c r="D560" t="s">
        <v>40</v>
      </c>
      <c r="E560" t="s">
        <v>71</v>
      </c>
      <c r="F560" t="s">
        <v>124</v>
      </c>
      <c r="G560" t="s">
        <v>246</v>
      </c>
      <c r="H560" t="s">
        <v>316</v>
      </c>
      <c r="I560" t="s">
        <v>391</v>
      </c>
      <c r="K560" t="s">
        <v>466</v>
      </c>
      <c r="L560" t="s">
        <v>469</v>
      </c>
      <c r="M560" t="s">
        <v>471</v>
      </c>
      <c r="N560" t="s">
        <v>564</v>
      </c>
      <c r="O560" t="s">
        <v>857</v>
      </c>
      <c r="P560" s="1">
        <f>HYPERLINK("https://ec.europa.eu/info/funding-tenders/opportunities/portal/screen/opportunities/topic-details/horizon-cl5-2021-d2-01-12", "HORIZON-CL5-2021-D2-01-12")</f>
        <v>0</v>
      </c>
      <c r="Q560" t="s">
        <v>1515</v>
      </c>
    </row>
    <row r="561" spans="1:17">
      <c r="A561">
        <v>44117241</v>
      </c>
      <c r="B561">
        <v>2021</v>
      </c>
      <c r="C561" t="s">
        <v>20</v>
      </c>
      <c r="D561" t="s">
        <v>40</v>
      </c>
      <c r="E561" t="s">
        <v>71</v>
      </c>
      <c r="F561" t="s">
        <v>124</v>
      </c>
      <c r="G561" t="s">
        <v>246</v>
      </c>
      <c r="H561" t="s">
        <v>316</v>
      </c>
      <c r="I561" t="s">
        <v>391</v>
      </c>
      <c r="K561" t="s">
        <v>466</v>
      </c>
      <c r="L561" t="s">
        <v>469</v>
      </c>
      <c r="M561" t="s">
        <v>472</v>
      </c>
      <c r="N561" t="s">
        <v>564</v>
      </c>
      <c r="O561" t="s">
        <v>857</v>
      </c>
      <c r="P561" s="1">
        <f>HYPERLINK("https://ec.europa.eu/info/funding-tenders/opportunities/portal/screen/opportunities/topic-details/horizon-cl5-2021-d2-01-13", "HORIZON-CL5-2021-D2-01-13")</f>
        <v>0</v>
      </c>
      <c r="Q561" t="s">
        <v>1516</v>
      </c>
    </row>
    <row r="562" spans="1:17">
      <c r="A562">
        <v>44117282</v>
      </c>
      <c r="B562">
        <v>2021</v>
      </c>
      <c r="C562" t="s">
        <v>20</v>
      </c>
      <c r="D562" t="s">
        <v>40</v>
      </c>
      <c r="E562" t="s">
        <v>71</v>
      </c>
      <c r="F562" t="s">
        <v>124</v>
      </c>
      <c r="G562" t="s">
        <v>246</v>
      </c>
      <c r="H562" t="s">
        <v>316</v>
      </c>
      <c r="I562" t="s">
        <v>391</v>
      </c>
      <c r="K562" t="s">
        <v>466</v>
      </c>
      <c r="L562" t="s">
        <v>469</v>
      </c>
      <c r="M562" t="s">
        <v>472</v>
      </c>
      <c r="N562" t="s">
        <v>564</v>
      </c>
      <c r="O562" t="s">
        <v>857</v>
      </c>
      <c r="P562" s="1">
        <f>HYPERLINK("https://ec.europa.eu/info/funding-tenders/opportunities/portal/screen/opportunities/topic-details/horizon-cl5-2021-d2-01-14", "HORIZON-CL5-2021-D2-01-14")</f>
        <v>0</v>
      </c>
      <c r="Q562" t="s">
        <v>1517</v>
      </c>
    </row>
    <row r="563" spans="1:17">
      <c r="A563">
        <v>44121103</v>
      </c>
      <c r="B563">
        <v>2021</v>
      </c>
      <c r="C563" t="s">
        <v>20</v>
      </c>
      <c r="D563" t="s">
        <v>40</v>
      </c>
      <c r="E563" t="s">
        <v>71</v>
      </c>
      <c r="F563" t="s">
        <v>124</v>
      </c>
      <c r="G563" t="s">
        <v>246</v>
      </c>
      <c r="H563" t="s">
        <v>316</v>
      </c>
      <c r="I563" t="s">
        <v>391</v>
      </c>
      <c r="K563" t="s">
        <v>466</v>
      </c>
      <c r="L563" t="s">
        <v>469</v>
      </c>
      <c r="M563" t="s">
        <v>472</v>
      </c>
      <c r="N563" t="s">
        <v>564</v>
      </c>
      <c r="O563" t="s">
        <v>857</v>
      </c>
      <c r="P563" s="1">
        <f>HYPERLINK("https://ec.europa.eu/info/funding-tenders/opportunities/portal/screen/opportunities/topic-details/horizon-cl5-2021-d2-01-15", "HORIZON-CL5-2021-D2-01-15")</f>
        <v>0</v>
      </c>
      <c r="Q563" t="s">
        <v>1518</v>
      </c>
    </row>
    <row r="564" spans="1:17">
      <c r="A564">
        <v>44121492</v>
      </c>
      <c r="B564">
        <v>2021</v>
      </c>
      <c r="C564" t="s">
        <v>20</v>
      </c>
      <c r="D564" t="s">
        <v>40</v>
      </c>
      <c r="E564" t="s">
        <v>78</v>
      </c>
      <c r="F564" t="s">
        <v>124</v>
      </c>
      <c r="G564" t="s">
        <v>246</v>
      </c>
      <c r="H564" t="s">
        <v>316</v>
      </c>
      <c r="I564" t="s">
        <v>391</v>
      </c>
      <c r="K564" t="s">
        <v>466</v>
      </c>
      <c r="L564" t="s">
        <v>469</v>
      </c>
      <c r="M564" t="s">
        <v>476</v>
      </c>
      <c r="N564" t="s">
        <v>564</v>
      </c>
      <c r="O564" t="s">
        <v>857</v>
      </c>
      <c r="P564" s="1">
        <f>HYPERLINK("https://ec.europa.eu/info/funding-tenders/opportunities/portal/screen/opportunities/topic-details/horizon-cl5-2021-d2-01-16", "HORIZON-CL5-2021-D2-01-16")</f>
        <v>0</v>
      </c>
      <c r="Q564" t="s">
        <v>1519</v>
      </c>
    </row>
    <row r="565" spans="1:17">
      <c r="A565">
        <v>44121384</v>
      </c>
      <c r="B565">
        <v>2021</v>
      </c>
      <c r="C565" t="s">
        <v>20</v>
      </c>
      <c r="D565" t="s">
        <v>40</v>
      </c>
      <c r="E565" t="s">
        <v>79</v>
      </c>
      <c r="F565" t="s">
        <v>125</v>
      </c>
      <c r="G565" t="s">
        <v>247</v>
      </c>
      <c r="H565" t="s">
        <v>316</v>
      </c>
      <c r="I565" t="s">
        <v>392</v>
      </c>
      <c r="K565" t="s">
        <v>466</v>
      </c>
      <c r="L565" t="s">
        <v>469</v>
      </c>
      <c r="M565" t="s">
        <v>473</v>
      </c>
      <c r="N565" t="s">
        <v>565</v>
      </c>
      <c r="O565" t="s">
        <v>858</v>
      </c>
      <c r="P565" s="1">
        <f>HYPERLINK("https://ec.europa.eu/info/funding-tenders/opportunities/portal/screen/opportunities/topic-details/horizon-cl5-2021-d3-01-01", "HORIZON-CL5-2021-D3-01-01")</f>
        <v>0</v>
      </c>
      <c r="Q565" t="s">
        <v>1520</v>
      </c>
    </row>
    <row r="566" spans="1:17">
      <c r="A566">
        <v>44122468</v>
      </c>
      <c r="B566">
        <v>2021</v>
      </c>
      <c r="C566" t="s">
        <v>20</v>
      </c>
      <c r="D566" t="s">
        <v>40</v>
      </c>
      <c r="E566" t="s">
        <v>79</v>
      </c>
      <c r="F566" t="s">
        <v>125</v>
      </c>
      <c r="G566" t="s">
        <v>247</v>
      </c>
      <c r="H566" t="s">
        <v>316</v>
      </c>
      <c r="I566" t="s">
        <v>392</v>
      </c>
      <c r="K566" t="s">
        <v>466</v>
      </c>
      <c r="L566" t="s">
        <v>469</v>
      </c>
      <c r="M566" t="s">
        <v>472</v>
      </c>
      <c r="N566" t="s">
        <v>565</v>
      </c>
      <c r="O566" t="s">
        <v>858</v>
      </c>
      <c r="P566" s="1">
        <f>HYPERLINK("https://ec.europa.eu/info/funding-tenders/opportunities/portal/screen/opportunities/topic-details/horizon-cl5-2021-d3-01-02", "HORIZON-CL5-2021-D3-01-02")</f>
        <v>0</v>
      </c>
      <c r="Q566" t="s">
        <v>1521</v>
      </c>
    </row>
    <row r="567" spans="1:17">
      <c r="A567">
        <v>44121415</v>
      </c>
      <c r="B567">
        <v>2021</v>
      </c>
      <c r="C567" t="s">
        <v>20</v>
      </c>
      <c r="D567" t="s">
        <v>40</v>
      </c>
      <c r="E567" t="s">
        <v>79</v>
      </c>
      <c r="F567" t="s">
        <v>125</v>
      </c>
      <c r="G567" t="s">
        <v>247</v>
      </c>
      <c r="H567" t="s">
        <v>316</v>
      </c>
      <c r="I567" t="s">
        <v>392</v>
      </c>
      <c r="K567" t="s">
        <v>466</v>
      </c>
      <c r="L567" t="s">
        <v>469</v>
      </c>
      <c r="M567" t="s">
        <v>472</v>
      </c>
      <c r="N567" t="s">
        <v>565</v>
      </c>
      <c r="O567" t="s">
        <v>858</v>
      </c>
      <c r="P567" s="1">
        <f>HYPERLINK("https://ec.europa.eu/info/funding-tenders/opportunities/portal/screen/opportunities/topic-details/horizon-cl5-2021-d3-01-03", "HORIZON-CL5-2021-D3-01-03")</f>
        <v>0</v>
      </c>
      <c r="Q567" t="s">
        <v>1522</v>
      </c>
    </row>
    <row r="568" spans="1:17">
      <c r="A568">
        <v>44122494</v>
      </c>
      <c r="B568">
        <v>2021</v>
      </c>
      <c r="C568" t="s">
        <v>20</v>
      </c>
      <c r="D568" t="s">
        <v>40</v>
      </c>
      <c r="E568" t="s">
        <v>80</v>
      </c>
      <c r="F568" t="s">
        <v>125</v>
      </c>
      <c r="G568" t="s">
        <v>247</v>
      </c>
      <c r="H568" t="s">
        <v>316</v>
      </c>
      <c r="I568" t="s">
        <v>392</v>
      </c>
      <c r="K568" t="s">
        <v>466</v>
      </c>
      <c r="L568" t="s">
        <v>469</v>
      </c>
      <c r="M568" t="s">
        <v>476</v>
      </c>
      <c r="N568" t="s">
        <v>565</v>
      </c>
      <c r="O568" t="s">
        <v>858</v>
      </c>
      <c r="P568" s="1">
        <f>HYPERLINK("https://ec.europa.eu/info/funding-tenders/opportunities/portal/screen/opportunities/topic-details/horizon-cl5-2021-d3-01-04", "HORIZON-CL5-2021-D3-01-04")</f>
        <v>0</v>
      </c>
      <c r="Q568" t="s">
        <v>1523</v>
      </c>
    </row>
    <row r="569" spans="1:17">
      <c r="A569">
        <v>44122103</v>
      </c>
      <c r="B569">
        <v>2021</v>
      </c>
      <c r="C569" t="s">
        <v>20</v>
      </c>
      <c r="D569" t="s">
        <v>40</v>
      </c>
      <c r="E569" t="s">
        <v>80</v>
      </c>
      <c r="F569" t="s">
        <v>126</v>
      </c>
      <c r="G569" t="s">
        <v>246</v>
      </c>
      <c r="H569" t="s">
        <v>316</v>
      </c>
      <c r="I569" t="s">
        <v>256</v>
      </c>
      <c r="K569" t="s">
        <v>466</v>
      </c>
      <c r="L569" t="s">
        <v>469</v>
      </c>
      <c r="M569" t="s">
        <v>473</v>
      </c>
      <c r="N569" t="s">
        <v>566</v>
      </c>
      <c r="O569" t="s">
        <v>858</v>
      </c>
      <c r="P569" s="1">
        <f>HYPERLINK("https://ec.europa.eu/info/funding-tenders/opportunities/portal/screen/opportunities/topic-details/horizon-cl5-2021-d3-02-01", "HORIZON-CL5-2021-D3-02-01")</f>
        <v>0</v>
      </c>
      <c r="Q569" t="s">
        <v>1524</v>
      </c>
    </row>
    <row r="570" spans="1:17">
      <c r="A570">
        <v>44122130</v>
      </c>
      <c r="B570">
        <v>2021</v>
      </c>
      <c r="C570" t="s">
        <v>20</v>
      </c>
      <c r="D570" t="s">
        <v>40</v>
      </c>
      <c r="E570" t="s">
        <v>80</v>
      </c>
      <c r="F570" t="s">
        <v>126</v>
      </c>
      <c r="G570" t="s">
        <v>246</v>
      </c>
      <c r="H570" t="s">
        <v>316</v>
      </c>
      <c r="I570" t="s">
        <v>256</v>
      </c>
      <c r="K570" t="s">
        <v>466</v>
      </c>
      <c r="L570" t="s">
        <v>469</v>
      </c>
      <c r="M570" t="s">
        <v>472</v>
      </c>
      <c r="N570" t="s">
        <v>566</v>
      </c>
      <c r="O570" t="s">
        <v>858</v>
      </c>
      <c r="P570" s="1">
        <f>HYPERLINK("https://ec.europa.eu/info/funding-tenders/opportunities/portal/screen/opportunities/topic-details/horizon-cl5-2021-d3-02-02", "HORIZON-CL5-2021-D3-02-02")</f>
        <v>0</v>
      </c>
      <c r="Q570" t="s">
        <v>1525</v>
      </c>
    </row>
    <row r="571" spans="1:17">
      <c r="A571">
        <v>44122166</v>
      </c>
      <c r="B571">
        <v>2021</v>
      </c>
      <c r="C571" t="s">
        <v>20</v>
      </c>
      <c r="D571" t="s">
        <v>40</v>
      </c>
      <c r="E571" t="s">
        <v>80</v>
      </c>
      <c r="F571" t="s">
        <v>126</v>
      </c>
      <c r="G571" t="s">
        <v>246</v>
      </c>
      <c r="H571" t="s">
        <v>316</v>
      </c>
      <c r="I571" t="s">
        <v>256</v>
      </c>
      <c r="K571" t="s">
        <v>466</v>
      </c>
      <c r="L571" t="s">
        <v>469</v>
      </c>
      <c r="M571" t="s">
        <v>472</v>
      </c>
      <c r="N571" t="s">
        <v>566</v>
      </c>
      <c r="O571" t="s">
        <v>858</v>
      </c>
      <c r="P571" s="1">
        <f>HYPERLINK("https://ec.europa.eu/info/funding-tenders/opportunities/portal/screen/opportunities/topic-details/horizon-cl5-2021-d3-02-03", "HORIZON-CL5-2021-D3-02-03")</f>
        <v>0</v>
      </c>
      <c r="Q571" t="s">
        <v>1526</v>
      </c>
    </row>
    <row r="572" spans="1:17">
      <c r="A572">
        <v>44122199</v>
      </c>
      <c r="B572">
        <v>2021</v>
      </c>
      <c r="C572" t="s">
        <v>20</v>
      </c>
      <c r="D572" t="s">
        <v>40</v>
      </c>
      <c r="E572" t="s">
        <v>80</v>
      </c>
      <c r="F572" t="s">
        <v>126</v>
      </c>
      <c r="G572" t="s">
        <v>246</v>
      </c>
      <c r="H572" t="s">
        <v>316</v>
      </c>
      <c r="I572" t="s">
        <v>256</v>
      </c>
      <c r="K572" t="s">
        <v>466</v>
      </c>
      <c r="L572" t="s">
        <v>469</v>
      </c>
      <c r="M572" t="s">
        <v>471</v>
      </c>
      <c r="N572" t="s">
        <v>566</v>
      </c>
      <c r="O572" t="s">
        <v>858</v>
      </c>
      <c r="P572" s="1">
        <f>HYPERLINK("https://ec.europa.eu/info/funding-tenders/opportunities/portal/screen/opportunities/topic-details/horizon-cl5-2021-d3-02-04", "HORIZON-CL5-2021-D3-02-04")</f>
        <v>0</v>
      </c>
      <c r="Q572" t="s">
        <v>1527</v>
      </c>
    </row>
    <row r="573" spans="1:17">
      <c r="A573">
        <v>44122232</v>
      </c>
      <c r="B573">
        <v>2021</v>
      </c>
      <c r="C573" t="s">
        <v>20</v>
      </c>
      <c r="D573" t="s">
        <v>40</v>
      </c>
      <c r="E573" t="s">
        <v>79</v>
      </c>
      <c r="F573" t="s">
        <v>126</v>
      </c>
      <c r="G573" t="s">
        <v>246</v>
      </c>
      <c r="H573" t="s">
        <v>316</v>
      </c>
      <c r="I573" t="s">
        <v>256</v>
      </c>
      <c r="K573" t="s">
        <v>466</v>
      </c>
      <c r="L573" t="s">
        <v>469</v>
      </c>
      <c r="M573" t="s">
        <v>473</v>
      </c>
      <c r="N573" t="s">
        <v>566</v>
      </c>
      <c r="O573" t="s">
        <v>858</v>
      </c>
      <c r="P573" s="1">
        <f>HYPERLINK("https://ec.europa.eu/info/funding-tenders/opportunities/portal/screen/opportunities/topic-details/horizon-cl5-2021-d3-02-05", "HORIZON-CL5-2021-D3-02-05")</f>
        <v>0</v>
      </c>
      <c r="Q573" t="s">
        <v>1528</v>
      </c>
    </row>
    <row r="574" spans="1:17">
      <c r="A574">
        <v>44122256</v>
      </c>
      <c r="B574">
        <v>2021</v>
      </c>
      <c r="C574" t="s">
        <v>20</v>
      </c>
      <c r="D574" t="s">
        <v>40</v>
      </c>
      <c r="E574" t="s">
        <v>79</v>
      </c>
      <c r="F574" t="s">
        <v>126</v>
      </c>
      <c r="G574" t="s">
        <v>246</v>
      </c>
      <c r="H574" t="s">
        <v>316</v>
      </c>
      <c r="I574" t="s">
        <v>256</v>
      </c>
      <c r="K574" t="s">
        <v>466</v>
      </c>
      <c r="L574" t="s">
        <v>469</v>
      </c>
      <c r="M574" t="s">
        <v>473</v>
      </c>
      <c r="N574" t="s">
        <v>566</v>
      </c>
      <c r="O574" t="s">
        <v>858</v>
      </c>
      <c r="P574" s="1">
        <f>HYPERLINK("https://ec.europa.eu/info/funding-tenders/opportunities/portal/screen/opportunities/topic-details/horizon-cl5-2021-d3-02-06", "HORIZON-CL5-2021-D3-02-06")</f>
        <v>0</v>
      </c>
      <c r="Q574" t="s">
        <v>1529</v>
      </c>
    </row>
    <row r="575" spans="1:17">
      <c r="A575">
        <v>44122281</v>
      </c>
      <c r="B575">
        <v>2021</v>
      </c>
      <c r="C575" t="s">
        <v>20</v>
      </c>
      <c r="D575" t="s">
        <v>40</v>
      </c>
      <c r="E575" t="s">
        <v>79</v>
      </c>
      <c r="F575" t="s">
        <v>126</v>
      </c>
      <c r="G575" t="s">
        <v>246</v>
      </c>
      <c r="H575" t="s">
        <v>316</v>
      </c>
      <c r="I575" t="s">
        <v>256</v>
      </c>
      <c r="K575" t="s">
        <v>466</v>
      </c>
      <c r="L575" t="s">
        <v>469</v>
      </c>
      <c r="M575" t="s">
        <v>473</v>
      </c>
      <c r="N575" t="s">
        <v>566</v>
      </c>
      <c r="O575" t="s">
        <v>858</v>
      </c>
      <c r="P575" s="1">
        <f>HYPERLINK("https://ec.europa.eu/info/funding-tenders/opportunities/portal/screen/opportunities/topic-details/horizon-cl5-2021-d3-02-07", "HORIZON-CL5-2021-D3-02-07")</f>
        <v>0</v>
      </c>
      <c r="Q575" t="s">
        <v>1530</v>
      </c>
    </row>
    <row r="576" spans="1:17">
      <c r="A576">
        <v>44122305</v>
      </c>
      <c r="B576">
        <v>2021</v>
      </c>
      <c r="C576" t="s">
        <v>20</v>
      </c>
      <c r="D576" t="s">
        <v>40</v>
      </c>
      <c r="E576" t="s">
        <v>79</v>
      </c>
      <c r="F576" t="s">
        <v>126</v>
      </c>
      <c r="G576" t="s">
        <v>246</v>
      </c>
      <c r="H576" t="s">
        <v>316</v>
      </c>
      <c r="I576" t="s">
        <v>256</v>
      </c>
      <c r="K576" t="s">
        <v>466</v>
      </c>
      <c r="L576" t="s">
        <v>469</v>
      </c>
      <c r="M576" t="s">
        <v>471</v>
      </c>
      <c r="N576" t="s">
        <v>566</v>
      </c>
      <c r="O576" t="s">
        <v>858</v>
      </c>
      <c r="P576" s="1">
        <f>HYPERLINK("https://ec.europa.eu/info/funding-tenders/opportunities/portal/screen/opportunities/topic-details/horizon-cl5-2021-d3-02-08", "HORIZON-CL5-2021-D3-02-08")</f>
        <v>0</v>
      </c>
      <c r="Q576" t="s">
        <v>1531</v>
      </c>
    </row>
    <row r="577" spans="1:17">
      <c r="A577">
        <v>44122335</v>
      </c>
      <c r="B577">
        <v>2021</v>
      </c>
      <c r="C577" t="s">
        <v>20</v>
      </c>
      <c r="D577" t="s">
        <v>40</v>
      </c>
      <c r="E577" t="s">
        <v>79</v>
      </c>
      <c r="F577" t="s">
        <v>126</v>
      </c>
      <c r="G577" t="s">
        <v>246</v>
      </c>
      <c r="H577" t="s">
        <v>316</v>
      </c>
      <c r="I577" t="s">
        <v>256</v>
      </c>
      <c r="K577" t="s">
        <v>466</v>
      </c>
      <c r="L577" t="s">
        <v>469</v>
      </c>
      <c r="M577" t="s">
        <v>473</v>
      </c>
      <c r="N577" t="s">
        <v>566</v>
      </c>
      <c r="O577" t="s">
        <v>858</v>
      </c>
      <c r="P577" s="1">
        <f>HYPERLINK("https://ec.europa.eu/info/funding-tenders/opportunities/portal/screen/opportunities/topic-details/horizon-cl5-2021-d3-02-09", "HORIZON-CL5-2021-D3-02-09")</f>
        <v>0</v>
      </c>
      <c r="Q577" t="s">
        <v>1532</v>
      </c>
    </row>
    <row r="578" spans="1:17">
      <c r="A578">
        <v>44121446</v>
      </c>
      <c r="B578">
        <v>2021</v>
      </c>
      <c r="C578" t="s">
        <v>20</v>
      </c>
      <c r="D578" t="s">
        <v>40</v>
      </c>
      <c r="E578" t="s">
        <v>79</v>
      </c>
      <c r="F578" t="s">
        <v>126</v>
      </c>
      <c r="G578" t="s">
        <v>246</v>
      </c>
      <c r="H578" t="s">
        <v>316</v>
      </c>
      <c r="I578" t="s">
        <v>256</v>
      </c>
      <c r="K578" t="s">
        <v>466</v>
      </c>
      <c r="L578" t="s">
        <v>469</v>
      </c>
      <c r="M578" t="s">
        <v>473</v>
      </c>
      <c r="N578" t="s">
        <v>566</v>
      </c>
      <c r="O578" t="s">
        <v>858</v>
      </c>
      <c r="P578" s="1">
        <f>HYPERLINK("https://ec.europa.eu/info/funding-tenders/opportunities/portal/screen/opportunities/topic-details/horizon-cl5-2021-d3-02-10", "HORIZON-CL5-2021-D3-02-10")</f>
        <v>0</v>
      </c>
      <c r="Q578" t="s">
        <v>1533</v>
      </c>
    </row>
    <row r="579" spans="1:17">
      <c r="A579">
        <v>44121469</v>
      </c>
      <c r="B579">
        <v>2021</v>
      </c>
      <c r="C579" t="s">
        <v>20</v>
      </c>
      <c r="D579" t="s">
        <v>40</v>
      </c>
      <c r="E579" t="s">
        <v>79</v>
      </c>
      <c r="F579" t="s">
        <v>126</v>
      </c>
      <c r="G579" t="s">
        <v>246</v>
      </c>
      <c r="H579" t="s">
        <v>316</v>
      </c>
      <c r="I579" t="s">
        <v>256</v>
      </c>
      <c r="K579" t="s">
        <v>466</v>
      </c>
      <c r="L579" t="s">
        <v>469</v>
      </c>
      <c r="M579" t="s">
        <v>472</v>
      </c>
      <c r="N579" t="s">
        <v>566</v>
      </c>
      <c r="O579" t="s">
        <v>858</v>
      </c>
      <c r="P579" s="1">
        <f>HYPERLINK("https://ec.europa.eu/info/funding-tenders/opportunities/portal/screen/opportunities/topic-details/horizon-cl5-2021-d3-02-11", "HORIZON-CL5-2021-D3-02-11")</f>
        <v>0</v>
      </c>
      <c r="Q579" t="s">
        <v>1534</v>
      </c>
    </row>
    <row r="580" spans="1:17">
      <c r="A580">
        <v>44122358</v>
      </c>
      <c r="B580">
        <v>2021</v>
      </c>
      <c r="C580" t="s">
        <v>20</v>
      </c>
      <c r="D580" t="s">
        <v>40</v>
      </c>
      <c r="E580" t="s">
        <v>80</v>
      </c>
      <c r="F580" t="s">
        <v>126</v>
      </c>
      <c r="G580" t="s">
        <v>246</v>
      </c>
      <c r="H580" t="s">
        <v>316</v>
      </c>
      <c r="I580" t="s">
        <v>256</v>
      </c>
      <c r="K580" t="s">
        <v>466</v>
      </c>
      <c r="L580" t="s">
        <v>469</v>
      </c>
      <c r="M580" t="s">
        <v>472</v>
      </c>
      <c r="N580" t="s">
        <v>566</v>
      </c>
      <c r="O580" t="s">
        <v>858</v>
      </c>
      <c r="P580" s="1">
        <f>HYPERLINK("https://ec.europa.eu/info/funding-tenders/opportunities/portal/screen/opportunities/topic-details/horizon-cl5-2021-d3-02-12", "HORIZON-CL5-2021-D3-02-12")</f>
        <v>0</v>
      </c>
      <c r="Q580" t="s">
        <v>1535</v>
      </c>
    </row>
    <row r="581" spans="1:17">
      <c r="A581">
        <v>44122392</v>
      </c>
      <c r="B581">
        <v>2021</v>
      </c>
      <c r="C581" t="s">
        <v>20</v>
      </c>
      <c r="D581" t="s">
        <v>40</v>
      </c>
      <c r="E581" t="s">
        <v>80</v>
      </c>
      <c r="F581" t="s">
        <v>126</v>
      </c>
      <c r="G581" t="s">
        <v>246</v>
      </c>
      <c r="H581" t="s">
        <v>316</v>
      </c>
      <c r="I581" t="s">
        <v>256</v>
      </c>
      <c r="K581" t="s">
        <v>466</v>
      </c>
      <c r="L581" t="s">
        <v>469</v>
      </c>
      <c r="M581" t="s">
        <v>471</v>
      </c>
      <c r="N581" t="s">
        <v>566</v>
      </c>
      <c r="O581" t="s">
        <v>858</v>
      </c>
      <c r="P581" s="1">
        <f>HYPERLINK("https://ec.europa.eu/info/funding-tenders/opportunities/portal/screen/opportunities/topic-details/horizon-cl5-2021-d3-02-13", "HORIZON-CL5-2021-D3-02-13")</f>
        <v>0</v>
      </c>
      <c r="Q581" t="s">
        <v>1536</v>
      </c>
    </row>
    <row r="582" spans="1:17">
      <c r="A582">
        <v>44122422</v>
      </c>
      <c r="B582">
        <v>2021</v>
      </c>
      <c r="C582" t="s">
        <v>20</v>
      </c>
      <c r="D582" t="s">
        <v>40</v>
      </c>
      <c r="E582" t="s">
        <v>77</v>
      </c>
      <c r="F582" t="s">
        <v>126</v>
      </c>
      <c r="G582" t="s">
        <v>246</v>
      </c>
      <c r="H582" t="s">
        <v>316</v>
      </c>
      <c r="I582" t="s">
        <v>256</v>
      </c>
      <c r="K582" t="s">
        <v>466</v>
      </c>
      <c r="L582" t="s">
        <v>469</v>
      </c>
      <c r="M582" t="s">
        <v>472</v>
      </c>
      <c r="N582" t="s">
        <v>566</v>
      </c>
      <c r="O582" t="s">
        <v>858</v>
      </c>
      <c r="P582" s="1">
        <f>HYPERLINK("https://ec.europa.eu/info/funding-tenders/opportunities/portal/screen/opportunities/topic-details/horizon-cl5-2021-d3-02-14", "HORIZON-CL5-2021-D3-02-14")</f>
        <v>0</v>
      </c>
      <c r="Q582" t="s">
        <v>1537</v>
      </c>
    </row>
    <row r="583" spans="1:17">
      <c r="A583">
        <v>44122446</v>
      </c>
      <c r="B583">
        <v>2021</v>
      </c>
      <c r="C583" t="s">
        <v>20</v>
      </c>
      <c r="D583" t="s">
        <v>40</v>
      </c>
      <c r="E583" t="s">
        <v>80</v>
      </c>
      <c r="F583" t="s">
        <v>126</v>
      </c>
      <c r="G583" t="s">
        <v>246</v>
      </c>
      <c r="H583" t="s">
        <v>316</v>
      </c>
      <c r="I583" t="s">
        <v>256</v>
      </c>
      <c r="K583" t="s">
        <v>466</v>
      </c>
      <c r="L583" t="s">
        <v>469</v>
      </c>
      <c r="M583" t="s">
        <v>472</v>
      </c>
      <c r="N583" t="s">
        <v>566</v>
      </c>
      <c r="O583" t="s">
        <v>858</v>
      </c>
      <c r="P583" s="1">
        <f>HYPERLINK("https://ec.europa.eu/info/funding-tenders/opportunities/portal/screen/opportunities/topic-details/horizon-cl5-2021-d3-02-15", "HORIZON-CL5-2021-D3-02-15")</f>
        <v>0</v>
      </c>
      <c r="Q583" t="s">
        <v>1538</v>
      </c>
    </row>
    <row r="584" spans="1:17">
      <c r="A584">
        <v>44121534</v>
      </c>
      <c r="B584">
        <v>2021</v>
      </c>
      <c r="C584" t="s">
        <v>20</v>
      </c>
      <c r="D584" t="s">
        <v>40</v>
      </c>
      <c r="E584" t="s">
        <v>80</v>
      </c>
      <c r="F584" t="s">
        <v>127</v>
      </c>
      <c r="G584" t="s">
        <v>246</v>
      </c>
      <c r="H584" t="s">
        <v>317</v>
      </c>
      <c r="I584" t="s">
        <v>393</v>
      </c>
      <c r="K584" t="s">
        <v>466</v>
      </c>
      <c r="L584" t="s">
        <v>469</v>
      </c>
      <c r="M584" t="s">
        <v>471</v>
      </c>
      <c r="N584" t="s">
        <v>567</v>
      </c>
      <c r="O584" t="s">
        <v>858</v>
      </c>
      <c r="P584" s="1">
        <f>HYPERLINK("https://ec.europa.eu/info/funding-tenders/opportunities/portal/screen/opportunities/topic-details/horizon-cl5-2021-d3-03-01", "HORIZON-CL5-2021-D3-03-01")</f>
        <v>0</v>
      </c>
      <c r="Q584" t="s">
        <v>1539</v>
      </c>
    </row>
    <row r="585" spans="1:17">
      <c r="A585">
        <v>44121571</v>
      </c>
      <c r="B585">
        <v>2021</v>
      </c>
      <c r="C585" t="s">
        <v>20</v>
      </c>
      <c r="D585" t="s">
        <v>40</v>
      </c>
      <c r="E585" t="s">
        <v>80</v>
      </c>
      <c r="F585" t="s">
        <v>127</v>
      </c>
      <c r="G585" t="s">
        <v>246</v>
      </c>
      <c r="H585" t="s">
        <v>317</v>
      </c>
      <c r="I585" t="s">
        <v>393</v>
      </c>
      <c r="K585" t="s">
        <v>466</v>
      </c>
      <c r="L585" t="s">
        <v>469</v>
      </c>
      <c r="M585" t="s">
        <v>471</v>
      </c>
      <c r="N585" t="s">
        <v>567</v>
      </c>
      <c r="O585" t="s">
        <v>858</v>
      </c>
      <c r="P585" s="1">
        <f>HYPERLINK("https://ec.europa.eu/info/funding-tenders/opportunities/portal/screen/opportunities/topic-details/horizon-cl5-2021-d3-03-02", "HORIZON-CL5-2021-D3-03-02")</f>
        <v>0</v>
      </c>
      <c r="Q585" t="s">
        <v>1540</v>
      </c>
    </row>
    <row r="586" spans="1:17">
      <c r="A586">
        <v>44121610</v>
      </c>
      <c r="B586">
        <v>2021</v>
      </c>
      <c r="C586" t="s">
        <v>20</v>
      </c>
      <c r="D586" t="s">
        <v>40</v>
      </c>
      <c r="E586" t="s">
        <v>80</v>
      </c>
      <c r="F586" t="s">
        <v>127</v>
      </c>
      <c r="G586" t="s">
        <v>246</v>
      </c>
      <c r="H586" t="s">
        <v>317</v>
      </c>
      <c r="I586" t="s">
        <v>393</v>
      </c>
      <c r="K586" t="s">
        <v>466</v>
      </c>
      <c r="L586" t="s">
        <v>469</v>
      </c>
      <c r="M586" t="s">
        <v>471</v>
      </c>
      <c r="N586" t="s">
        <v>567</v>
      </c>
      <c r="O586" t="s">
        <v>858</v>
      </c>
      <c r="P586" s="1">
        <f>HYPERLINK("https://ec.europa.eu/info/funding-tenders/opportunities/portal/screen/opportunities/topic-details/horizon-cl5-2021-d3-03-03", "HORIZON-CL5-2021-D3-03-03")</f>
        <v>0</v>
      </c>
      <c r="Q586" t="s">
        <v>1541</v>
      </c>
    </row>
    <row r="587" spans="1:17">
      <c r="A587">
        <v>44121647</v>
      </c>
      <c r="B587">
        <v>2021</v>
      </c>
      <c r="C587" t="s">
        <v>20</v>
      </c>
      <c r="D587" t="s">
        <v>40</v>
      </c>
      <c r="E587" t="s">
        <v>80</v>
      </c>
      <c r="F587" t="s">
        <v>127</v>
      </c>
      <c r="G587" t="s">
        <v>246</v>
      </c>
      <c r="H587" t="s">
        <v>317</v>
      </c>
      <c r="I587" t="s">
        <v>393</v>
      </c>
      <c r="K587" t="s">
        <v>466</v>
      </c>
      <c r="L587" t="s">
        <v>469</v>
      </c>
      <c r="M587" t="s">
        <v>471</v>
      </c>
      <c r="N587" t="s">
        <v>567</v>
      </c>
      <c r="O587" t="s">
        <v>858</v>
      </c>
      <c r="P587" s="1">
        <f>HYPERLINK("https://ec.europa.eu/info/funding-tenders/opportunities/portal/screen/opportunities/topic-details/horizon-cl5-2021-d3-03-04", "HORIZON-CL5-2021-D3-03-04")</f>
        <v>0</v>
      </c>
      <c r="Q587" t="s">
        <v>1542</v>
      </c>
    </row>
    <row r="588" spans="1:17">
      <c r="A588">
        <v>44121682</v>
      </c>
      <c r="B588">
        <v>2021</v>
      </c>
      <c r="C588" t="s">
        <v>20</v>
      </c>
      <c r="D588" t="s">
        <v>40</v>
      </c>
      <c r="E588" t="s">
        <v>80</v>
      </c>
      <c r="F588" t="s">
        <v>127</v>
      </c>
      <c r="G588" t="s">
        <v>246</v>
      </c>
      <c r="H588" t="s">
        <v>317</v>
      </c>
      <c r="I588" t="s">
        <v>393</v>
      </c>
      <c r="K588" t="s">
        <v>466</v>
      </c>
      <c r="L588" t="s">
        <v>469</v>
      </c>
      <c r="M588" t="s">
        <v>471</v>
      </c>
      <c r="N588" t="s">
        <v>567</v>
      </c>
      <c r="O588" t="s">
        <v>858</v>
      </c>
      <c r="P588" s="1">
        <f>HYPERLINK("https://ec.europa.eu/info/funding-tenders/opportunities/portal/screen/opportunities/topic-details/horizon-cl5-2021-d3-03-05", "HORIZON-CL5-2021-D3-03-05")</f>
        <v>0</v>
      </c>
      <c r="Q588" t="s">
        <v>1543</v>
      </c>
    </row>
    <row r="589" spans="1:17">
      <c r="A589">
        <v>44121720</v>
      </c>
      <c r="B589">
        <v>2021</v>
      </c>
      <c r="C589" t="s">
        <v>20</v>
      </c>
      <c r="D589" t="s">
        <v>40</v>
      </c>
      <c r="E589" t="s">
        <v>80</v>
      </c>
      <c r="F589" t="s">
        <v>127</v>
      </c>
      <c r="G589" t="s">
        <v>246</v>
      </c>
      <c r="H589" t="s">
        <v>317</v>
      </c>
      <c r="I589" t="s">
        <v>393</v>
      </c>
      <c r="K589" t="s">
        <v>466</v>
      </c>
      <c r="L589" t="s">
        <v>469</v>
      </c>
      <c r="M589" t="s">
        <v>471</v>
      </c>
      <c r="N589" t="s">
        <v>567</v>
      </c>
      <c r="O589" t="s">
        <v>858</v>
      </c>
      <c r="P589" s="1">
        <f>HYPERLINK("https://ec.europa.eu/info/funding-tenders/opportunities/portal/screen/opportunities/topic-details/horizon-cl5-2021-d3-03-06", "HORIZON-CL5-2021-D3-03-06")</f>
        <v>0</v>
      </c>
      <c r="Q589" t="s">
        <v>1544</v>
      </c>
    </row>
    <row r="590" spans="1:17">
      <c r="A590">
        <v>44121743</v>
      </c>
      <c r="B590">
        <v>2021</v>
      </c>
      <c r="C590" t="s">
        <v>20</v>
      </c>
      <c r="D590" t="s">
        <v>40</v>
      </c>
      <c r="E590" t="s">
        <v>80</v>
      </c>
      <c r="F590" t="s">
        <v>127</v>
      </c>
      <c r="G590" t="s">
        <v>246</v>
      </c>
      <c r="H590" t="s">
        <v>317</v>
      </c>
      <c r="I590" t="s">
        <v>393</v>
      </c>
      <c r="K590" t="s">
        <v>466</v>
      </c>
      <c r="L590" t="s">
        <v>469</v>
      </c>
      <c r="M590" t="s">
        <v>471</v>
      </c>
      <c r="N590" t="s">
        <v>567</v>
      </c>
      <c r="O590" t="s">
        <v>858</v>
      </c>
      <c r="P590" s="1">
        <f>HYPERLINK("https://ec.europa.eu/info/funding-tenders/opportunities/portal/screen/opportunities/topic-details/horizon-cl5-2021-d3-03-07", "HORIZON-CL5-2021-D3-03-07")</f>
        <v>0</v>
      </c>
      <c r="Q590" t="s">
        <v>1545</v>
      </c>
    </row>
    <row r="591" spans="1:17">
      <c r="A591">
        <v>44121777</v>
      </c>
      <c r="B591">
        <v>2021</v>
      </c>
      <c r="C591" t="s">
        <v>20</v>
      </c>
      <c r="D591" t="s">
        <v>40</v>
      </c>
      <c r="E591" t="s">
        <v>80</v>
      </c>
      <c r="F591" t="s">
        <v>127</v>
      </c>
      <c r="G591" t="s">
        <v>246</v>
      </c>
      <c r="H591" t="s">
        <v>317</v>
      </c>
      <c r="I591" t="s">
        <v>393</v>
      </c>
      <c r="K591" t="s">
        <v>466</v>
      </c>
      <c r="L591" t="s">
        <v>469</v>
      </c>
      <c r="M591" t="s">
        <v>471</v>
      </c>
      <c r="N591" t="s">
        <v>567</v>
      </c>
      <c r="O591" t="s">
        <v>858</v>
      </c>
      <c r="P591" s="1">
        <f>HYPERLINK("https://ec.europa.eu/info/funding-tenders/opportunities/portal/screen/opportunities/topic-details/horizon-cl5-2021-d3-03-08", "HORIZON-CL5-2021-D3-03-08")</f>
        <v>0</v>
      </c>
      <c r="Q591" t="s">
        <v>1546</v>
      </c>
    </row>
    <row r="592" spans="1:17">
      <c r="A592">
        <v>44121810</v>
      </c>
      <c r="B592">
        <v>2021</v>
      </c>
      <c r="C592" t="s">
        <v>20</v>
      </c>
      <c r="D592" t="s">
        <v>40</v>
      </c>
      <c r="E592" t="s">
        <v>80</v>
      </c>
      <c r="F592" t="s">
        <v>127</v>
      </c>
      <c r="G592" t="s">
        <v>246</v>
      </c>
      <c r="H592" t="s">
        <v>317</v>
      </c>
      <c r="I592" t="s">
        <v>393</v>
      </c>
      <c r="K592" t="s">
        <v>466</v>
      </c>
      <c r="L592" t="s">
        <v>469</v>
      </c>
      <c r="M592" t="s">
        <v>471</v>
      </c>
      <c r="N592" t="s">
        <v>567</v>
      </c>
      <c r="O592" t="s">
        <v>858</v>
      </c>
      <c r="P592" s="1">
        <f>HYPERLINK("https://ec.europa.eu/info/funding-tenders/opportunities/portal/screen/opportunities/topic-details/horizon-cl5-2021-d3-03-09", "HORIZON-CL5-2021-D3-03-09")</f>
        <v>0</v>
      </c>
      <c r="Q592" t="s">
        <v>1547</v>
      </c>
    </row>
    <row r="593" spans="1:17">
      <c r="A593">
        <v>44121856</v>
      </c>
      <c r="B593">
        <v>2021</v>
      </c>
      <c r="C593" t="s">
        <v>20</v>
      </c>
      <c r="D593" t="s">
        <v>40</v>
      </c>
      <c r="E593" t="s">
        <v>80</v>
      </c>
      <c r="F593" t="s">
        <v>127</v>
      </c>
      <c r="G593" t="s">
        <v>246</v>
      </c>
      <c r="H593" t="s">
        <v>317</v>
      </c>
      <c r="I593" t="s">
        <v>393</v>
      </c>
      <c r="K593" t="s">
        <v>466</v>
      </c>
      <c r="L593" t="s">
        <v>469</v>
      </c>
      <c r="M593" t="s">
        <v>471</v>
      </c>
      <c r="N593" t="s">
        <v>567</v>
      </c>
      <c r="O593" t="s">
        <v>858</v>
      </c>
      <c r="P593" s="1">
        <f>HYPERLINK("https://ec.europa.eu/info/funding-tenders/opportunities/portal/screen/opportunities/topic-details/horizon-cl5-2021-d3-03-10", "HORIZON-CL5-2021-D3-03-10")</f>
        <v>0</v>
      </c>
      <c r="Q593" t="s">
        <v>1548</v>
      </c>
    </row>
    <row r="594" spans="1:17">
      <c r="A594">
        <v>44121890</v>
      </c>
      <c r="B594">
        <v>2021</v>
      </c>
      <c r="C594" t="s">
        <v>20</v>
      </c>
      <c r="D594" t="s">
        <v>40</v>
      </c>
      <c r="E594" t="s">
        <v>80</v>
      </c>
      <c r="F594" t="s">
        <v>127</v>
      </c>
      <c r="G594" t="s">
        <v>246</v>
      </c>
      <c r="H594" t="s">
        <v>317</v>
      </c>
      <c r="I594" t="s">
        <v>393</v>
      </c>
      <c r="K594" t="s">
        <v>466</v>
      </c>
      <c r="L594" t="s">
        <v>469</v>
      </c>
      <c r="M594" t="s">
        <v>471</v>
      </c>
      <c r="N594" t="s">
        <v>567</v>
      </c>
      <c r="O594" t="s">
        <v>858</v>
      </c>
      <c r="P594" s="1">
        <f>HYPERLINK("https://ec.europa.eu/info/funding-tenders/opportunities/portal/screen/opportunities/topic-details/horizon-cl5-2021-d3-03-11", "HORIZON-CL5-2021-D3-03-11")</f>
        <v>0</v>
      </c>
      <c r="Q594" t="s">
        <v>1549</v>
      </c>
    </row>
    <row r="595" spans="1:17">
      <c r="A595">
        <v>44121917</v>
      </c>
      <c r="B595">
        <v>2021</v>
      </c>
      <c r="C595" t="s">
        <v>20</v>
      </c>
      <c r="D595" t="s">
        <v>40</v>
      </c>
      <c r="E595" t="s">
        <v>80</v>
      </c>
      <c r="F595" t="s">
        <v>127</v>
      </c>
      <c r="G595" t="s">
        <v>246</v>
      </c>
      <c r="H595" t="s">
        <v>317</v>
      </c>
      <c r="I595" t="s">
        <v>393</v>
      </c>
      <c r="K595" t="s">
        <v>466</v>
      </c>
      <c r="L595" t="s">
        <v>469</v>
      </c>
      <c r="M595" t="s">
        <v>473</v>
      </c>
      <c r="N595" t="s">
        <v>567</v>
      </c>
      <c r="O595" t="s">
        <v>858</v>
      </c>
      <c r="P595" s="1">
        <f>HYPERLINK("https://ec.europa.eu/info/funding-tenders/opportunities/portal/screen/opportunities/topic-details/horizon-cl5-2021-d3-03-12", "HORIZON-CL5-2021-D3-03-12")</f>
        <v>0</v>
      </c>
      <c r="Q595" t="s">
        <v>1550</v>
      </c>
    </row>
    <row r="596" spans="1:17">
      <c r="A596">
        <v>44121957</v>
      </c>
      <c r="B596">
        <v>2021</v>
      </c>
      <c r="C596" t="s">
        <v>20</v>
      </c>
      <c r="D596" t="s">
        <v>40</v>
      </c>
      <c r="E596" t="s">
        <v>80</v>
      </c>
      <c r="F596" t="s">
        <v>127</v>
      </c>
      <c r="G596" t="s">
        <v>246</v>
      </c>
      <c r="H596" t="s">
        <v>317</v>
      </c>
      <c r="I596" t="s">
        <v>393</v>
      </c>
      <c r="K596" t="s">
        <v>466</v>
      </c>
      <c r="L596" t="s">
        <v>469</v>
      </c>
      <c r="M596" t="s">
        <v>473</v>
      </c>
      <c r="N596" t="s">
        <v>567</v>
      </c>
      <c r="O596" t="s">
        <v>858</v>
      </c>
      <c r="P596" s="1">
        <f>HYPERLINK("https://ec.europa.eu/info/funding-tenders/opportunities/portal/screen/opportunities/topic-details/horizon-cl5-2021-d3-03-13", "HORIZON-CL5-2021-D3-03-13")</f>
        <v>0</v>
      </c>
      <c r="Q596" t="s">
        <v>1551</v>
      </c>
    </row>
    <row r="597" spans="1:17">
      <c r="A597">
        <v>44121995</v>
      </c>
      <c r="B597">
        <v>2021</v>
      </c>
      <c r="C597" t="s">
        <v>20</v>
      </c>
      <c r="D597" t="s">
        <v>40</v>
      </c>
      <c r="E597" t="s">
        <v>80</v>
      </c>
      <c r="F597" t="s">
        <v>127</v>
      </c>
      <c r="G597" t="s">
        <v>246</v>
      </c>
      <c r="H597" t="s">
        <v>317</v>
      </c>
      <c r="I597" t="s">
        <v>393</v>
      </c>
      <c r="K597" t="s">
        <v>466</v>
      </c>
      <c r="L597" t="s">
        <v>469</v>
      </c>
      <c r="M597" t="s">
        <v>473</v>
      </c>
      <c r="N597" t="s">
        <v>567</v>
      </c>
      <c r="O597" t="s">
        <v>858</v>
      </c>
      <c r="P597" s="1">
        <f>HYPERLINK("https://ec.europa.eu/info/funding-tenders/opportunities/portal/screen/opportunities/topic-details/horizon-cl5-2021-d3-03-14", "HORIZON-CL5-2021-D3-03-14")</f>
        <v>0</v>
      </c>
      <c r="Q597" t="s">
        <v>1552</v>
      </c>
    </row>
    <row r="598" spans="1:17">
      <c r="A598">
        <v>44122032</v>
      </c>
      <c r="B598">
        <v>2021</v>
      </c>
      <c r="C598" t="s">
        <v>20</v>
      </c>
      <c r="D598" t="s">
        <v>40</v>
      </c>
      <c r="E598" t="s">
        <v>80</v>
      </c>
      <c r="F598" t="s">
        <v>127</v>
      </c>
      <c r="G598" t="s">
        <v>246</v>
      </c>
      <c r="H598" t="s">
        <v>317</v>
      </c>
      <c r="I598" t="s">
        <v>393</v>
      </c>
      <c r="K598" t="s">
        <v>466</v>
      </c>
      <c r="L598" t="s">
        <v>469</v>
      </c>
      <c r="M598" t="s">
        <v>471</v>
      </c>
      <c r="N598" t="s">
        <v>567</v>
      </c>
      <c r="O598" t="s">
        <v>858</v>
      </c>
      <c r="P598" s="1">
        <f>HYPERLINK("https://ec.europa.eu/info/funding-tenders/opportunities/portal/screen/opportunities/topic-details/horizon-cl5-2021-d3-03-15", "HORIZON-CL5-2021-D3-03-15")</f>
        <v>0</v>
      </c>
      <c r="Q598" t="s">
        <v>1553</v>
      </c>
    </row>
    <row r="599" spans="1:17">
      <c r="A599">
        <v>44122063</v>
      </c>
      <c r="B599">
        <v>2021</v>
      </c>
      <c r="C599" t="s">
        <v>20</v>
      </c>
      <c r="D599" t="s">
        <v>40</v>
      </c>
      <c r="E599" t="s">
        <v>80</v>
      </c>
      <c r="F599" t="s">
        <v>127</v>
      </c>
      <c r="G599" t="s">
        <v>246</v>
      </c>
      <c r="H599" t="s">
        <v>317</v>
      </c>
      <c r="I599" t="s">
        <v>393</v>
      </c>
      <c r="K599" t="s">
        <v>466</v>
      </c>
      <c r="L599" t="s">
        <v>469</v>
      </c>
      <c r="M599" t="s">
        <v>473</v>
      </c>
      <c r="N599" t="s">
        <v>567</v>
      </c>
      <c r="O599" t="s">
        <v>858</v>
      </c>
      <c r="P599" s="1">
        <f>HYPERLINK("https://ec.europa.eu/info/funding-tenders/opportunities/portal/screen/opportunities/topic-details/horizon-cl5-2021-d3-03-16", "HORIZON-CL5-2021-D3-03-16")</f>
        <v>0</v>
      </c>
      <c r="Q599" t="s">
        <v>1554</v>
      </c>
    </row>
    <row r="600" spans="1:17">
      <c r="A600">
        <v>44122553</v>
      </c>
      <c r="B600">
        <v>2021</v>
      </c>
      <c r="C600" t="s">
        <v>20</v>
      </c>
      <c r="D600" t="s">
        <v>40</v>
      </c>
      <c r="E600" t="s">
        <v>81</v>
      </c>
      <c r="F600" t="s">
        <v>128</v>
      </c>
      <c r="G600" t="s">
        <v>246</v>
      </c>
      <c r="H600" t="s">
        <v>316</v>
      </c>
      <c r="I600" t="s">
        <v>391</v>
      </c>
      <c r="K600" t="s">
        <v>466</v>
      </c>
      <c r="L600" t="s">
        <v>469</v>
      </c>
      <c r="M600" t="s">
        <v>473</v>
      </c>
      <c r="N600" t="s">
        <v>568</v>
      </c>
      <c r="O600" t="s">
        <v>859</v>
      </c>
      <c r="P600" s="1">
        <f>HYPERLINK("https://ec.europa.eu/info/funding-tenders/opportunities/portal/screen/opportunities/topic-details/horizon-cl5-2021-d4-01-01", "HORIZON-CL5-2021-D4-01-01")</f>
        <v>0</v>
      </c>
      <c r="Q600" t="s">
        <v>1555</v>
      </c>
    </row>
    <row r="601" spans="1:17">
      <c r="A601">
        <v>44121130</v>
      </c>
      <c r="B601">
        <v>2021</v>
      </c>
      <c r="C601" t="s">
        <v>20</v>
      </c>
      <c r="D601" t="s">
        <v>40</v>
      </c>
      <c r="E601" t="s">
        <v>81</v>
      </c>
      <c r="F601" t="s">
        <v>128</v>
      </c>
      <c r="G601" t="s">
        <v>246</v>
      </c>
      <c r="H601" t="s">
        <v>316</v>
      </c>
      <c r="I601" t="s">
        <v>391</v>
      </c>
      <c r="K601" t="s">
        <v>466</v>
      </c>
      <c r="L601" t="s">
        <v>469</v>
      </c>
      <c r="M601" t="s">
        <v>473</v>
      </c>
      <c r="N601" t="s">
        <v>568</v>
      </c>
      <c r="O601" t="s">
        <v>859</v>
      </c>
      <c r="P601" s="1">
        <f>HYPERLINK("https://ec.europa.eu/info/funding-tenders/opportunities/portal/screen/opportunities/topic-details/horizon-cl5-2021-d4-01-02", "HORIZON-CL5-2021-D4-01-02")</f>
        <v>0</v>
      </c>
      <c r="Q601" t="s">
        <v>1556</v>
      </c>
    </row>
    <row r="602" spans="1:17">
      <c r="A602">
        <v>44121162</v>
      </c>
      <c r="B602">
        <v>2021</v>
      </c>
      <c r="C602" t="s">
        <v>20</v>
      </c>
      <c r="D602" t="s">
        <v>40</v>
      </c>
      <c r="E602" t="s">
        <v>81</v>
      </c>
      <c r="F602" t="s">
        <v>128</v>
      </c>
      <c r="G602" t="s">
        <v>246</v>
      </c>
      <c r="H602" t="s">
        <v>316</v>
      </c>
      <c r="I602" t="s">
        <v>391</v>
      </c>
      <c r="K602" t="s">
        <v>466</v>
      </c>
      <c r="L602" t="s">
        <v>469</v>
      </c>
      <c r="M602" t="s">
        <v>473</v>
      </c>
      <c r="N602" t="s">
        <v>568</v>
      </c>
      <c r="O602" t="s">
        <v>859</v>
      </c>
      <c r="P602" s="1">
        <f>HYPERLINK("https://ec.europa.eu/info/funding-tenders/opportunities/portal/screen/opportunities/topic-details/horizon-cl5-2021-d4-01-03", "HORIZON-CL5-2021-D4-01-03")</f>
        <v>0</v>
      </c>
      <c r="Q602" t="s">
        <v>1557</v>
      </c>
    </row>
    <row r="603" spans="1:17">
      <c r="A603">
        <v>44118679</v>
      </c>
      <c r="B603">
        <v>2021</v>
      </c>
      <c r="C603" t="s">
        <v>20</v>
      </c>
      <c r="D603" t="s">
        <v>40</v>
      </c>
      <c r="E603" t="s">
        <v>81</v>
      </c>
      <c r="F603" t="s">
        <v>128</v>
      </c>
      <c r="G603" t="s">
        <v>246</v>
      </c>
      <c r="H603" t="s">
        <v>316</v>
      </c>
      <c r="I603" t="s">
        <v>391</v>
      </c>
      <c r="K603" t="s">
        <v>466</v>
      </c>
      <c r="L603" t="s">
        <v>469</v>
      </c>
      <c r="M603" t="s">
        <v>473</v>
      </c>
      <c r="N603" t="s">
        <v>568</v>
      </c>
      <c r="O603" t="s">
        <v>859</v>
      </c>
      <c r="P603" s="1">
        <f>HYPERLINK("https://ec.europa.eu/info/funding-tenders/opportunities/portal/screen/opportunities/topic-details/horizon-cl5-2021-d4-01-04", "HORIZON-CL5-2021-D4-01-04")</f>
        <v>0</v>
      </c>
      <c r="Q603" t="s">
        <v>1558</v>
      </c>
    </row>
    <row r="604" spans="1:17">
      <c r="A604">
        <v>44118706</v>
      </c>
      <c r="B604">
        <v>2021</v>
      </c>
      <c r="C604" t="s">
        <v>20</v>
      </c>
      <c r="D604" t="s">
        <v>40</v>
      </c>
      <c r="E604" t="s">
        <v>81</v>
      </c>
      <c r="F604" t="s">
        <v>128</v>
      </c>
      <c r="G604" t="s">
        <v>246</v>
      </c>
      <c r="H604" t="s">
        <v>316</v>
      </c>
      <c r="I604" t="s">
        <v>391</v>
      </c>
      <c r="K604" t="s">
        <v>466</v>
      </c>
      <c r="L604" t="s">
        <v>469</v>
      </c>
      <c r="M604" t="s">
        <v>473</v>
      </c>
      <c r="N604" t="s">
        <v>568</v>
      </c>
      <c r="O604" t="s">
        <v>859</v>
      </c>
      <c r="P604" s="1">
        <f>HYPERLINK("https://ec.europa.eu/info/funding-tenders/opportunities/portal/screen/opportunities/topic-details/horizon-cl5-2021-d4-01-05", "HORIZON-CL5-2021-D4-01-05")</f>
        <v>0</v>
      </c>
      <c r="Q604" t="s">
        <v>1559</v>
      </c>
    </row>
    <row r="605" spans="1:17">
      <c r="A605">
        <v>44118734</v>
      </c>
      <c r="B605">
        <v>2021</v>
      </c>
      <c r="C605" t="s">
        <v>20</v>
      </c>
      <c r="D605" t="s">
        <v>40</v>
      </c>
      <c r="E605" t="s">
        <v>81</v>
      </c>
      <c r="F605" t="s">
        <v>129</v>
      </c>
      <c r="G605" t="s">
        <v>246</v>
      </c>
      <c r="H605" t="s">
        <v>317</v>
      </c>
      <c r="I605" t="s">
        <v>379</v>
      </c>
      <c r="K605" t="s">
        <v>466</v>
      </c>
      <c r="L605" t="s">
        <v>469</v>
      </c>
      <c r="M605" t="s">
        <v>473</v>
      </c>
      <c r="N605" t="s">
        <v>569</v>
      </c>
      <c r="O605" t="s">
        <v>859</v>
      </c>
      <c r="P605" s="1">
        <f>HYPERLINK("https://ec.europa.eu/info/funding-tenders/opportunities/portal/screen/opportunities/topic-details/horizon-cl5-2021-d4-02-01", "HORIZON-CL5-2021-D4-02-01")</f>
        <v>0</v>
      </c>
      <c r="Q605" t="s">
        <v>1560</v>
      </c>
    </row>
    <row r="606" spans="1:17">
      <c r="A606">
        <v>44118770</v>
      </c>
      <c r="B606">
        <v>2021</v>
      </c>
      <c r="C606" t="s">
        <v>20</v>
      </c>
      <c r="D606" t="s">
        <v>40</v>
      </c>
      <c r="E606" t="s">
        <v>81</v>
      </c>
      <c r="F606" t="s">
        <v>129</v>
      </c>
      <c r="G606" t="s">
        <v>246</v>
      </c>
      <c r="H606" t="s">
        <v>317</v>
      </c>
      <c r="I606" t="s">
        <v>379</v>
      </c>
      <c r="K606" t="s">
        <v>466</v>
      </c>
      <c r="L606" t="s">
        <v>469</v>
      </c>
      <c r="M606" t="s">
        <v>473</v>
      </c>
      <c r="N606" t="s">
        <v>569</v>
      </c>
      <c r="O606" t="s">
        <v>859</v>
      </c>
      <c r="P606" s="1">
        <f>HYPERLINK("https://ec.europa.eu/info/funding-tenders/opportunities/portal/screen/opportunities/topic-details/horizon-cl5-2021-d4-02-02", "HORIZON-CL5-2021-D4-02-02")</f>
        <v>0</v>
      </c>
      <c r="Q606" t="s">
        <v>1561</v>
      </c>
    </row>
    <row r="607" spans="1:17">
      <c r="A607">
        <v>44117478</v>
      </c>
      <c r="B607">
        <v>2021</v>
      </c>
      <c r="C607" t="s">
        <v>20</v>
      </c>
      <c r="D607" t="s">
        <v>40</v>
      </c>
      <c r="E607" t="s">
        <v>81</v>
      </c>
      <c r="F607" t="s">
        <v>129</v>
      </c>
      <c r="G607" t="s">
        <v>246</v>
      </c>
      <c r="H607" t="s">
        <v>317</v>
      </c>
      <c r="I607" t="s">
        <v>379</v>
      </c>
      <c r="K607" t="s">
        <v>466</v>
      </c>
      <c r="L607" t="s">
        <v>469</v>
      </c>
      <c r="M607" t="s">
        <v>472</v>
      </c>
      <c r="N607" t="s">
        <v>569</v>
      </c>
      <c r="O607" t="s">
        <v>859</v>
      </c>
      <c r="P607" s="1">
        <f>HYPERLINK("https://ec.europa.eu/info/funding-tenders/opportunities/portal/screen/opportunities/topic-details/horizon-cl5-2021-d4-02-03", "HORIZON-CL5-2021-D4-02-03")</f>
        <v>0</v>
      </c>
      <c r="Q607" t="s">
        <v>1562</v>
      </c>
    </row>
    <row r="608" spans="1:17">
      <c r="A608">
        <v>44122517</v>
      </c>
      <c r="B608">
        <v>2021</v>
      </c>
      <c r="C608" t="s">
        <v>20</v>
      </c>
      <c r="D608" t="s">
        <v>40</v>
      </c>
      <c r="E608" t="s">
        <v>82</v>
      </c>
      <c r="F608" t="s">
        <v>130</v>
      </c>
      <c r="G608" t="s">
        <v>246</v>
      </c>
      <c r="H608" t="s">
        <v>316</v>
      </c>
      <c r="I608" t="s">
        <v>390</v>
      </c>
      <c r="K608" t="s">
        <v>466</v>
      </c>
      <c r="L608" t="s">
        <v>469</v>
      </c>
      <c r="M608" t="s">
        <v>473</v>
      </c>
      <c r="N608" t="s">
        <v>570</v>
      </c>
      <c r="O608" t="s">
        <v>860</v>
      </c>
      <c r="P608" s="1">
        <f>HYPERLINK("https://ec.europa.eu/info/funding-tenders/opportunities/portal/screen/opportunities/topic-details/horizon-cl5-2021-d5-01-01", "HORIZON-CL5-2021-D5-01-01")</f>
        <v>0</v>
      </c>
      <c r="Q608" t="s">
        <v>1563</v>
      </c>
    </row>
    <row r="609" spans="1:17">
      <c r="A609">
        <v>44120042</v>
      </c>
      <c r="B609">
        <v>2021</v>
      </c>
      <c r="C609" t="s">
        <v>20</v>
      </c>
      <c r="D609" t="s">
        <v>40</v>
      </c>
      <c r="E609" t="s">
        <v>82</v>
      </c>
      <c r="F609" t="s">
        <v>130</v>
      </c>
      <c r="G609" t="s">
        <v>246</v>
      </c>
      <c r="H609" t="s">
        <v>316</v>
      </c>
      <c r="I609" t="s">
        <v>390</v>
      </c>
      <c r="K609" t="s">
        <v>466</v>
      </c>
      <c r="L609" t="s">
        <v>469</v>
      </c>
      <c r="M609" t="s">
        <v>471</v>
      </c>
      <c r="N609" t="s">
        <v>570</v>
      </c>
      <c r="O609" t="s">
        <v>860</v>
      </c>
      <c r="P609" s="1">
        <f>HYPERLINK("https://ec.europa.eu/info/funding-tenders/opportunities/portal/screen/opportunities/topic-details/horizon-cl5-2021-d5-01-02", "HORIZON-CL5-2021-D5-01-02")</f>
        <v>0</v>
      </c>
      <c r="Q609" t="s">
        <v>1564</v>
      </c>
    </row>
    <row r="610" spans="1:17">
      <c r="A610">
        <v>44116781</v>
      </c>
      <c r="B610">
        <v>2021</v>
      </c>
      <c r="C610" t="s">
        <v>20</v>
      </c>
      <c r="D610" t="s">
        <v>40</v>
      </c>
      <c r="E610" t="s">
        <v>82</v>
      </c>
      <c r="F610" t="s">
        <v>130</v>
      </c>
      <c r="G610" t="s">
        <v>246</v>
      </c>
      <c r="H610" t="s">
        <v>316</v>
      </c>
      <c r="I610" t="s">
        <v>390</v>
      </c>
      <c r="K610" t="s">
        <v>466</v>
      </c>
      <c r="L610" t="s">
        <v>469</v>
      </c>
      <c r="M610" t="s">
        <v>471</v>
      </c>
      <c r="N610" t="s">
        <v>570</v>
      </c>
      <c r="O610" t="s">
        <v>860</v>
      </c>
      <c r="P610" s="1">
        <f>HYPERLINK("https://ec.europa.eu/info/funding-tenders/opportunities/portal/screen/opportunities/topic-details/horizon-cl5-2021-d5-01-03", "HORIZON-CL5-2021-D5-01-03")</f>
        <v>0</v>
      </c>
      <c r="Q610" t="s">
        <v>1565</v>
      </c>
    </row>
    <row r="611" spans="1:17">
      <c r="A611">
        <v>44116812</v>
      </c>
      <c r="B611">
        <v>2021</v>
      </c>
      <c r="C611" t="s">
        <v>20</v>
      </c>
      <c r="D611" t="s">
        <v>40</v>
      </c>
      <c r="E611" t="s">
        <v>82</v>
      </c>
      <c r="F611" t="s">
        <v>130</v>
      </c>
      <c r="G611" t="s">
        <v>246</v>
      </c>
      <c r="H611" t="s">
        <v>316</v>
      </c>
      <c r="I611" t="s">
        <v>390</v>
      </c>
      <c r="K611" t="s">
        <v>466</v>
      </c>
      <c r="L611" t="s">
        <v>469</v>
      </c>
      <c r="M611" t="s">
        <v>472</v>
      </c>
      <c r="N611" t="s">
        <v>570</v>
      </c>
      <c r="O611" t="s">
        <v>860</v>
      </c>
      <c r="P611" s="1">
        <f>HYPERLINK("https://ec.europa.eu/info/funding-tenders/opportunities/portal/screen/opportunities/topic-details/horizon-cl5-2021-d5-01-04", "HORIZON-CL5-2021-D5-01-04")</f>
        <v>0</v>
      </c>
      <c r="Q611" t="s">
        <v>1566</v>
      </c>
    </row>
    <row r="612" spans="1:17">
      <c r="A612">
        <v>44116844</v>
      </c>
      <c r="B612">
        <v>2021</v>
      </c>
      <c r="C612" t="s">
        <v>20</v>
      </c>
      <c r="D612" t="s">
        <v>40</v>
      </c>
      <c r="E612" t="s">
        <v>82</v>
      </c>
      <c r="F612" t="s">
        <v>130</v>
      </c>
      <c r="G612" t="s">
        <v>246</v>
      </c>
      <c r="H612" t="s">
        <v>316</v>
      </c>
      <c r="I612" t="s">
        <v>390</v>
      </c>
      <c r="K612" t="s">
        <v>466</v>
      </c>
      <c r="L612" t="s">
        <v>469</v>
      </c>
      <c r="M612" t="s">
        <v>471</v>
      </c>
      <c r="N612" t="s">
        <v>570</v>
      </c>
      <c r="O612" t="s">
        <v>860</v>
      </c>
      <c r="P612" s="1">
        <f>HYPERLINK("https://ec.europa.eu/info/funding-tenders/opportunities/portal/screen/opportunities/topic-details/horizon-cl5-2021-d5-01-05", "HORIZON-CL5-2021-D5-01-05")</f>
        <v>0</v>
      </c>
      <c r="Q612" t="s">
        <v>1567</v>
      </c>
    </row>
    <row r="613" spans="1:17">
      <c r="A613">
        <v>44117584</v>
      </c>
      <c r="B613">
        <v>2021</v>
      </c>
      <c r="C613" t="s">
        <v>20</v>
      </c>
      <c r="D613" t="s">
        <v>40</v>
      </c>
      <c r="E613" t="s">
        <v>82</v>
      </c>
      <c r="F613" t="s">
        <v>130</v>
      </c>
      <c r="G613" t="s">
        <v>246</v>
      </c>
      <c r="H613" t="s">
        <v>316</v>
      </c>
      <c r="I613" t="s">
        <v>390</v>
      </c>
      <c r="K613" t="s">
        <v>466</v>
      </c>
      <c r="L613" t="s">
        <v>469</v>
      </c>
      <c r="M613" t="s">
        <v>471</v>
      </c>
      <c r="N613" t="s">
        <v>570</v>
      </c>
      <c r="O613" t="s">
        <v>860</v>
      </c>
      <c r="P613" s="1">
        <f>HYPERLINK("https://ec.europa.eu/info/funding-tenders/opportunities/portal/screen/opportunities/topic-details/horizon-cl5-2021-d5-01-06", "HORIZON-CL5-2021-D5-01-06")</f>
        <v>0</v>
      </c>
      <c r="Q613" t="s">
        <v>1568</v>
      </c>
    </row>
    <row r="614" spans="1:17">
      <c r="A614">
        <v>44120077</v>
      </c>
      <c r="B614">
        <v>2021</v>
      </c>
      <c r="C614" t="s">
        <v>20</v>
      </c>
      <c r="D614" t="s">
        <v>40</v>
      </c>
      <c r="E614" t="s">
        <v>82</v>
      </c>
      <c r="F614" t="s">
        <v>130</v>
      </c>
      <c r="G614" t="s">
        <v>246</v>
      </c>
      <c r="H614" t="s">
        <v>316</v>
      </c>
      <c r="I614" t="s">
        <v>390</v>
      </c>
      <c r="K614" t="s">
        <v>466</v>
      </c>
      <c r="L614" t="s">
        <v>469</v>
      </c>
      <c r="M614" t="s">
        <v>473</v>
      </c>
      <c r="N614" t="s">
        <v>570</v>
      </c>
      <c r="O614" t="s">
        <v>860</v>
      </c>
      <c r="P614" s="1">
        <f>HYPERLINK("https://ec.europa.eu/info/funding-tenders/opportunities/portal/screen/opportunities/topic-details/horizon-cl5-2021-d5-01-07", "HORIZON-CL5-2021-D5-01-07")</f>
        <v>0</v>
      </c>
      <c r="Q614" t="s">
        <v>1569</v>
      </c>
    </row>
    <row r="615" spans="1:17">
      <c r="A615">
        <v>44120108</v>
      </c>
      <c r="B615">
        <v>2021</v>
      </c>
      <c r="C615" t="s">
        <v>20</v>
      </c>
      <c r="D615" t="s">
        <v>40</v>
      </c>
      <c r="E615" t="s">
        <v>82</v>
      </c>
      <c r="F615" t="s">
        <v>130</v>
      </c>
      <c r="G615" t="s">
        <v>246</v>
      </c>
      <c r="H615" t="s">
        <v>316</v>
      </c>
      <c r="I615" t="s">
        <v>390</v>
      </c>
      <c r="K615" t="s">
        <v>466</v>
      </c>
      <c r="L615" t="s">
        <v>469</v>
      </c>
      <c r="M615" t="s">
        <v>471</v>
      </c>
      <c r="N615" t="s">
        <v>570</v>
      </c>
      <c r="O615" t="s">
        <v>860</v>
      </c>
      <c r="P615" s="1">
        <f>HYPERLINK("https://ec.europa.eu/info/funding-tenders/opportunities/portal/screen/opportunities/topic-details/horizon-cl5-2021-d5-01-08", "HORIZON-CL5-2021-D5-01-08")</f>
        <v>0</v>
      </c>
      <c r="Q615" t="s">
        <v>1570</v>
      </c>
    </row>
    <row r="616" spans="1:17">
      <c r="A616">
        <v>44120139</v>
      </c>
      <c r="B616">
        <v>2021</v>
      </c>
      <c r="C616" t="s">
        <v>20</v>
      </c>
      <c r="D616" t="s">
        <v>40</v>
      </c>
      <c r="E616" t="s">
        <v>82</v>
      </c>
      <c r="F616" t="s">
        <v>130</v>
      </c>
      <c r="G616" t="s">
        <v>246</v>
      </c>
      <c r="H616" t="s">
        <v>316</v>
      </c>
      <c r="I616" t="s">
        <v>390</v>
      </c>
      <c r="K616" t="s">
        <v>466</v>
      </c>
      <c r="L616" t="s">
        <v>469</v>
      </c>
      <c r="M616" t="s">
        <v>472</v>
      </c>
      <c r="N616" t="s">
        <v>570</v>
      </c>
      <c r="O616" t="s">
        <v>860</v>
      </c>
      <c r="P616" s="1">
        <f>HYPERLINK("https://ec.europa.eu/info/funding-tenders/opportunities/portal/screen/opportunities/topic-details/horizon-cl5-2021-d5-01-09", "HORIZON-CL5-2021-D5-01-09")</f>
        <v>0</v>
      </c>
      <c r="Q616" t="s">
        <v>1571</v>
      </c>
    </row>
    <row r="617" spans="1:17">
      <c r="A617">
        <v>44120180</v>
      </c>
      <c r="B617">
        <v>2021</v>
      </c>
      <c r="C617" t="s">
        <v>20</v>
      </c>
      <c r="D617" t="s">
        <v>40</v>
      </c>
      <c r="E617" t="s">
        <v>82</v>
      </c>
      <c r="F617" t="s">
        <v>130</v>
      </c>
      <c r="G617" t="s">
        <v>246</v>
      </c>
      <c r="H617" t="s">
        <v>316</v>
      </c>
      <c r="I617" t="s">
        <v>390</v>
      </c>
      <c r="K617" t="s">
        <v>466</v>
      </c>
      <c r="L617" t="s">
        <v>469</v>
      </c>
      <c r="M617" t="s">
        <v>471</v>
      </c>
      <c r="N617" t="s">
        <v>570</v>
      </c>
      <c r="O617" t="s">
        <v>860</v>
      </c>
      <c r="P617" s="1">
        <f>HYPERLINK("https://ec.europa.eu/info/funding-tenders/opportunities/portal/screen/opportunities/topic-details/horizon-cl5-2021-d5-01-10", "HORIZON-CL5-2021-D5-01-10")</f>
        <v>0</v>
      </c>
      <c r="Q617" t="s">
        <v>1572</v>
      </c>
    </row>
    <row r="618" spans="1:17">
      <c r="A618">
        <v>44116876</v>
      </c>
      <c r="B618">
        <v>2021</v>
      </c>
      <c r="C618" t="s">
        <v>20</v>
      </c>
      <c r="D618" t="s">
        <v>40</v>
      </c>
      <c r="E618" t="s">
        <v>82</v>
      </c>
      <c r="F618" t="s">
        <v>130</v>
      </c>
      <c r="G618" t="s">
        <v>246</v>
      </c>
      <c r="H618" t="s">
        <v>316</v>
      </c>
      <c r="I618" t="s">
        <v>390</v>
      </c>
      <c r="K618" t="s">
        <v>466</v>
      </c>
      <c r="L618" t="s">
        <v>469</v>
      </c>
      <c r="M618" t="s">
        <v>473</v>
      </c>
      <c r="N618" t="s">
        <v>570</v>
      </c>
      <c r="O618" t="s">
        <v>860</v>
      </c>
      <c r="P618" s="1">
        <f>HYPERLINK("https://ec.europa.eu/info/funding-tenders/opportunities/portal/screen/opportunities/topic-details/horizon-cl5-2021-d5-01-11", "HORIZON-CL5-2021-D5-01-11")</f>
        <v>0</v>
      </c>
      <c r="Q618" t="s">
        <v>1573</v>
      </c>
    </row>
    <row r="619" spans="1:17">
      <c r="A619">
        <v>44120215</v>
      </c>
      <c r="B619">
        <v>2021</v>
      </c>
      <c r="C619" t="s">
        <v>20</v>
      </c>
      <c r="D619" t="s">
        <v>40</v>
      </c>
      <c r="E619" t="s">
        <v>82</v>
      </c>
      <c r="F619" t="s">
        <v>130</v>
      </c>
      <c r="G619" t="s">
        <v>246</v>
      </c>
      <c r="H619" t="s">
        <v>316</v>
      </c>
      <c r="I619" t="s">
        <v>390</v>
      </c>
      <c r="K619" t="s">
        <v>466</v>
      </c>
      <c r="L619" t="s">
        <v>469</v>
      </c>
      <c r="M619" t="s">
        <v>473</v>
      </c>
      <c r="N619" t="s">
        <v>570</v>
      </c>
      <c r="O619" t="s">
        <v>860</v>
      </c>
      <c r="P619" s="1">
        <f>HYPERLINK("https://ec.europa.eu/info/funding-tenders/opportunities/portal/screen/opportunities/topic-details/horizon-cl5-2021-d5-01-12", "HORIZON-CL5-2021-D5-01-12")</f>
        <v>0</v>
      </c>
      <c r="Q619" t="s">
        <v>1574</v>
      </c>
    </row>
    <row r="620" spans="1:17">
      <c r="A620">
        <v>44120242</v>
      </c>
      <c r="B620">
        <v>2021</v>
      </c>
      <c r="C620" t="s">
        <v>20</v>
      </c>
      <c r="D620" t="s">
        <v>40</v>
      </c>
      <c r="E620" t="s">
        <v>82</v>
      </c>
      <c r="F620" t="s">
        <v>130</v>
      </c>
      <c r="G620" t="s">
        <v>246</v>
      </c>
      <c r="H620" t="s">
        <v>316</v>
      </c>
      <c r="I620" t="s">
        <v>390</v>
      </c>
      <c r="K620" t="s">
        <v>466</v>
      </c>
      <c r="L620" t="s">
        <v>469</v>
      </c>
      <c r="M620" t="s">
        <v>471</v>
      </c>
      <c r="N620" t="s">
        <v>570</v>
      </c>
      <c r="O620" t="s">
        <v>860</v>
      </c>
      <c r="P620" s="1">
        <f>HYPERLINK("https://ec.europa.eu/info/funding-tenders/opportunities/portal/screen/opportunities/topic-details/horizon-cl5-2021-d5-01-13", "HORIZON-CL5-2021-D5-01-13")</f>
        <v>0</v>
      </c>
      <c r="Q620" t="s">
        <v>1575</v>
      </c>
    </row>
    <row r="621" spans="1:17">
      <c r="A621">
        <v>44120274</v>
      </c>
      <c r="B621">
        <v>2021</v>
      </c>
      <c r="C621" t="s">
        <v>20</v>
      </c>
      <c r="D621" t="s">
        <v>40</v>
      </c>
      <c r="E621" t="s">
        <v>82</v>
      </c>
      <c r="F621" t="s">
        <v>130</v>
      </c>
      <c r="G621" t="s">
        <v>246</v>
      </c>
      <c r="H621" t="s">
        <v>316</v>
      </c>
      <c r="I621" t="s">
        <v>390</v>
      </c>
      <c r="K621" t="s">
        <v>466</v>
      </c>
      <c r="L621" t="s">
        <v>469</v>
      </c>
      <c r="M621" t="s">
        <v>473</v>
      </c>
      <c r="N621" t="s">
        <v>570</v>
      </c>
      <c r="O621" t="s">
        <v>860</v>
      </c>
      <c r="P621" s="1">
        <f>HYPERLINK("https://ec.europa.eu/info/funding-tenders/opportunities/portal/screen/opportunities/topic-details/horizon-cl5-2021-d5-01-14", "HORIZON-CL5-2021-D5-01-14")</f>
        <v>0</v>
      </c>
      <c r="Q621" t="s">
        <v>1576</v>
      </c>
    </row>
    <row r="622" spans="1:17">
      <c r="A622">
        <v>44117620</v>
      </c>
      <c r="B622">
        <v>2021</v>
      </c>
      <c r="C622" t="s">
        <v>20</v>
      </c>
      <c r="D622" t="s">
        <v>40</v>
      </c>
      <c r="E622" t="s">
        <v>82</v>
      </c>
      <c r="F622" t="s">
        <v>130</v>
      </c>
      <c r="G622" t="s">
        <v>246</v>
      </c>
      <c r="H622" t="s">
        <v>316</v>
      </c>
      <c r="I622" t="s">
        <v>390</v>
      </c>
      <c r="K622" t="s">
        <v>466</v>
      </c>
      <c r="L622" t="s">
        <v>469</v>
      </c>
      <c r="M622" t="s">
        <v>473</v>
      </c>
      <c r="N622" t="s">
        <v>570</v>
      </c>
      <c r="O622" t="s">
        <v>860</v>
      </c>
      <c r="P622" s="1">
        <f>HYPERLINK("https://ec.europa.eu/info/funding-tenders/opportunities/portal/screen/opportunities/topic-details/horizon-cl5-2021-d5-01-15", "HORIZON-CL5-2021-D5-01-15")</f>
        <v>0</v>
      </c>
      <c r="Q622" t="s">
        <v>1577</v>
      </c>
    </row>
    <row r="623" spans="1:17">
      <c r="A623">
        <v>44117646</v>
      </c>
      <c r="B623">
        <v>2021</v>
      </c>
      <c r="C623" t="s">
        <v>20</v>
      </c>
      <c r="D623" t="s">
        <v>40</v>
      </c>
      <c r="E623" t="s">
        <v>82</v>
      </c>
      <c r="F623" t="s">
        <v>130</v>
      </c>
      <c r="G623" t="s">
        <v>246</v>
      </c>
      <c r="H623" t="s">
        <v>316</v>
      </c>
      <c r="I623" t="s">
        <v>390</v>
      </c>
      <c r="K623" t="s">
        <v>466</v>
      </c>
      <c r="L623" t="s">
        <v>469</v>
      </c>
      <c r="M623" t="s">
        <v>471</v>
      </c>
      <c r="N623" t="s">
        <v>570</v>
      </c>
      <c r="O623" t="s">
        <v>860</v>
      </c>
      <c r="P623" s="1">
        <f>HYPERLINK("https://ec.europa.eu/info/funding-tenders/opportunities/portal/screen/opportunities/topic-details/horizon-cl5-2021-d5-01-16", "HORIZON-CL5-2021-D5-01-16")</f>
        <v>0</v>
      </c>
      <c r="Q623" t="s">
        <v>1578</v>
      </c>
    </row>
    <row r="624" spans="1:17">
      <c r="A624">
        <v>44117673</v>
      </c>
      <c r="B624">
        <v>2021</v>
      </c>
      <c r="C624" t="s">
        <v>20</v>
      </c>
      <c r="D624" t="s">
        <v>40</v>
      </c>
      <c r="E624" t="s">
        <v>82</v>
      </c>
      <c r="F624" t="s">
        <v>130</v>
      </c>
      <c r="G624" t="s">
        <v>246</v>
      </c>
      <c r="H624" t="s">
        <v>316</v>
      </c>
      <c r="I624" t="s">
        <v>390</v>
      </c>
      <c r="K624" t="s">
        <v>466</v>
      </c>
      <c r="L624" t="s">
        <v>469</v>
      </c>
      <c r="M624" t="s">
        <v>472</v>
      </c>
      <c r="N624" t="s">
        <v>570</v>
      </c>
      <c r="O624" t="s">
        <v>860</v>
      </c>
      <c r="P624" s="1">
        <f>HYPERLINK("https://ec.europa.eu/info/funding-tenders/opportunities/portal/screen/opportunities/topic-details/horizon-cl5-2021-d5-01-17", "HORIZON-CL5-2021-D5-01-17")</f>
        <v>0</v>
      </c>
      <c r="Q624" t="s">
        <v>1579</v>
      </c>
    </row>
    <row r="625" spans="1:17">
      <c r="A625">
        <v>44120550</v>
      </c>
      <c r="B625">
        <v>2021</v>
      </c>
      <c r="C625" t="s">
        <v>20</v>
      </c>
      <c r="D625" t="s">
        <v>40</v>
      </c>
      <c r="E625" t="s">
        <v>82</v>
      </c>
      <c r="F625" t="s">
        <v>131</v>
      </c>
      <c r="G625" t="s">
        <v>246</v>
      </c>
      <c r="H625" t="s">
        <v>316</v>
      </c>
      <c r="I625" t="s">
        <v>391</v>
      </c>
      <c r="K625" t="s">
        <v>466</v>
      </c>
      <c r="L625" t="s">
        <v>469</v>
      </c>
      <c r="M625" t="s">
        <v>473</v>
      </c>
      <c r="N625" t="s">
        <v>571</v>
      </c>
      <c r="O625" t="s">
        <v>861</v>
      </c>
      <c r="P625" s="1">
        <f>HYPERLINK("https://ec.europa.eu/info/funding-tenders/opportunities/portal/screen/opportunities/topic-details/horizon-cl5-2021-d6-01-01", "HORIZON-CL5-2021-D6-01-01")</f>
        <v>0</v>
      </c>
      <c r="Q625" t="s">
        <v>1580</v>
      </c>
    </row>
    <row r="626" spans="1:17">
      <c r="A626">
        <v>44120583</v>
      </c>
      <c r="B626">
        <v>2021</v>
      </c>
      <c r="C626" t="s">
        <v>20</v>
      </c>
      <c r="D626" t="s">
        <v>40</v>
      </c>
      <c r="E626" t="s">
        <v>82</v>
      </c>
      <c r="F626" t="s">
        <v>131</v>
      </c>
      <c r="G626" t="s">
        <v>246</v>
      </c>
      <c r="H626" t="s">
        <v>316</v>
      </c>
      <c r="I626" t="s">
        <v>391</v>
      </c>
      <c r="K626" t="s">
        <v>466</v>
      </c>
      <c r="L626" t="s">
        <v>469</v>
      </c>
      <c r="M626" t="s">
        <v>471</v>
      </c>
      <c r="N626" t="s">
        <v>571</v>
      </c>
      <c r="O626" t="s">
        <v>861</v>
      </c>
      <c r="P626" s="1">
        <f>HYPERLINK("https://ec.europa.eu/info/funding-tenders/opportunities/portal/screen/opportunities/topic-details/horizon-cl5-2021-d6-01-02", "HORIZON-CL5-2021-D6-01-02")</f>
        <v>0</v>
      </c>
      <c r="Q626" t="s">
        <v>1581</v>
      </c>
    </row>
    <row r="627" spans="1:17">
      <c r="A627">
        <v>44120616</v>
      </c>
      <c r="B627">
        <v>2021</v>
      </c>
      <c r="C627" t="s">
        <v>20</v>
      </c>
      <c r="D627" t="s">
        <v>40</v>
      </c>
      <c r="E627" t="s">
        <v>82</v>
      </c>
      <c r="F627" t="s">
        <v>131</v>
      </c>
      <c r="G627" t="s">
        <v>246</v>
      </c>
      <c r="H627" t="s">
        <v>316</v>
      </c>
      <c r="I627" t="s">
        <v>391</v>
      </c>
      <c r="K627" t="s">
        <v>466</v>
      </c>
      <c r="L627" t="s">
        <v>469</v>
      </c>
      <c r="M627" t="s">
        <v>473</v>
      </c>
      <c r="N627" t="s">
        <v>571</v>
      </c>
      <c r="O627" t="s">
        <v>861</v>
      </c>
      <c r="P627" s="1">
        <f>HYPERLINK("https://ec.europa.eu/info/funding-tenders/opportunities/portal/screen/opportunities/topic-details/horizon-cl5-2021-d6-01-03", "HORIZON-CL5-2021-D6-01-03")</f>
        <v>0</v>
      </c>
      <c r="Q627" t="s">
        <v>1582</v>
      </c>
    </row>
    <row r="628" spans="1:17">
      <c r="A628">
        <v>44121224</v>
      </c>
      <c r="B628">
        <v>2021</v>
      </c>
      <c r="C628" t="s">
        <v>20</v>
      </c>
      <c r="D628" t="s">
        <v>40</v>
      </c>
      <c r="E628" t="s">
        <v>82</v>
      </c>
      <c r="F628" t="s">
        <v>131</v>
      </c>
      <c r="G628" t="s">
        <v>246</v>
      </c>
      <c r="H628" t="s">
        <v>316</v>
      </c>
      <c r="I628" t="s">
        <v>391</v>
      </c>
      <c r="K628" t="s">
        <v>466</v>
      </c>
      <c r="L628" t="s">
        <v>469</v>
      </c>
      <c r="M628" t="s">
        <v>471</v>
      </c>
      <c r="N628" t="s">
        <v>571</v>
      </c>
      <c r="O628" t="s">
        <v>861</v>
      </c>
      <c r="P628" s="1">
        <f>HYPERLINK("https://ec.europa.eu/info/funding-tenders/opportunities/portal/screen/opportunities/topic-details/horizon-cl5-2021-d6-01-04", "HORIZON-CL5-2021-D6-01-04")</f>
        <v>0</v>
      </c>
      <c r="Q628" t="s">
        <v>1583</v>
      </c>
    </row>
    <row r="629" spans="1:17">
      <c r="A629">
        <v>44122658</v>
      </c>
      <c r="B629">
        <v>2021</v>
      </c>
      <c r="C629" t="s">
        <v>20</v>
      </c>
      <c r="D629" t="s">
        <v>40</v>
      </c>
      <c r="E629" t="s">
        <v>82</v>
      </c>
      <c r="F629" t="s">
        <v>131</v>
      </c>
      <c r="G629" t="s">
        <v>246</v>
      </c>
      <c r="H629" t="s">
        <v>316</v>
      </c>
      <c r="I629" t="s">
        <v>391</v>
      </c>
      <c r="K629" t="s">
        <v>466</v>
      </c>
      <c r="L629" t="s">
        <v>469</v>
      </c>
      <c r="M629" t="s">
        <v>471</v>
      </c>
      <c r="N629" t="s">
        <v>571</v>
      </c>
      <c r="O629" t="s">
        <v>861</v>
      </c>
      <c r="P629" s="1">
        <f>HYPERLINK("https://ec.europa.eu/info/funding-tenders/opportunities/portal/screen/opportunities/topic-details/horizon-cl5-2021-d6-01-05", "HORIZON-CL5-2021-D6-01-05")</f>
        <v>0</v>
      </c>
      <c r="Q629" t="s">
        <v>1584</v>
      </c>
    </row>
    <row r="630" spans="1:17">
      <c r="A630">
        <v>44120656</v>
      </c>
      <c r="B630">
        <v>2021</v>
      </c>
      <c r="C630" t="s">
        <v>20</v>
      </c>
      <c r="D630" t="s">
        <v>40</v>
      </c>
      <c r="E630" t="s">
        <v>82</v>
      </c>
      <c r="F630" t="s">
        <v>131</v>
      </c>
      <c r="G630" t="s">
        <v>246</v>
      </c>
      <c r="H630" t="s">
        <v>316</v>
      </c>
      <c r="I630" t="s">
        <v>391</v>
      </c>
      <c r="K630" t="s">
        <v>466</v>
      </c>
      <c r="L630" t="s">
        <v>469</v>
      </c>
      <c r="M630" t="s">
        <v>471</v>
      </c>
      <c r="N630" t="s">
        <v>571</v>
      </c>
      <c r="O630" t="s">
        <v>861</v>
      </c>
      <c r="P630" s="1">
        <f>HYPERLINK("https://ec.europa.eu/info/funding-tenders/opportunities/portal/screen/opportunities/topic-details/horizon-cl5-2021-d6-01-06", "HORIZON-CL5-2021-D6-01-06")</f>
        <v>0</v>
      </c>
      <c r="Q630" t="s">
        <v>1585</v>
      </c>
    </row>
    <row r="631" spans="1:17">
      <c r="A631">
        <v>44117826</v>
      </c>
      <c r="B631">
        <v>2021</v>
      </c>
      <c r="C631" t="s">
        <v>20</v>
      </c>
      <c r="D631" t="s">
        <v>40</v>
      </c>
      <c r="E631" t="s">
        <v>82</v>
      </c>
      <c r="F631" t="s">
        <v>131</v>
      </c>
      <c r="G631" t="s">
        <v>246</v>
      </c>
      <c r="H631" t="s">
        <v>316</v>
      </c>
      <c r="I631" t="s">
        <v>391</v>
      </c>
      <c r="K631" t="s">
        <v>466</v>
      </c>
      <c r="L631" t="s">
        <v>469</v>
      </c>
      <c r="M631" t="s">
        <v>473</v>
      </c>
      <c r="N631" t="s">
        <v>571</v>
      </c>
      <c r="O631" t="s">
        <v>861</v>
      </c>
      <c r="P631" s="1">
        <f>HYPERLINK("https://ec.europa.eu/info/funding-tenders/opportunities/portal/screen/opportunities/topic-details/horizon-cl5-2021-d6-01-07", "HORIZON-CL5-2021-D6-01-07")</f>
        <v>0</v>
      </c>
      <c r="Q631" t="s">
        <v>1586</v>
      </c>
    </row>
    <row r="632" spans="1:17">
      <c r="A632">
        <v>44121286</v>
      </c>
      <c r="B632">
        <v>2021</v>
      </c>
      <c r="C632" t="s">
        <v>20</v>
      </c>
      <c r="D632" t="s">
        <v>40</v>
      </c>
      <c r="E632" t="s">
        <v>82</v>
      </c>
      <c r="F632" t="s">
        <v>131</v>
      </c>
      <c r="G632" t="s">
        <v>246</v>
      </c>
      <c r="H632" t="s">
        <v>316</v>
      </c>
      <c r="I632" t="s">
        <v>391</v>
      </c>
      <c r="K632" t="s">
        <v>466</v>
      </c>
      <c r="L632" t="s">
        <v>469</v>
      </c>
      <c r="M632" t="s">
        <v>473</v>
      </c>
      <c r="N632" t="s">
        <v>571</v>
      </c>
      <c r="O632" t="s">
        <v>861</v>
      </c>
      <c r="P632" s="1">
        <f>HYPERLINK("https://ec.europa.eu/info/funding-tenders/opportunities/portal/screen/opportunities/topic-details/horizon-cl5-2021-d6-01-08", "HORIZON-CL5-2021-D6-01-08")</f>
        <v>0</v>
      </c>
      <c r="Q632" t="s">
        <v>1587</v>
      </c>
    </row>
    <row r="633" spans="1:17">
      <c r="A633">
        <v>44118376</v>
      </c>
      <c r="B633">
        <v>2021</v>
      </c>
      <c r="C633" t="s">
        <v>20</v>
      </c>
      <c r="D633" t="s">
        <v>40</v>
      </c>
      <c r="E633" t="s">
        <v>82</v>
      </c>
      <c r="F633" t="s">
        <v>131</v>
      </c>
      <c r="G633" t="s">
        <v>246</v>
      </c>
      <c r="H633" t="s">
        <v>316</v>
      </c>
      <c r="I633" t="s">
        <v>391</v>
      </c>
      <c r="K633" t="s">
        <v>466</v>
      </c>
      <c r="L633" t="s">
        <v>469</v>
      </c>
      <c r="M633" t="s">
        <v>473</v>
      </c>
      <c r="N633" t="s">
        <v>571</v>
      </c>
      <c r="O633" t="s">
        <v>861</v>
      </c>
      <c r="P633" s="1">
        <f>HYPERLINK("https://ec.europa.eu/info/funding-tenders/opportunities/portal/screen/opportunities/topic-details/horizon-cl5-2021-d6-01-09", "HORIZON-CL5-2021-D6-01-09")</f>
        <v>0</v>
      </c>
      <c r="Q633" t="s">
        <v>1588</v>
      </c>
    </row>
    <row r="634" spans="1:17">
      <c r="A634">
        <v>44120687</v>
      </c>
      <c r="B634">
        <v>2021</v>
      </c>
      <c r="C634" t="s">
        <v>20</v>
      </c>
      <c r="D634" t="s">
        <v>40</v>
      </c>
      <c r="E634" t="s">
        <v>82</v>
      </c>
      <c r="F634" t="s">
        <v>131</v>
      </c>
      <c r="G634" t="s">
        <v>246</v>
      </c>
      <c r="H634" t="s">
        <v>316</v>
      </c>
      <c r="I634" t="s">
        <v>391</v>
      </c>
      <c r="K634" t="s">
        <v>466</v>
      </c>
      <c r="L634" t="s">
        <v>469</v>
      </c>
      <c r="M634" t="s">
        <v>471</v>
      </c>
      <c r="N634" t="s">
        <v>571</v>
      </c>
      <c r="O634" t="s">
        <v>861</v>
      </c>
      <c r="P634" s="1">
        <f>HYPERLINK("https://ec.europa.eu/info/funding-tenders/opportunities/portal/screen/opportunities/topic-details/horizon-cl5-2021-d6-01-10", "HORIZON-CL5-2021-D6-01-10")</f>
        <v>0</v>
      </c>
      <c r="Q634" t="s">
        <v>1589</v>
      </c>
    </row>
    <row r="635" spans="1:17">
      <c r="A635">
        <v>44116932</v>
      </c>
      <c r="B635">
        <v>2021</v>
      </c>
      <c r="C635" t="s">
        <v>20</v>
      </c>
      <c r="D635" t="s">
        <v>40</v>
      </c>
      <c r="E635" t="s">
        <v>82</v>
      </c>
      <c r="F635" t="s">
        <v>131</v>
      </c>
      <c r="G635" t="s">
        <v>246</v>
      </c>
      <c r="H635" t="s">
        <v>316</v>
      </c>
      <c r="I635" t="s">
        <v>391</v>
      </c>
      <c r="K635" t="s">
        <v>466</v>
      </c>
      <c r="L635" t="s">
        <v>469</v>
      </c>
      <c r="M635" t="s">
        <v>471</v>
      </c>
      <c r="N635" t="s">
        <v>571</v>
      </c>
      <c r="O635" t="s">
        <v>861</v>
      </c>
      <c r="P635" s="1">
        <f>HYPERLINK("https://ec.europa.eu/info/funding-tenders/opportunities/portal/screen/opportunities/topic-details/horizon-cl5-2021-d6-01-11", "HORIZON-CL5-2021-D6-01-11")</f>
        <v>0</v>
      </c>
      <c r="Q635" t="s">
        <v>1590</v>
      </c>
    </row>
    <row r="636" spans="1:17">
      <c r="A636">
        <v>44120715</v>
      </c>
      <c r="B636">
        <v>2021</v>
      </c>
      <c r="C636" t="s">
        <v>20</v>
      </c>
      <c r="D636" t="s">
        <v>40</v>
      </c>
      <c r="E636" t="s">
        <v>82</v>
      </c>
      <c r="F636" t="s">
        <v>131</v>
      </c>
      <c r="G636" t="s">
        <v>246</v>
      </c>
      <c r="H636" t="s">
        <v>316</v>
      </c>
      <c r="I636" t="s">
        <v>391</v>
      </c>
      <c r="K636" t="s">
        <v>466</v>
      </c>
      <c r="L636" t="s">
        <v>469</v>
      </c>
      <c r="M636" t="s">
        <v>471</v>
      </c>
      <c r="N636" t="s">
        <v>571</v>
      </c>
      <c r="O636" t="s">
        <v>861</v>
      </c>
      <c r="P636" s="1">
        <f>HYPERLINK("https://ec.europa.eu/info/funding-tenders/opportunities/portal/screen/opportunities/topic-details/horizon-cl5-2021-d6-01-12", "HORIZON-CL5-2021-D6-01-12")</f>
        <v>0</v>
      </c>
      <c r="Q636" t="s">
        <v>1591</v>
      </c>
    </row>
    <row r="637" spans="1:17">
      <c r="A637">
        <v>44117868</v>
      </c>
      <c r="B637">
        <v>2021</v>
      </c>
      <c r="C637" t="s">
        <v>20</v>
      </c>
      <c r="D637" t="s">
        <v>40</v>
      </c>
      <c r="E637" t="s">
        <v>82</v>
      </c>
      <c r="F637" t="s">
        <v>131</v>
      </c>
      <c r="G637" t="s">
        <v>246</v>
      </c>
      <c r="H637" t="s">
        <v>316</v>
      </c>
      <c r="I637" t="s">
        <v>391</v>
      </c>
      <c r="K637" t="s">
        <v>466</v>
      </c>
      <c r="L637" t="s">
        <v>469</v>
      </c>
      <c r="M637" t="s">
        <v>473</v>
      </c>
      <c r="N637" t="s">
        <v>571</v>
      </c>
      <c r="O637" t="s">
        <v>861</v>
      </c>
      <c r="P637" s="1">
        <f>HYPERLINK("https://ec.europa.eu/info/funding-tenders/opportunities/portal/screen/opportunities/topic-details/horizon-cl5-2021-d6-01-13", "HORIZON-CL5-2021-D6-01-13")</f>
        <v>0</v>
      </c>
      <c r="Q637" t="s">
        <v>1592</v>
      </c>
    </row>
    <row r="638" spans="1:17">
      <c r="A638">
        <v>44118123</v>
      </c>
      <c r="B638">
        <v>2022</v>
      </c>
      <c r="C638" t="s">
        <v>20</v>
      </c>
      <c r="D638" t="s">
        <v>40</v>
      </c>
      <c r="E638" t="s">
        <v>71</v>
      </c>
      <c r="F638" t="s">
        <v>132</v>
      </c>
      <c r="G638" t="s">
        <v>247</v>
      </c>
      <c r="H638" t="s">
        <v>309</v>
      </c>
      <c r="I638" t="s">
        <v>394</v>
      </c>
      <c r="J638" t="s">
        <v>451</v>
      </c>
      <c r="K638" t="s">
        <v>466</v>
      </c>
      <c r="L638" t="s">
        <v>470</v>
      </c>
      <c r="M638" t="s">
        <v>471</v>
      </c>
      <c r="N638" t="s">
        <v>572</v>
      </c>
      <c r="O638" t="s">
        <v>856</v>
      </c>
      <c r="P638" s="1">
        <f>HYPERLINK("https://ec.europa.eu/info/funding-tenders/opportunities/portal/screen/opportunities/topic-details/horizon-cl5-2022-d1-01-01-two-stage", "HORIZON-CL5-2022-D1-01-01-two-stage")</f>
        <v>0</v>
      </c>
      <c r="Q638" t="s">
        <v>1593</v>
      </c>
    </row>
    <row r="639" spans="1:17">
      <c r="A639">
        <v>44121020</v>
      </c>
      <c r="B639">
        <v>2022</v>
      </c>
      <c r="C639" t="s">
        <v>20</v>
      </c>
      <c r="D639" t="s">
        <v>40</v>
      </c>
      <c r="E639" t="s">
        <v>71</v>
      </c>
      <c r="F639" t="s">
        <v>132</v>
      </c>
      <c r="G639" t="s">
        <v>247</v>
      </c>
      <c r="H639" t="s">
        <v>309</v>
      </c>
      <c r="I639" t="s">
        <v>394</v>
      </c>
      <c r="J639" t="s">
        <v>451</v>
      </c>
      <c r="K639" t="s">
        <v>466</v>
      </c>
      <c r="L639" t="s">
        <v>470</v>
      </c>
      <c r="M639" t="s">
        <v>471</v>
      </c>
      <c r="N639" t="s">
        <v>572</v>
      </c>
      <c r="O639" t="s">
        <v>856</v>
      </c>
      <c r="P639" s="1">
        <f>HYPERLINK("https://ec.europa.eu/info/funding-tenders/opportunities/portal/screen/opportunities/topic-details/horizon-cl5-2022-d1-01-02-two-stage", "HORIZON-CL5-2022-D1-01-02-two-stage")</f>
        <v>0</v>
      </c>
      <c r="Q639" t="s">
        <v>1594</v>
      </c>
    </row>
    <row r="640" spans="1:17">
      <c r="A640">
        <v>44118142</v>
      </c>
      <c r="B640">
        <v>2022</v>
      </c>
      <c r="C640" t="s">
        <v>20</v>
      </c>
      <c r="D640" t="s">
        <v>40</v>
      </c>
      <c r="E640" t="s">
        <v>71</v>
      </c>
      <c r="F640" t="s">
        <v>132</v>
      </c>
      <c r="G640" t="s">
        <v>247</v>
      </c>
      <c r="H640" t="s">
        <v>309</v>
      </c>
      <c r="I640" t="s">
        <v>394</v>
      </c>
      <c r="J640" t="s">
        <v>451</v>
      </c>
      <c r="K640" t="s">
        <v>466</v>
      </c>
      <c r="L640" t="s">
        <v>470</v>
      </c>
      <c r="M640" t="s">
        <v>471</v>
      </c>
      <c r="N640" t="s">
        <v>572</v>
      </c>
      <c r="O640" t="s">
        <v>856</v>
      </c>
      <c r="P640" s="1">
        <f>HYPERLINK("https://ec.europa.eu/info/funding-tenders/opportunities/portal/screen/opportunities/topic-details/horizon-cl5-2022-d1-01-03-two-stage", "HORIZON-CL5-2022-D1-01-03-two-stage")</f>
        <v>0</v>
      </c>
      <c r="Q640" t="s">
        <v>1595</v>
      </c>
    </row>
    <row r="641" spans="1:17">
      <c r="A641">
        <v>44118163</v>
      </c>
      <c r="B641">
        <v>2022</v>
      </c>
      <c r="C641" t="s">
        <v>20</v>
      </c>
      <c r="D641" t="s">
        <v>40</v>
      </c>
      <c r="E641" t="s">
        <v>71</v>
      </c>
      <c r="F641" t="s">
        <v>133</v>
      </c>
      <c r="G641" t="s">
        <v>246</v>
      </c>
      <c r="H641" t="s">
        <v>309</v>
      </c>
      <c r="I641" t="s">
        <v>394</v>
      </c>
      <c r="K641" t="s">
        <v>466</v>
      </c>
      <c r="L641" t="s">
        <v>469</v>
      </c>
      <c r="M641" t="s">
        <v>471</v>
      </c>
      <c r="N641" t="s">
        <v>573</v>
      </c>
      <c r="O641" t="s">
        <v>856</v>
      </c>
      <c r="P641" s="1">
        <f>HYPERLINK("https://ec.europa.eu/info/funding-tenders/opportunities/portal/screen/opportunities/topic-details/horizon-cl5-2022-d1-02-01", "HORIZON-CL5-2022-D1-02-01")</f>
        <v>0</v>
      </c>
      <c r="Q641" t="s">
        <v>1596</v>
      </c>
    </row>
    <row r="642" spans="1:17">
      <c r="A642">
        <v>44121041</v>
      </c>
      <c r="B642">
        <v>2022</v>
      </c>
      <c r="C642" t="s">
        <v>20</v>
      </c>
      <c r="D642" t="s">
        <v>40</v>
      </c>
      <c r="E642" t="s">
        <v>71</v>
      </c>
      <c r="F642" t="s">
        <v>133</v>
      </c>
      <c r="G642" t="s">
        <v>246</v>
      </c>
      <c r="H642" t="s">
        <v>309</v>
      </c>
      <c r="I642" t="s">
        <v>394</v>
      </c>
      <c r="K642" t="s">
        <v>466</v>
      </c>
      <c r="L642" t="s">
        <v>469</v>
      </c>
      <c r="M642" t="s">
        <v>471</v>
      </c>
      <c r="N642" t="s">
        <v>573</v>
      </c>
      <c r="O642" t="s">
        <v>856</v>
      </c>
      <c r="P642" s="1">
        <f>HYPERLINK("https://ec.europa.eu/info/funding-tenders/opportunities/portal/screen/opportunities/topic-details/horizon-cl5-2022-d1-02-02", "HORIZON-CL5-2022-D1-02-02")</f>
        <v>0</v>
      </c>
      <c r="Q642" t="s">
        <v>1597</v>
      </c>
    </row>
    <row r="643" spans="1:17">
      <c r="A643">
        <v>44118183</v>
      </c>
      <c r="B643">
        <v>2022</v>
      </c>
      <c r="C643" t="s">
        <v>20</v>
      </c>
      <c r="D643" t="s">
        <v>40</v>
      </c>
      <c r="E643" t="s">
        <v>71</v>
      </c>
      <c r="F643" t="s">
        <v>133</v>
      </c>
      <c r="G643" t="s">
        <v>246</v>
      </c>
      <c r="H643" t="s">
        <v>309</v>
      </c>
      <c r="I643" t="s">
        <v>394</v>
      </c>
      <c r="K643" t="s">
        <v>466</v>
      </c>
      <c r="L643" t="s">
        <v>469</v>
      </c>
      <c r="M643" t="s">
        <v>471</v>
      </c>
      <c r="N643" t="s">
        <v>573</v>
      </c>
      <c r="O643" t="s">
        <v>856</v>
      </c>
      <c r="P643" s="1">
        <f>HYPERLINK("https://ec.europa.eu/info/funding-tenders/opportunities/portal/screen/opportunities/topic-details/horizon-cl5-2022-d1-02-03", "HORIZON-CL5-2022-D1-02-03")</f>
        <v>0</v>
      </c>
      <c r="Q643" t="s">
        <v>1598</v>
      </c>
    </row>
    <row r="644" spans="1:17">
      <c r="A644">
        <v>44118206</v>
      </c>
      <c r="B644">
        <v>2022</v>
      </c>
      <c r="C644" t="s">
        <v>20</v>
      </c>
      <c r="D644" t="s">
        <v>40</v>
      </c>
      <c r="E644" t="s">
        <v>71</v>
      </c>
      <c r="F644" t="s">
        <v>133</v>
      </c>
      <c r="G644" t="s">
        <v>246</v>
      </c>
      <c r="H644" t="s">
        <v>309</v>
      </c>
      <c r="I644" t="s">
        <v>394</v>
      </c>
      <c r="K644" t="s">
        <v>466</v>
      </c>
      <c r="L644" t="s">
        <v>469</v>
      </c>
      <c r="M644" t="s">
        <v>471</v>
      </c>
      <c r="N644" t="s">
        <v>573</v>
      </c>
      <c r="O644" t="s">
        <v>856</v>
      </c>
      <c r="P644" s="1">
        <f>HYPERLINK("https://ec.europa.eu/info/funding-tenders/opportunities/portal/screen/opportunities/topic-details/horizon-cl5-2022-d1-02-04", "HORIZON-CL5-2022-D1-02-04")</f>
        <v>0</v>
      </c>
      <c r="Q644" t="s">
        <v>1599</v>
      </c>
    </row>
    <row r="645" spans="1:17">
      <c r="A645">
        <v>44118228</v>
      </c>
      <c r="B645">
        <v>2022</v>
      </c>
      <c r="C645" t="s">
        <v>20</v>
      </c>
      <c r="D645" t="s">
        <v>40</v>
      </c>
      <c r="E645" t="s">
        <v>71</v>
      </c>
      <c r="F645" t="s">
        <v>133</v>
      </c>
      <c r="G645" t="s">
        <v>246</v>
      </c>
      <c r="H645" t="s">
        <v>309</v>
      </c>
      <c r="I645" t="s">
        <v>394</v>
      </c>
      <c r="K645" t="s">
        <v>466</v>
      </c>
      <c r="L645" t="s">
        <v>469</v>
      </c>
      <c r="M645" t="s">
        <v>471</v>
      </c>
      <c r="N645" t="s">
        <v>573</v>
      </c>
      <c r="O645" t="s">
        <v>856</v>
      </c>
      <c r="P645" s="1">
        <f>HYPERLINK("https://ec.europa.eu/info/funding-tenders/opportunities/portal/screen/opportunities/topic-details/horizon-cl5-2022-d1-02-05", "HORIZON-CL5-2022-D1-02-05")</f>
        <v>0</v>
      </c>
      <c r="Q645" t="s">
        <v>1600</v>
      </c>
    </row>
    <row r="646" spans="1:17">
      <c r="A646">
        <v>44117388</v>
      </c>
      <c r="B646">
        <v>2022</v>
      </c>
      <c r="C646" t="s">
        <v>20</v>
      </c>
      <c r="D646" t="s">
        <v>40</v>
      </c>
      <c r="E646" t="s">
        <v>76</v>
      </c>
      <c r="F646" t="s">
        <v>124</v>
      </c>
      <c r="G646" t="s">
        <v>246</v>
      </c>
      <c r="H646" t="s">
        <v>318</v>
      </c>
      <c r="I646" t="s">
        <v>321</v>
      </c>
      <c r="K646" t="s">
        <v>466</v>
      </c>
      <c r="L646" t="s">
        <v>469</v>
      </c>
      <c r="M646" t="s">
        <v>473</v>
      </c>
      <c r="N646" t="s">
        <v>574</v>
      </c>
      <c r="O646" t="s">
        <v>857</v>
      </c>
      <c r="P646" s="1">
        <f>HYPERLINK("https://ec.europa.eu/info/funding-tenders/opportunities/portal/screen/opportunities/topic-details/horizon-cl5-2022-d2-01-01", "HORIZON-CL5-2022-D2-01-01")</f>
        <v>0</v>
      </c>
      <c r="Q646" t="s">
        <v>1601</v>
      </c>
    </row>
    <row r="647" spans="1:17">
      <c r="A647">
        <v>44118514</v>
      </c>
      <c r="B647">
        <v>2022</v>
      </c>
      <c r="C647" t="s">
        <v>20</v>
      </c>
      <c r="D647" t="s">
        <v>40</v>
      </c>
      <c r="E647" t="s">
        <v>76</v>
      </c>
      <c r="F647" t="s">
        <v>124</v>
      </c>
      <c r="G647" t="s">
        <v>246</v>
      </c>
      <c r="H647" t="s">
        <v>318</v>
      </c>
      <c r="I647" t="s">
        <v>321</v>
      </c>
      <c r="K647" t="s">
        <v>466</v>
      </c>
      <c r="L647" t="s">
        <v>469</v>
      </c>
      <c r="M647" t="s">
        <v>471</v>
      </c>
      <c r="N647" t="s">
        <v>574</v>
      </c>
      <c r="O647" t="s">
        <v>857</v>
      </c>
      <c r="P647" s="1">
        <f>HYPERLINK("https://ec.europa.eu/info/funding-tenders/opportunities/portal/screen/opportunities/topic-details/horizon-cl5-2022-d2-01-02", "HORIZON-CL5-2022-D2-01-02")</f>
        <v>0</v>
      </c>
      <c r="Q647" t="s">
        <v>1602</v>
      </c>
    </row>
    <row r="648" spans="1:17">
      <c r="A648">
        <v>44116967</v>
      </c>
      <c r="B648">
        <v>2022</v>
      </c>
      <c r="C648" t="s">
        <v>20</v>
      </c>
      <c r="D648" t="s">
        <v>40</v>
      </c>
      <c r="E648" t="s">
        <v>76</v>
      </c>
      <c r="F648" t="s">
        <v>124</v>
      </c>
      <c r="G648" t="s">
        <v>246</v>
      </c>
      <c r="H648" t="s">
        <v>318</v>
      </c>
      <c r="I648" t="s">
        <v>321</v>
      </c>
      <c r="K648" t="s">
        <v>466</v>
      </c>
      <c r="L648" t="s">
        <v>469</v>
      </c>
      <c r="M648" t="s">
        <v>471</v>
      </c>
      <c r="N648" t="s">
        <v>574</v>
      </c>
      <c r="O648" t="s">
        <v>857</v>
      </c>
      <c r="P648" s="1">
        <f>HYPERLINK("https://ec.europa.eu/info/funding-tenders/opportunities/portal/screen/opportunities/topic-details/horizon-cl5-2022-d2-01-03", "HORIZON-CL5-2022-D2-01-03")</f>
        <v>0</v>
      </c>
      <c r="Q648" t="s">
        <v>1603</v>
      </c>
    </row>
    <row r="649" spans="1:17">
      <c r="A649">
        <v>44117001</v>
      </c>
      <c r="B649">
        <v>2022</v>
      </c>
      <c r="C649" t="s">
        <v>20</v>
      </c>
      <c r="D649" t="s">
        <v>40</v>
      </c>
      <c r="E649" t="s">
        <v>76</v>
      </c>
      <c r="F649" t="s">
        <v>124</v>
      </c>
      <c r="G649" t="s">
        <v>246</v>
      </c>
      <c r="H649" t="s">
        <v>318</v>
      </c>
      <c r="I649" t="s">
        <v>321</v>
      </c>
      <c r="K649" t="s">
        <v>466</v>
      </c>
      <c r="L649" t="s">
        <v>469</v>
      </c>
      <c r="M649" t="s">
        <v>473</v>
      </c>
      <c r="N649" t="s">
        <v>574</v>
      </c>
      <c r="O649" t="s">
        <v>857</v>
      </c>
      <c r="P649" s="1">
        <f>HYPERLINK("https://ec.europa.eu/info/funding-tenders/opportunities/portal/screen/opportunities/topic-details/horizon-cl5-2022-d2-01-04", "HORIZON-CL5-2022-D2-01-04")</f>
        <v>0</v>
      </c>
      <c r="Q649" t="s">
        <v>1604</v>
      </c>
    </row>
    <row r="650" spans="1:17">
      <c r="A650">
        <v>44117421</v>
      </c>
      <c r="B650">
        <v>2022</v>
      </c>
      <c r="C650" t="s">
        <v>20</v>
      </c>
      <c r="D650" t="s">
        <v>40</v>
      </c>
      <c r="E650" t="s">
        <v>76</v>
      </c>
      <c r="F650" t="s">
        <v>124</v>
      </c>
      <c r="G650" t="s">
        <v>246</v>
      </c>
      <c r="H650" t="s">
        <v>318</v>
      </c>
      <c r="I650" t="s">
        <v>321</v>
      </c>
      <c r="K650" t="s">
        <v>466</v>
      </c>
      <c r="L650" t="s">
        <v>469</v>
      </c>
      <c r="M650" t="s">
        <v>471</v>
      </c>
      <c r="N650" t="s">
        <v>574</v>
      </c>
      <c r="O650" t="s">
        <v>857</v>
      </c>
      <c r="P650" s="1">
        <f>HYPERLINK("https://ec.europa.eu/info/funding-tenders/opportunities/portal/screen/opportunities/topic-details/horizon-cl5-2022-d2-01-05", "HORIZON-CL5-2022-D2-01-05")</f>
        <v>0</v>
      </c>
      <c r="Q650" t="s">
        <v>1605</v>
      </c>
    </row>
    <row r="651" spans="1:17">
      <c r="A651">
        <v>44118545</v>
      </c>
      <c r="B651">
        <v>2022</v>
      </c>
      <c r="C651" t="s">
        <v>20</v>
      </c>
      <c r="D651" t="s">
        <v>40</v>
      </c>
      <c r="E651" t="s">
        <v>76</v>
      </c>
      <c r="F651" t="s">
        <v>124</v>
      </c>
      <c r="G651" t="s">
        <v>246</v>
      </c>
      <c r="H651" t="s">
        <v>318</v>
      </c>
      <c r="I651" t="s">
        <v>321</v>
      </c>
      <c r="K651" t="s">
        <v>466</v>
      </c>
      <c r="L651" t="s">
        <v>469</v>
      </c>
      <c r="M651" t="s">
        <v>471</v>
      </c>
      <c r="N651" t="s">
        <v>574</v>
      </c>
      <c r="O651" t="s">
        <v>857</v>
      </c>
      <c r="P651" s="1">
        <f>HYPERLINK("https://ec.europa.eu/info/funding-tenders/opportunities/portal/screen/opportunities/topic-details/horizon-cl5-2022-d2-01-06", "HORIZON-CL5-2022-D2-01-06")</f>
        <v>0</v>
      </c>
      <c r="Q651" t="s">
        <v>1606</v>
      </c>
    </row>
    <row r="652" spans="1:17">
      <c r="A652">
        <v>44118579</v>
      </c>
      <c r="B652">
        <v>2022</v>
      </c>
      <c r="C652" t="s">
        <v>20</v>
      </c>
      <c r="D652" t="s">
        <v>40</v>
      </c>
      <c r="E652" t="s">
        <v>76</v>
      </c>
      <c r="F652" t="s">
        <v>124</v>
      </c>
      <c r="G652" t="s">
        <v>246</v>
      </c>
      <c r="H652" t="s">
        <v>318</v>
      </c>
      <c r="I652" t="s">
        <v>321</v>
      </c>
      <c r="K652" t="s">
        <v>466</v>
      </c>
      <c r="L652" t="s">
        <v>469</v>
      </c>
      <c r="M652" t="s">
        <v>471</v>
      </c>
      <c r="N652" t="s">
        <v>574</v>
      </c>
      <c r="O652" t="s">
        <v>857</v>
      </c>
      <c r="P652" s="1">
        <f>HYPERLINK("https://ec.europa.eu/info/funding-tenders/opportunities/portal/screen/opportunities/topic-details/horizon-cl5-2022-d2-01-07", "HORIZON-CL5-2022-D2-01-07")</f>
        <v>0</v>
      </c>
      <c r="Q652" t="s">
        <v>1607</v>
      </c>
    </row>
    <row r="653" spans="1:17">
      <c r="A653">
        <v>44118612</v>
      </c>
      <c r="B653">
        <v>2022</v>
      </c>
      <c r="C653" t="s">
        <v>20</v>
      </c>
      <c r="D653" t="s">
        <v>40</v>
      </c>
      <c r="E653" t="s">
        <v>76</v>
      </c>
      <c r="F653" t="s">
        <v>124</v>
      </c>
      <c r="G653" t="s">
        <v>246</v>
      </c>
      <c r="H653" t="s">
        <v>318</v>
      </c>
      <c r="I653" t="s">
        <v>321</v>
      </c>
      <c r="K653" t="s">
        <v>466</v>
      </c>
      <c r="L653" t="s">
        <v>469</v>
      </c>
      <c r="M653" t="s">
        <v>472</v>
      </c>
      <c r="N653" t="s">
        <v>574</v>
      </c>
      <c r="O653" t="s">
        <v>857</v>
      </c>
      <c r="P653" s="1">
        <f>HYPERLINK("https://ec.europa.eu/info/funding-tenders/opportunities/portal/screen/opportunities/topic-details/horizon-cl5-2022-d2-01-08", "HORIZON-CL5-2022-D2-01-08")</f>
        <v>0</v>
      </c>
      <c r="Q653" t="s">
        <v>1608</v>
      </c>
    </row>
    <row r="654" spans="1:17">
      <c r="A654">
        <v>44116721</v>
      </c>
      <c r="B654">
        <v>2022</v>
      </c>
      <c r="C654" t="s">
        <v>20</v>
      </c>
      <c r="D654" t="s">
        <v>40</v>
      </c>
      <c r="E654" t="s">
        <v>76</v>
      </c>
      <c r="F654" t="s">
        <v>124</v>
      </c>
      <c r="G654" t="s">
        <v>246</v>
      </c>
      <c r="H654" t="s">
        <v>318</v>
      </c>
      <c r="I654" t="s">
        <v>321</v>
      </c>
      <c r="K654" t="s">
        <v>466</v>
      </c>
      <c r="L654" t="s">
        <v>469</v>
      </c>
      <c r="M654" t="s">
        <v>471</v>
      </c>
      <c r="N654" t="s">
        <v>574</v>
      </c>
      <c r="O654" t="s">
        <v>857</v>
      </c>
      <c r="P654" s="1">
        <f>HYPERLINK("https://ec.europa.eu/info/funding-tenders/opportunities/portal/screen/opportunities/topic-details/horizon-cl5-2022-d2-01-09", "HORIZON-CL5-2022-D2-01-09")</f>
        <v>0</v>
      </c>
      <c r="Q654" t="s">
        <v>1609</v>
      </c>
    </row>
    <row r="655" spans="1:17">
      <c r="A655">
        <v>44118644</v>
      </c>
      <c r="B655">
        <v>2022</v>
      </c>
      <c r="C655" t="s">
        <v>20</v>
      </c>
      <c r="D655" t="s">
        <v>40</v>
      </c>
      <c r="E655" t="s">
        <v>76</v>
      </c>
      <c r="F655" t="s">
        <v>124</v>
      </c>
      <c r="G655" t="s">
        <v>246</v>
      </c>
      <c r="H655" t="s">
        <v>318</v>
      </c>
      <c r="I655" t="s">
        <v>321</v>
      </c>
      <c r="K655" t="s">
        <v>466</v>
      </c>
      <c r="L655" t="s">
        <v>469</v>
      </c>
      <c r="M655" t="s">
        <v>471</v>
      </c>
      <c r="N655" t="s">
        <v>574</v>
      </c>
      <c r="O655" t="s">
        <v>857</v>
      </c>
      <c r="P655" s="1">
        <f>HYPERLINK("https://ec.europa.eu/info/funding-tenders/opportunities/portal/screen/opportunities/topic-details/horizon-cl5-2022-d2-01-10", "HORIZON-CL5-2022-D2-01-10")</f>
        <v>0</v>
      </c>
      <c r="Q655" t="s">
        <v>1610</v>
      </c>
    </row>
    <row r="656" spans="1:17">
      <c r="A656">
        <v>44120885</v>
      </c>
      <c r="B656">
        <v>2022</v>
      </c>
      <c r="C656" t="s">
        <v>20</v>
      </c>
      <c r="D656" t="s">
        <v>40</v>
      </c>
      <c r="E656" t="s">
        <v>78</v>
      </c>
      <c r="F656" t="s">
        <v>124</v>
      </c>
      <c r="G656" t="s">
        <v>246</v>
      </c>
      <c r="H656" t="s">
        <v>318</v>
      </c>
      <c r="I656" t="s">
        <v>321</v>
      </c>
      <c r="K656" t="s">
        <v>466</v>
      </c>
      <c r="L656" t="s">
        <v>469</v>
      </c>
      <c r="M656" t="s">
        <v>472</v>
      </c>
      <c r="N656" t="s">
        <v>574</v>
      </c>
      <c r="O656" t="s">
        <v>857</v>
      </c>
      <c r="P656" s="1">
        <f>HYPERLINK("https://ec.europa.eu/info/funding-tenders/opportunities/portal/screen/opportunities/topic-details/horizon-cl5-2022-d2-01-11", "HORIZON-CL5-2022-D2-01-11")</f>
        <v>0</v>
      </c>
      <c r="Q656" t="s">
        <v>1611</v>
      </c>
    </row>
    <row r="657" spans="1:17">
      <c r="A657">
        <v>44118930</v>
      </c>
      <c r="B657">
        <v>2022</v>
      </c>
      <c r="C657" t="s">
        <v>20</v>
      </c>
      <c r="D657" t="s">
        <v>40</v>
      </c>
      <c r="E657" t="s">
        <v>80</v>
      </c>
      <c r="F657" t="s">
        <v>125</v>
      </c>
      <c r="G657" t="s">
        <v>246</v>
      </c>
      <c r="H657" t="s">
        <v>319</v>
      </c>
      <c r="I657" t="s">
        <v>395</v>
      </c>
      <c r="K657" t="s">
        <v>466</v>
      </c>
      <c r="L657" t="s">
        <v>469</v>
      </c>
      <c r="M657" t="s">
        <v>473</v>
      </c>
      <c r="N657" t="s">
        <v>575</v>
      </c>
      <c r="O657" t="s">
        <v>858</v>
      </c>
      <c r="P657" s="1">
        <f>HYPERLINK("https://ec.europa.eu/info/funding-tenders/opportunities/portal/screen/opportunities/topic-details/horizon-cl5-2022-d3-01-01", "HORIZON-CL5-2022-D3-01-01")</f>
        <v>0</v>
      </c>
      <c r="Q657" t="s">
        <v>1612</v>
      </c>
    </row>
    <row r="658" spans="1:17">
      <c r="A658">
        <v>44118974</v>
      </c>
      <c r="B658">
        <v>2022</v>
      </c>
      <c r="C658" t="s">
        <v>20</v>
      </c>
      <c r="D658" t="s">
        <v>40</v>
      </c>
      <c r="E658" t="s">
        <v>80</v>
      </c>
      <c r="F658" t="s">
        <v>125</v>
      </c>
      <c r="G658" t="s">
        <v>246</v>
      </c>
      <c r="H658" t="s">
        <v>319</v>
      </c>
      <c r="I658" t="s">
        <v>395</v>
      </c>
      <c r="K658" t="s">
        <v>466</v>
      </c>
      <c r="L658" t="s">
        <v>469</v>
      </c>
      <c r="M658" t="s">
        <v>473</v>
      </c>
      <c r="N658" t="s">
        <v>575</v>
      </c>
      <c r="O658" t="s">
        <v>858</v>
      </c>
      <c r="P658" s="1">
        <f>HYPERLINK("https://ec.europa.eu/info/funding-tenders/opportunities/portal/screen/opportunities/topic-details/horizon-cl5-2022-d3-01-02", "HORIZON-CL5-2022-D3-01-02")</f>
        <v>0</v>
      </c>
      <c r="Q658" t="s">
        <v>1613</v>
      </c>
    </row>
    <row r="659" spans="1:17">
      <c r="A659">
        <v>44119015</v>
      </c>
      <c r="B659">
        <v>2022</v>
      </c>
      <c r="C659" t="s">
        <v>20</v>
      </c>
      <c r="D659" t="s">
        <v>40</v>
      </c>
      <c r="E659" t="s">
        <v>80</v>
      </c>
      <c r="F659" t="s">
        <v>125</v>
      </c>
      <c r="G659" t="s">
        <v>246</v>
      </c>
      <c r="H659" t="s">
        <v>319</v>
      </c>
      <c r="I659" t="s">
        <v>395</v>
      </c>
      <c r="K659" t="s">
        <v>466</v>
      </c>
      <c r="L659" t="s">
        <v>469</v>
      </c>
      <c r="M659" t="s">
        <v>473</v>
      </c>
      <c r="N659" t="s">
        <v>575</v>
      </c>
      <c r="O659" t="s">
        <v>858</v>
      </c>
      <c r="P659" s="1">
        <f>HYPERLINK("https://ec.europa.eu/info/funding-tenders/opportunities/portal/screen/opportunities/topic-details/horizon-cl5-2022-d3-01-03", "HORIZON-CL5-2022-D3-01-03")</f>
        <v>0</v>
      </c>
      <c r="Q659" t="s">
        <v>1614</v>
      </c>
    </row>
    <row r="660" spans="1:17">
      <c r="A660">
        <v>44119056</v>
      </c>
      <c r="B660">
        <v>2022</v>
      </c>
      <c r="C660" t="s">
        <v>20</v>
      </c>
      <c r="D660" t="s">
        <v>40</v>
      </c>
      <c r="E660" t="s">
        <v>80</v>
      </c>
      <c r="F660" t="s">
        <v>125</v>
      </c>
      <c r="G660" t="s">
        <v>246</v>
      </c>
      <c r="H660" t="s">
        <v>319</v>
      </c>
      <c r="I660" t="s">
        <v>395</v>
      </c>
      <c r="K660" t="s">
        <v>466</v>
      </c>
      <c r="L660" t="s">
        <v>469</v>
      </c>
      <c r="M660" t="s">
        <v>473</v>
      </c>
      <c r="N660" t="s">
        <v>575</v>
      </c>
      <c r="O660" t="s">
        <v>858</v>
      </c>
      <c r="P660" s="1">
        <f>HYPERLINK("https://ec.europa.eu/info/funding-tenders/opportunities/portal/screen/opportunities/topic-details/horizon-cl5-2022-d3-01-04", "HORIZON-CL5-2022-D3-01-04")</f>
        <v>0</v>
      </c>
      <c r="Q660" t="s">
        <v>1615</v>
      </c>
    </row>
    <row r="661" spans="1:17">
      <c r="A661">
        <v>44119088</v>
      </c>
      <c r="B661">
        <v>2022</v>
      </c>
      <c r="C661" t="s">
        <v>20</v>
      </c>
      <c r="D661" t="s">
        <v>40</v>
      </c>
      <c r="E661" t="s">
        <v>80</v>
      </c>
      <c r="F661" t="s">
        <v>125</v>
      </c>
      <c r="G661" t="s">
        <v>246</v>
      </c>
      <c r="H661" t="s">
        <v>319</v>
      </c>
      <c r="I661" t="s">
        <v>395</v>
      </c>
      <c r="K661" t="s">
        <v>466</v>
      </c>
      <c r="L661" t="s">
        <v>469</v>
      </c>
      <c r="M661" t="s">
        <v>473</v>
      </c>
      <c r="N661" t="s">
        <v>575</v>
      </c>
      <c r="O661" t="s">
        <v>858</v>
      </c>
      <c r="P661" s="1">
        <f>HYPERLINK("https://ec.europa.eu/info/funding-tenders/opportunities/portal/screen/opportunities/topic-details/horizon-cl5-2022-d3-01-05", "HORIZON-CL5-2022-D3-01-05")</f>
        <v>0</v>
      </c>
      <c r="Q661" t="s">
        <v>1616</v>
      </c>
    </row>
    <row r="662" spans="1:17">
      <c r="A662">
        <v>44119120</v>
      </c>
      <c r="B662">
        <v>2022</v>
      </c>
      <c r="C662" t="s">
        <v>20</v>
      </c>
      <c r="D662" t="s">
        <v>40</v>
      </c>
      <c r="E662" t="s">
        <v>80</v>
      </c>
      <c r="F662" t="s">
        <v>125</v>
      </c>
      <c r="G662" t="s">
        <v>246</v>
      </c>
      <c r="H662" t="s">
        <v>319</v>
      </c>
      <c r="I662" t="s">
        <v>395</v>
      </c>
      <c r="K662" t="s">
        <v>466</v>
      </c>
      <c r="L662" t="s">
        <v>469</v>
      </c>
      <c r="M662" t="s">
        <v>473</v>
      </c>
      <c r="N662" t="s">
        <v>575</v>
      </c>
      <c r="O662" t="s">
        <v>858</v>
      </c>
      <c r="P662" s="1">
        <f>HYPERLINK("https://ec.europa.eu/info/funding-tenders/opportunities/portal/screen/opportunities/topic-details/horizon-cl5-2022-d3-01-06", "HORIZON-CL5-2022-D3-01-06")</f>
        <v>0</v>
      </c>
      <c r="Q662" t="s">
        <v>1617</v>
      </c>
    </row>
    <row r="663" spans="1:17">
      <c r="A663">
        <v>44122625</v>
      </c>
      <c r="B663">
        <v>2022</v>
      </c>
      <c r="C663" t="s">
        <v>20</v>
      </c>
      <c r="D663" t="s">
        <v>40</v>
      </c>
      <c r="E663" t="s">
        <v>80</v>
      </c>
      <c r="F663" t="s">
        <v>125</v>
      </c>
      <c r="G663" t="s">
        <v>246</v>
      </c>
      <c r="H663" t="s">
        <v>319</v>
      </c>
      <c r="I663" t="s">
        <v>395</v>
      </c>
      <c r="K663" t="s">
        <v>466</v>
      </c>
      <c r="L663" t="s">
        <v>469</v>
      </c>
      <c r="M663" t="s">
        <v>473</v>
      </c>
      <c r="N663" t="s">
        <v>575</v>
      </c>
      <c r="O663" t="s">
        <v>858</v>
      </c>
      <c r="P663" s="1">
        <f>HYPERLINK("https://ec.europa.eu/info/funding-tenders/opportunities/portal/screen/opportunities/topic-details/horizon-cl5-2022-d3-01-07", "HORIZON-CL5-2022-D3-01-07")</f>
        <v>0</v>
      </c>
      <c r="Q663" t="s">
        <v>1618</v>
      </c>
    </row>
    <row r="664" spans="1:17">
      <c r="A664">
        <v>44118899</v>
      </c>
      <c r="B664">
        <v>2022</v>
      </c>
      <c r="C664" t="s">
        <v>20</v>
      </c>
      <c r="D664" t="s">
        <v>40</v>
      </c>
      <c r="E664" t="s">
        <v>79</v>
      </c>
      <c r="F664" t="s">
        <v>125</v>
      </c>
      <c r="G664" t="s">
        <v>246</v>
      </c>
      <c r="H664" t="s">
        <v>319</v>
      </c>
      <c r="I664" t="s">
        <v>395</v>
      </c>
      <c r="K664" t="s">
        <v>466</v>
      </c>
      <c r="L664" t="s">
        <v>469</v>
      </c>
      <c r="M664" t="s">
        <v>473</v>
      </c>
      <c r="N664" t="s">
        <v>575</v>
      </c>
      <c r="O664" t="s">
        <v>858</v>
      </c>
      <c r="P664" s="1">
        <f>HYPERLINK("https://ec.europa.eu/info/funding-tenders/opportunities/portal/screen/opportunities/topic-details/horizon-cl5-2022-d3-01-08", "HORIZON-CL5-2022-D3-01-08")</f>
        <v>0</v>
      </c>
      <c r="Q664" t="s">
        <v>1619</v>
      </c>
    </row>
    <row r="665" spans="1:17">
      <c r="A665">
        <v>44119150</v>
      </c>
      <c r="B665">
        <v>2022</v>
      </c>
      <c r="C665" t="s">
        <v>20</v>
      </c>
      <c r="D665" t="s">
        <v>40</v>
      </c>
      <c r="E665" t="s">
        <v>79</v>
      </c>
      <c r="F665" t="s">
        <v>125</v>
      </c>
      <c r="G665" t="s">
        <v>246</v>
      </c>
      <c r="H665" t="s">
        <v>319</v>
      </c>
      <c r="I665" t="s">
        <v>395</v>
      </c>
      <c r="K665" t="s">
        <v>466</v>
      </c>
      <c r="L665" t="s">
        <v>469</v>
      </c>
      <c r="M665" t="s">
        <v>473</v>
      </c>
      <c r="N665" t="s">
        <v>575</v>
      </c>
      <c r="O665" t="s">
        <v>858</v>
      </c>
      <c r="P665" s="1">
        <f>HYPERLINK("https://ec.europa.eu/info/funding-tenders/opportunities/portal/screen/opportunities/topic-details/horizon-cl5-2022-d3-01-09", "HORIZON-CL5-2022-D3-01-09")</f>
        <v>0</v>
      </c>
      <c r="Q665" t="s">
        <v>1620</v>
      </c>
    </row>
    <row r="666" spans="1:17">
      <c r="A666">
        <v>44119177</v>
      </c>
      <c r="B666">
        <v>2022</v>
      </c>
      <c r="C666" t="s">
        <v>20</v>
      </c>
      <c r="D666" t="s">
        <v>40</v>
      </c>
      <c r="E666" t="s">
        <v>79</v>
      </c>
      <c r="F666" t="s">
        <v>125</v>
      </c>
      <c r="G666" t="s">
        <v>246</v>
      </c>
      <c r="H666" t="s">
        <v>319</v>
      </c>
      <c r="I666" t="s">
        <v>395</v>
      </c>
      <c r="K666" t="s">
        <v>466</v>
      </c>
      <c r="L666" t="s">
        <v>469</v>
      </c>
      <c r="M666" t="s">
        <v>473</v>
      </c>
      <c r="N666" t="s">
        <v>575</v>
      </c>
      <c r="O666" t="s">
        <v>858</v>
      </c>
      <c r="P666" s="1">
        <f>HYPERLINK("https://ec.europa.eu/info/funding-tenders/opportunities/portal/screen/opportunities/topic-details/horizon-cl5-2022-d3-01-10", "HORIZON-CL5-2022-D3-01-10")</f>
        <v>0</v>
      </c>
      <c r="Q666" t="s">
        <v>1621</v>
      </c>
    </row>
    <row r="667" spans="1:17">
      <c r="A667">
        <v>44116751</v>
      </c>
      <c r="B667">
        <v>2022</v>
      </c>
      <c r="C667" t="s">
        <v>20</v>
      </c>
      <c r="D667" t="s">
        <v>40</v>
      </c>
      <c r="E667" t="s">
        <v>79</v>
      </c>
      <c r="F667" t="s">
        <v>125</v>
      </c>
      <c r="G667" t="s">
        <v>246</v>
      </c>
      <c r="H667" t="s">
        <v>319</v>
      </c>
      <c r="I667" t="s">
        <v>395</v>
      </c>
      <c r="K667" t="s">
        <v>466</v>
      </c>
      <c r="L667" t="s">
        <v>469</v>
      </c>
      <c r="M667" t="s">
        <v>473</v>
      </c>
      <c r="N667" t="s">
        <v>575</v>
      </c>
      <c r="O667" t="s">
        <v>858</v>
      </c>
      <c r="P667" s="1">
        <f>HYPERLINK("https://ec.europa.eu/info/funding-tenders/opportunities/portal/screen/opportunities/topic-details/horizon-cl5-2022-d3-01-11", "HORIZON-CL5-2022-D3-01-11")</f>
        <v>0</v>
      </c>
      <c r="Q667" t="s">
        <v>1622</v>
      </c>
    </row>
    <row r="668" spans="1:17">
      <c r="A668">
        <v>44119210</v>
      </c>
      <c r="B668">
        <v>2022</v>
      </c>
      <c r="C668" t="s">
        <v>20</v>
      </c>
      <c r="D668" t="s">
        <v>40</v>
      </c>
      <c r="E668" t="s">
        <v>79</v>
      </c>
      <c r="F668" t="s">
        <v>125</v>
      </c>
      <c r="G668" t="s">
        <v>246</v>
      </c>
      <c r="H668" t="s">
        <v>319</v>
      </c>
      <c r="I668" t="s">
        <v>395</v>
      </c>
      <c r="K668" t="s">
        <v>466</v>
      </c>
      <c r="L668" t="s">
        <v>469</v>
      </c>
      <c r="M668" t="s">
        <v>473</v>
      </c>
      <c r="N668" t="s">
        <v>575</v>
      </c>
      <c r="O668" t="s">
        <v>858</v>
      </c>
      <c r="P668" s="1">
        <f>HYPERLINK("https://ec.europa.eu/info/funding-tenders/opportunities/portal/screen/opportunities/topic-details/horizon-cl5-2022-d3-01-12", "HORIZON-CL5-2022-D3-01-12")</f>
        <v>0</v>
      </c>
      <c r="Q668" t="s">
        <v>1623</v>
      </c>
    </row>
    <row r="669" spans="1:17">
      <c r="A669">
        <v>44117451</v>
      </c>
      <c r="B669">
        <v>2022</v>
      </c>
      <c r="C669" t="s">
        <v>20</v>
      </c>
      <c r="D669" t="s">
        <v>40</v>
      </c>
      <c r="E669" t="s">
        <v>79</v>
      </c>
      <c r="F669" t="s">
        <v>125</v>
      </c>
      <c r="G669" t="s">
        <v>246</v>
      </c>
      <c r="H669" t="s">
        <v>319</v>
      </c>
      <c r="I669" t="s">
        <v>395</v>
      </c>
      <c r="K669" t="s">
        <v>466</v>
      </c>
      <c r="L669" t="s">
        <v>469</v>
      </c>
      <c r="M669" t="s">
        <v>471</v>
      </c>
      <c r="N669" t="s">
        <v>575</v>
      </c>
      <c r="O669" t="s">
        <v>858</v>
      </c>
      <c r="P669" s="1">
        <f>HYPERLINK("https://ec.europa.eu/info/funding-tenders/opportunities/portal/screen/opportunities/topic-details/horizon-cl5-2022-d3-01-13", "HORIZON-CL5-2022-D3-01-13")</f>
        <v>0</v>
      </c>
      <c r="Q669" t="s">
        <v>1624</v>
      </c>
    </row>
    <row r="670" spans="1:17">
      <c r="A670">
        <v>44117990</v>
      </c>
      <c r="B670">
        <v>2022</v>
      </c>
      <c r="C670" t="s">
        <v>20</v>
      </c>
      <c r="D670" t="s">
        <v>40</v>
      </c>
      <c r="E670" t="s">
        <v>79</v>
      </c>
      <c r="F670" t="s">
        <v>125</v>
      </c>
      <c r="G670" t="s">
        <v>246</v>
      </c>
      <c r="H670" t="s">
        <v>319</v>
      </c>
      <c r="I670" t="s">
        <v>395</v>
      </c>
      <c r="K670" t="s">
        <v>466</v>
      </c>
      <c r="L670" t="s">
        <v>469</v>
      </c>
      <c r="M670" t="s">
        <v>473</v>
      </c>
      <c r="N670" t="s">
        <v>575</v>
      </c>
      <c r="O670" t="s">
        <v>858</v>
      </c>
      <c r="P670" s="1">
        <f>HYPERLINK("https://ec.europa.eu/info/funding-tenders/opportunities/portal/screen/opportunities/topic-details/horizon-cl5-2022-d3-01-14", "HORIZON-CL5-2022-D3-01-14")</f>
        <v>0</v>
      </c>
      <c r="Q670" t="s">
        <v>1625</v>
      </c>
    </row>
    <row r="671" spans="1:17">
      <c r="A671">
        <v>44119249</v>
      </c>
      <c r="B671">
        <v>2022</v>
      </c>
      <c r="C671" t="s">
        <v>20</v>
      </c>
      <c r="D671" t="s">
        <v>40</v>
      </c>
      <c r="E671" t="s">
        <v>80</v>
      </c>
      <c r="F671" t="s">
        <v>125</v>
      </c>
      <c r="G671" t="s">
        <v>246</v>
      </c>
      <c r="H671" t="s">
        <v>319</v>
      </c>
      <c r="I671" t="s">
        <v>395</v>
      </c>
      <c r="K671" t="s">
        <v>466</v>
      </c>
      <c r="L671" t="s">
        <v>469</v>
      </c>
      <c r="M671" t="s">
        <v>473</v>
      </c>
      <c r="N671" t="s">
        <v>575</v>
      </c>
      <c r="O671" t="s">
        <v>858</v>
      </c>
      <c r="P671" s="1">
        <f>HYPERLINK("https://ec.europa.eu/info/funding-tenders/opportunities/portal/screen/opportunities/topic-details/horizon-cl5-2022-d3-01-15", "HORIZON-CL5-2022-D3-01-15")</f>
        <v>0</v>
      </c>
      <c r="Q671" t="s">
        <v>1626</v>
      </c>
    </row>
    <row r="672" spans="1:17">
      <c r="A672">
        <v>44119284</v>
      </c>
      <c r="B672">
        <v>2022</v>
      </c>
      <c r="C672" t="s">
        <v>20</v>
      </c>
      <c r="D672" t="s">
        <v>40</v>
      </c>
      <c r="E672" t="s">
        <v>80</v>
      </c>
      <c r="F672" t="s">
        <v>126</v>
      </c>
      <c r="G672" t="s">
        <v>247</v>
      </c>
      <c r="H672" t="s">
        <v>320</v>
      </c>
      <c r="I672" t="s">
        <v>396</v>
      </c>
      <c r="K672" t="s">
        <v>466</v>
      </c>
      <c r="L672" t="s">
        <v>469</v>
      </c>
      <c r="M672" t="s">
        <v>471</v>
      </c>
      <c r="N672" t="s">
        <v>576</v>
      </c>
      <c r="O672" t="s">
        <v>858</v>
      </c>
      <c r="P672" s="1">
        <f>HYPERLINK("https://ec.europa.eu/info/funding-tenders/opportunities/portal/screen/opportunities/topic-details/horizon-cl5-2022-d3-02-01", "HORIZON-CL5-2022-D3-02-01")</f>
        <v>0</v>
      </c>
      <c r="Q672" t="s">
        <v>1627</v>
      </c>
    </row>
    <row r="673" spans="1:17">
      <c r="A673">
        <v>44119315</v>
      </c>
      <c r="B673">
        <v>2022</v>
      </c>
      <c r="C673" t="s">
        <v>20</v>
      </c>
      <c r="D673" t="s">
        <v>40</v>
      </c>
      <c r="E673" t="s">
        <v>80</v>
      </c>
      <c r="F673" t="s">
        <v>126</v>
      </c>
      <c r="G673" t="s">
        <v>247</v>
      </c>
      <c r="H673" t="s">
        <v>320</v>
      </c>
      <c r="I673" t="s">
        <v>396</v>
      </c>
      <c r="K673" t="s">
        <v>466</v>
      </c>
      <c r="L673" t="s">
        <v>469</v>
      </c>
      <c r="M673" t="s">
        <v>471</v>
      </c>
      <c r="N673" t="s">
        <v>576</v>
      </c>
      <c r="O673" t="s">
        <v>858</v>
      </c>
      <c r="P673" s="1">
        <f>HYPERLINK("https://ec.europa.eu/info/funding-tenders/opportunities/portal/screen/opportunities/topic-details/horizon-cl5-2022-d3-02-02", "HORIZON-CL5-2022-D3-02-02")</f>
        <v>0</v>
      </c>
      <c r="Q673" t="s">
        <v>1628</v>
      </c>
    </row>
    <row r="674" spans="1:17">
      <c r="A674">
        <v>44119349</v>
      </c>
      <c r="B674">
        <v>2022</v>
      </c>
      <c r="C674" t="s">
        <v>20</v>
      </c>
      <c r="D674" t="s">
        <v>40</v>
      </c>
      <c r="E674" t="s">
        <v>80</v>
      </c>
      <c r="F674" t="s">
        <v>126</v>
      </c>
      <c r="G674" t="s">
        <v>247</v>
      </c>
      <c r="H674" t="s">
        <v>320</v>
      </c>
      <c r="I674" t="s">
        <v>396</v>
      </c>
      <c r="K674" t="s">
        <v>466</v>
      </c>
      <c r="L674" t="s">
        <v>469</v>
      </c>
      <c r="M674" t="s">
        <v>473</v>
      </c>
      <c r="N674" t="s">
        <v>576</v>
      </c>
      <c r="O674" t="s">
        <v>858</v>
      </c>
      <c r="P674" s="1">
        <f>HYPERLINK("https://ec.europa.eu/info/funding-tenders/opportunities/portal/screen/opportunities/topic-details/horizon-cl5-2022-d3-02-03", "HORIZON-CL5-2022-D3-02-03")</f>
        <v>0</v>
      </c>
      <c r="Q674" t="s">
        <v>1629</v>
      </c>
    </row>
    <row r="675" spans="1:17">
      <c r="A675">
        <v>44119379</v>
      </c>
      <c r="B675">
        <v>2022</v>
      </c>
      <c r="C675" t="s">
        <v>20</v>
      </c>
      <c r="D675" t="s">
        <v>40</v>
      </c>
      <c r="E675" t="s">
        <v>80</v>
      </c>
      <c r="F675" t="s">
        <v>126</v>
      </c>
      <c r="G675" t="s">
        <v>247</v>
      </c>
      <c r="H675" t="s">
        <v>320</v>
      </c>
      <c r="I675" t="s">
        <v>396</v>
      </c>
      <c r="K675" t="s">
        <v>466</v>
      </c>
      <c r="L675" t="s">
        <v>469</v>
      </c>
      <c r="M675" t="s">
        <v>471</v>
      </c>
      <c r="N675" t="s">
        <v>576</v>
      </c>
      <c r="O675" t="s">
        <v>858</v>
      </c>
      <c r="P675" s="1">
        <f>HYPERLINK("https://ec.europa.eu/info/funding-tenders/opportunities/portal/screen/opportunities/topic-details/horizon-cl5-2022-d3-02-04", "HORIZON-CL5-2022-D3-02-04")</f>
        <v>0</v>
      </c>
      <c r="Q675" t="s">
        <v>1630</v>
      </c>
    </row>
    <row r="676" spans="1:17">
      <c r="A676">
        <v>44119412</v>
      </c>
      <c r="B676">
        <v>2022</v>
      </c>
      <c r="C676" t="s">
        <v>20</v>
      </c>
      <c r="D676" t="s">
        <v>40</v>
      </c>
      <c r="E676" t="s">
        <v>80</v>
      </c>
      <c r="F676" t="s">
        <v>126</v>
      </c>
      <c r="G676" t="s">
        <v>247</v>
      </c>
      <c r="H676" t="s">
        <v>320</v>
      </c>
      <c r="I676" t="s">
        <v>396</v>
      </c>
      <c r="K676" t="s">
        <v>466</v>
      </c>
      <c r="L676" t="s">
        <v>469</v>
      </c>
      <c r="M676" t="s">
        <v>473</v>
      </c>
      <c r="N676" t="s">
        <v>576</v>
      </c>
      <c r="O676" t="s">
        <v>858</v>
      </c>
      <c r="P676" s="1">
        <f>HYPERLINK("https://ec.europa.eu/info/funding-tenders/opportunities/portal/screen/opportunities/topic-details/horizon-cl5-2022-d3-02-05", "HORIZON-CL5-2022-D3-02-05")</f>
        <v>0</v>
      </c>
      <c r="Q676" t="s">
        <v>1631</v>
      </c>
    </row>
    <row r="677" spans="1:17">
      <c r="A677">
        <v>44119610</v>
      </c>
      <c r="B677">
        <v>2022</v>
      </c>
      <c r="C677" t="s">
        <v>20</v>
      </c>
      <c r="D677" t="s">
        <v>40</v>
      </c>
      <c r="E677" t="s">
        <v>80</v>
      </c>
      <c r="F677" t="s">
        <v>126</v>
      </c>
      <c r="G677" t="s">
        <v>247</v>
      </c>
      <c r="H677" t="s">
        <v>320</v>
      </c>
      <c r="I677" t="s">
        <v>396</v>
      </c>
      <c r="K677" t="s">
        <v>466</v>
      </c>
      <c r="L677" t="s">
        <v>469</v>
      </c>
      <c r="M677" t="s">
        <v>471</v>
      </c>
      <c r="N677" t="s">
        <v>576</v>
      </c>
      <c r="O677" t="s">
        <v>858</v>
      </c>
      <c r="P677" s="1">
        <f>HYPERLINK("https://ec.europa.eu/info/funding-tenders/opportunities/portal/screen/opportunities/topic-details/horizon-cl5-2022-d3-02-06", "HORIZON-CL5-2022-D3-02-06")</f>
        <v>0</v>
      </c>
      <c r="Q677" t="s">
        <v>1632</v>
      </c>
    </row>
    <row r="678" spans="1:17">
      <c r="A678">
        <v>44119641</v>
      </c>
      <c r="B678">
        <v>2022</v>
      </c>
      <c r="C678" t="s">
        <v>20</v>
      </c>
      <c r="D678" t="s">
        <v>40</v>
      </c>
      <c r="E678" t="s">
        <v>80</v>
      </c>
      <c r="F678" t="s">
        <v>126</v>
      </c>
      <c r="G678" t="s">
        <v>247</v>
      </c>
      <c r="H678" t="s">
        <v>320</v>
      </c>
      <c r="I678" t="s">
        <v>396</v>
      </c>
      <c r="K678" t="s">
        <v>466</v>
      </c>
      <c r="L678" t="s">
        <v>469</v>
      </c>
      <c r="M678" t="s">
        <v>473</v>
      </c>
      <c r="N678" t="s">
        <v>576</v>
      </c>
      <c r="O678" t="s">
        <v>858</v>
      </c>
      <c r="P678" s="1">
        <f>HYPERLINK("https://ec.europa.eu/info/funding-tenders/opportunities/portal/screen/opportunities/topic-details/horizon-cl5-2022-d3-02-07", "HORIZON-CL5-2022-D3-02-07")</f>
        <v>0</v>
      </c>
      <c r="Q678" t="s">
        <v>1633</v>
      </c>
    </row>
    <row r="679" spans="1:17">
      <c r="A679">
        <v>44119685</v>
      </c>
      <c r="B679">
        <v>2022</v>
      </c>
      <c r="C679" t="s">
        <v>20</v>
      </c>
      <c r="D679" t="s">
        <v>40</v>
      </c>
      <c r="E679" t="s">
        <v>80</v>
      </c>
      <c r="F679" t="s">
        <v>126</v>
      </c>
      <c r="G679" t="s">
        <v>247</v>
      </c>
      <c r="H679" t="s">
        <v>320</v>
      </c>
      <c r="I679" t="s">
        <v>396</v>
      </c>
      <c r="K679" t="s">
        <v>466</v>
      </c>
      <c r="L679" t="s">
        <v>469</v>
      </c>
      <c r="M679" t="s">
        <v>473</v>
      </c>
      <c r="N679" t="s">
        <v>576</v>
      </c>
      <c r="O679" t="s">
        <v>858</v>
      </c>
      <c r="P679" s="1">
        <f>HYPERLINK("https://ec.europa.eu/info/funding-tenders/opportunities/portal/screen/opportunities/topic-details/horizon-cl5-2022-d3-02-08", "HORIZON-CL5-2022-D3-02-08")</f>
        <v>0</v>
      </c>
      <c r="Q679" t="s">
        <v>1634</v>
      </c>
    </row>
    <row r="680" spans="1:17">
      <c r="A680">
        <v>44119723</v>
      </c>
      <c r="B680">
        <v>2022</v>
      </c>
      <c r="C680" t="s">
        <v>20</v>
      </c>
      <c r="D680" t="s">
        <v>40</v>
      </c>
      <c r="E680" t="s">
        <v>80</v>
      </c>
      <c r="F680" t="s">
        <v>127</v>
      </c>
      <c r="G680" t="s">
        <v>247</v>
      </c>
      <c r="H680" t="s">
        <v>321</v>
      </c>
      <c r="I680" t="s">
        <v>299</v>
      </c>
      <c r="K680" t="s">
        <v>466</v>
      </c>
      <c r="L680" t="s">
        <v>469</v>
      </c>
      <c r="M680" t="s">
        <v>473</v>
      </c>
      <c r="N680" t="s">
        <v>577</v>
      </c>
      <c r="O680" t="s">
        <v>858</v>
      </c>
      <c r="P680" s="1">
        <f>HYPERLINK("https://ec.europa.eu/info/funding-tenders/opportunities/portal/screen/opportunities/topic-details/horizon-cl5-2022-d3-03-01", "HORIZON-CL5-2022-D3-03-01")</f>
        <v>0</v>
      </c>
      <c r="Q680" t="s">
        <v>1635</v>
      </c>
    </row>
    <row r="681" spans="1:17">
      <c r="A681">
        <v>44119750</v>
      </c>
      <c r="B681">
        <v>2022</v>
      </c>
      <c r="C681" t="s">
        <v>20</v>
      </c>
      <c r="D681" t="s">
        <v>40</v>
      </c>
      <c r="E681" t="s">
        <v>80</v>
      </c>
      <c r="F681" t="s">
        <v>127</v>
      </c>
      <c r="G681" t="s">
        <v>247</v>
      </c>
      <c r="H681" t="s">
        <v>321</v>
      </c>
      <c r="I681" t="s">
        <v>299</v>
      </c>
      <c r="K681" t="s">
        <v>466</v>
      </c>
      <c r="L681" t="s">
        <v>469</v>
      </c>
      <c r="M681" t="s">
        <v>471</v>
      </c>
      <c r="N681" t="s">
        <v>577</v>
      </c>
      <c r="O681" t="s">
        <v>858</v>
      </c>
      <c r="P681" s="1">
        <f>HYPERLINK("https://ec.europa.eu/info/funding-tenders/opportunities/portal/screen/opportunities/topic-details/horizon-cl5-2022-d3-03-02", "HORIZON-CL5-2022-D3-03-02")</f>
        <v>0</v>
      </c>
      <c r="Q681" t="s">
        <v>1636</v>
      </c>
    </row>
    <row r="682" spans="1:17">
      <c r="A682">
        <v>44119791</v>
      </c>
      <c r="B682">
        <v>2022</v>
      </c>
      <c r="C682" t="s">
        <v>20</v>
      </c>
      <c r="D682" t="s">
        <v>40</v>
      </c>
      <c r="E682" t="s">
        <v>80</v>
      </c>
      <c r="F682" t="s">
        <v>127</v>
      </c>
      <c r="G682" t="s">
        <v>247</v>
      </c>
      <c r="H682" t="s">
        <v>321</v>
      </c>
      <c r="I682" t="s">
        <v>299</v>
      </c>
      <c r="K682" t="s">
        <v>466</v>
      </c>
      <c r="L682" t="s">
        <v>469</v>
      </c>
      <c r="M682" t="s">
        <v>471</v>
      </c>
      <c r="N682" t="s">
        <v>577</v>
      </c>
      <c r="O682" t="s">
        <v>858</v>
      </c>
      <c r="P682" s="1">
        <f>HYPERLINK("https://ec.europa.eu/info/funding-tenders/opportunities/portal/screen/opportunities/topic-details/horizon-cl5-2022-d3-03-03", "HORIZON-CL5-2022-D3-03-03")</f>
        <v>0</v>
      </c>
      <c r="Q682" t="s">
        <v>1637</v>
      </c>
    </row>
    <row r="683" spans="1:17">
      <c r="A683">
        <v>44119826</v>
      </c>
      <c r="B683">
        <v>2022</v>
      </c>
      <c r="C683" t="s">
        <v>20</v>
      </c>
      <c r="D683" t="s">
        <v>40</v>
      </c>
      <c r="E683" t="s">
        <v>80</v>
      </c>
      <c r="F683" t="s">
        <v>127</v>
      </c>
      <c r="G683" t="s">
        <v>247</v>
      </c>
      <c r="H683" t="s">
        <v>321</v>
      </c>
      <c r="I683" t="s">
        <v>299</v>
      </c>
      <c r="K683" t="s">
        <v>466</v>
      </c>
      <c r="L683" t="s">
        <v>469</v>
      </c>
      <c r="M683" t="s">
        <v>471</v>
      </c>
      <c r="N683" t="s">
        <v>577</v>
      </c>
      <c r="O683" t="s">
        <v>858</v>
      </c>
      <c r="P683" s="1">
        <f>HYPERLINK("https://ec.europa.eu/info/funding-tenders/opportunities/portal/screen/opportunities/topic-details/horizon-cl5-2022-d3-03-04", "HORIZON-CL5-2022-D3-03-04")</f>
        <v>0</v>
      </c>
      <c r="Q683" t="s">
        <v>1638</v>
      </c>
    </row>
    <row r="684" spans="1:17">
      <c r="A684">
        <v>44119869</v>
      </c>
      <c r="B684">
        <v>2022</v>
      </c>
      <c r="C684" t="s">
        <v>20</v>
      </c>
      <c r="D684" t="s">
        <v>40</v>
      </c>
      <c r="E684" t="s">
        <v>80</v>
      </c>
      <c r="F684" t="s">
        <v>127</v>
      </c>
      <c r="G684" t="s">
        <v>247</v>
      </c>
      <c r="H684" t="s">
        <v>321</v>
      </c>
      <c r="I684" t="s">
        <v>299</v>
      </c>
      <c r="K684" t="s">
        <v>466</v>
      </c>
      <c r="L684" t="s">
        <v>469</v>
      </c>
      <c r="M684" t="s">
        <v>471</v>
      </c>
      <c r="N684" t="s">
        <v>577</v>
      </c>
      <c r="O684" t="s">
        <v>858</v>
      </c>
      <c r="P684" s="1">
        <f>HYPERLINK("https://ec.europa.eu/info/funding-tenders/opportunities/portal/screen/opportunities/topic-details/horizon-cl5-2022-d3-03-05", "HORIZON-CL5-2022-D3-03-05")</f>
        <v>0</v>
      </c>
      <c r="Q684" t="s">
        <v>1639</v>
      </c>
    </row>
    <row r="685" spans="1:17">
      <c r="A685">
        <v>44119905</v>
      </c>
      <c r="B685">
        <v>2022</v>
      </c>
      <c r="C685" t="s">
        <v>20</v>
      </c>
      <c r="D685" t="s">
        <v>40</v>
      </c>
      <c r="E685" t="s">
        <v>80</v>
      </c>
      <c r="F685" t="s">
        <v>127</v>
      </c>
      <c r="G685" t="s">
        <v>247</v>
      </c>
      <c r="H685" t="s">
        <v>321</v>
      </c>
      <c r="I685" t="s">
        <v>299</v>
      </c>
      <c r="K685" t="s">
        <v>466</v>
      </c>
      <c r="L685" t="s">
        <v>469</v>
      </c>
      <c r="M685" t="s">
        <v>471</v>
      </c>
      <c r="N685" t="s">
        <v>577</v>
      </c>
      <c r="O685" t="s">
        <v>858</v>
      </c>
      <c r="P685" s="1">
        <f>HYPERLINK("https://ec.europa.eu/info/funding-tenders/opportunities/portal/screen/opportunities/topic-details/horizon-cl5-2022-d3-03-06", "HORIZON-CL5-2022-D3-03-06")</f>
        <v>0</v>
      </c>
      <c r="Q685" t="s">
        <v>1640</v>
      </c>
    </row>
    <row r="686" spans="1:17">
      <c r="A686">
        <v>44119938</v>
      </c>
      <c r="B686">
        <v>2022</v>
      </c>
      <c r="C686" t="s">
        <v>20</v>
      </c>
      <c r="D686" t="s">
        <v>40</v>
      </c>
      <c r="E686" t="s">
        <v>80</v>
      </c>
      <c r="F686" t="s">
        <v>127</v>
      </c>
      <c r="G686" t="s">
        <v>247</v>
      </c>
      <c r="H686" t="s">
        <v>321</v>
      </c>
      <c r="I686" t="s">
        <v>299</v>
      </c>
      <c r="K686" t="s">
        <v>466</v>
      </c>
      <c r="L686" t="s">
        <v>469</v>
      </c>
      <c r="M686" t="s">
        <v>471</v>
      </c>
      <c r="N686" t="s">
        <v>577</v>
      </c>
      <c r="O686" t="s">
        <v>858</v>
      </c>
      <c r="P686" s="1">
        <f>HYPERLINK("https://ec.europa.eu/info/funding-tenders/opportunities/portal/screen/opportunities/topic-details/horizon-cl5-2022-d3-03-07", "HORIZON-CL5-2022-D3-03-07")</f>
        <v>0</v>
      </c>
      <c r="Q686" t="s">
        <v>1641</v>
      </c>
    </row>
    <row r="687" spans="1:17">
      <c r="A687">
        <v>44119975</v>
      </c>
      <c r="B687">
        <v>2022</v>
      </c>
      <c r="C687" t="s">
        <v>20</v>
      </c>
      <c r="D687" t="s">
        <v>40</v>
      </c>
      <c r="E687" t="s">
        <v>80</v>
      </c>
      <c r="F687" t="s">
        <v>127</v>
      </c>
      <c r="G687" t="s">
        <v>247</v>
      </c>
      <c r="H687" t="s">
        <v>321</v>
      </c>
      <c r="I687" t="s">
        <v>299</v>
      </c>
      <c r="K687" t="s">
        <v>466</v>
      </c>
      <c r="L687" t="s">
        <v>469</v>
      </c>
      <c r="M687" t="s">
        <v>471</v>
      </c>
      <c r="N687" t="s">
        <v>577</v>
      </c>
      <c r="O687" t="s">
        <v>858</v>
      </c>
      <c r="P687" s="1">
        <f>HYPERLINK("https://ec.europa.eu/info/funding-tenders/opportunities/portal/screen/opportunities/topic-details/horizon-cl5-2022-d3-03-08", "HORIZON-CL5-2022-D3-03-08")</f>
        <v>0</v>
      </c>
      <c r="Q687" t="s">
        <v>1642</v>
      </c>
    </row>
    <row r="688" spans="1:17">
      <c r="A688">
        <v>44120005</v>
      </c>
      <c r="B688">
        <v>2022</v>
      </c>
      <c r="C688" t="s">
        <v>20</v>
      </c>
      <c r="D688" t="s">
        <v>40</v>
      </c>
      <c r="E688" t="s">
        <v>80</v>
      </c>
      <c r="F688" t="s">
        <v>127</v>
      </c>
      <c r="G688" t="s">
        <v>247</v>
      </c>
      <c r="H688" t="s">
        <v>321</v>
      </c>
      <c r="I688" t="s">
        <v>299</v>
      </c>
      <c r="K688" t="s">
        <v>466</v>
      </c>
      <c r="L688" t="s">
        <v>469</v>
      </c>
      <c r="M688" t="s">
        <v>473</v>
      </c>
      <c r="N688" t="s">
        <v>577</v>
      </c>
      <c r="O688" t="s">
        <v>858</v>
      </c>
      <c r="P688" s="1">
        <f>HYPERLINK("https://ec.europa.eu/info/funding-tenders/opportunities/portal/screen/opportunities/topic-details/horizon-cl5-2022-d3-03-09", "HORIZON-CL5-2022-D3-03-09")</f>
        <v>0</v>
      </c>
      <c r="Q688" t="s">
        <v>1643</v>
      </c>
    </row>
    <row r="689" spans="1:17">
      <c r="A689">
        <v>44122589</v>
      </c>
      <c r="B689">
        <v>2022</v>
      </c>
      <c r="C689" t="s">
        <v>20</v>
      </c>
      <c r="D689" t="s">
        <v>40</v>
      </c>
      <c r="E689" t="s">
        <v>81</v>
      </c>
      <c r="F689" t="s">
        <v>128</v>
      </c>
      <c r="G689" t="s">
        <v>247</v>
      </c>
      <c r="H689" t="s">
        <v>318</v>
      </c>
      <c r="I689" t="s">
        <v>321</v>
      </c>
      <c r="K689" t="s">
        <v>466</v>
      </c>
      <c r="L689" t="s">
        <v>469</v>
      </c>
      <c r="M689" t="s">
        <v>473</v>
      </c>
      <c r="N689" t="s">
        <v>578</v>
      </c>
      <c r="O689" t="s">
        <v>859</v>
      </c>
      <c r="P689" s="1">
        <f>HYPERLINK("https://ec.europa.eu/info/funding-tenders/opportunities/portal/screen/opportunities/topic-details/horizon-cl5-2022-d4-01-01", "HORIZON-CL5-2022-D4-01-01")</f>
        <v>0</v>
      </c>
      <c r="Q689" t="s">
        <v>1644</v>
      </c>
    </row>
    <row r="690" spans="1:17">
      <c r="A690">
        <v>44117514</v>
      </c>
      <c r="B690">
        <v>2022</v>
      </c>
      <c r="C690" t="s">
        <v>20</v>
      </c>
      <c r="D690" t="s">
        <v>40</v>
      </c>
      <c r="E690" t="s">
        <v>81</v>
      </c>
      <c r="F690" t="s">
        <v>128</v>
      </c>
      <c r="G690" t="s">
        <v>247</v>
      </c>
      <c r="H690" t="s">
        <v>318</v>
      </c>
      <c r="I690" t="s">
        <v>321</v>
      </c>
      <c r="K690" t="s">
        <v>466</v>
      </c>
      <c r="L690" t="s">
        <v>469</v>
      </c>
      <c r="M690" t="s">
        <v>473</v>
      </c>
      <c r="N690" t="s">
        <v>578</v>
      </c>
      <c r="O690" t="s">
        <v>859</v>
      </c>
      <c r="P690" s="1">
        <f>HYPERLINK("https://ec.europa.eu/info/funding-tenders/opportunities/portal/screen/opportunities/topic-details/horizon-cl5-2022-d4-01-02", "HORIZON-CL5-2022-D4-01-02")</f>
        <v>0</v>
      </c>
      <c r="Q690" t="s">
        <v>1645</v>
      </c>
    </row>
    <row r="691" spans="1:17">
      <c r="A691">
        <v>44118808</v>
      </c>
      <c r="B691">
        <v>2022</v>
      </c>
      <c r="C691" t="s">
        <v>20</v>
      </c>
      <c r="D691" t="s">
        <v>40</v>
      </c>
      <c r="E691" t="s">
        <v>81</v>
      </c>
      <c r="F691" t="s">
        <v>128</v>
      </c>
      <c r="G691" t="s">
        <v>247</v>
      </c>
      <c r="H691" t="s">
        <v>318</v>
      </c>
      <c r="I691" t="s">
        <v>321</v>
      </c>
      <c r="K691" t="s">
        <v>466</v>
      </c>
      <c r="L691" t="s">
        <v>469</v>
      </c>
      <c r="M691" t="s">
        <v>473</v>
      </c>
      <c r="N691" t="s">
        <v>578</v>
      </c>
      <c r="O691" t="s">
        <v>859</v>
      </c>
      <c r="P691" s="1">
        <f>HYPERLINK("https://ec.europa.eu/info/funding-tenders/opportunities/portal/screen/opportunities/topic-details/horizon-cl5-2022-d4-01-03", "HORIZON-CL5-2022-D4-01-03")</f>
        <v>0</v>
      </c>
      <c r="Q691" t="s">
        <v>1646</v>
      </c>
    </row>
    <row r="692" spans="1:17">
      <c r="A692">
        <v>44118843</v>
      </c>
      <c r="B692">
        <v>2022</v>
      </c>
      <c r="C692" t="s">
        <v>20</v>
      </c>
      <c r="D692" t="s">
        <v>40</v>
      </c>
      <c r="E692" t="s">
        <v>81</v>
      </c>
      <c r="F692" t="s">
        <v>128</v>
      </c>
      <c r="G692" t="s">
        <v>247</v>
      </c>
      <c r="H692" t="s">
        <v>318</v>
      </c>
      <c r="I692" t="s">
        <v>321</v>
      </c>
      <c r="K692" t="s">
        <v>466</v>
      </c>
      <c r="L692" t="s">
        <v>469</v>
      </c>
      <c r="M692" t="s">
        <v>471</v>
      </c>
      <c r="N692" t="s">
        <v>578</v>
      </c>
      <c r="O692" t="s">
        <v>859</v>
      </c>
      <c r="P692" s="1">
        <f>HYPERLINK("https://ec.europa.eu/info/funding-tenders/opportunities/portal/screen/opportunities/topic-details/horizon-cl5-2022-d4-01-04", "HORIZON-CL5-2022-D4-01-04")</f>
        <v>0</v>
      </c>
      <c r="Q692" t="s">
        <v>1647</v>
      </c>
    </row>
    <row r="693" spans="1:17">
      <c r="A693">
        <v>44118871</v>
      </c>
      <c r="B693">
        <v>2022</v>
      </c>
      <c r="C693" t="s">
        <v>20</v>
      </c>
      <c r="D693" t="s">
        <v>40</v>
      </c>
      <c r="E693" t="s">
        <v>81</v>
      </c>
      <c r="F693" t="s">
        <v>128</v>
      </c>
      <c r="G693" t="s">
        <v>247</v>
      </c>
      <c r="H693" t="s">
        <v>318</v>
      </c>
      <c r="I693" t="s">
        <v>321</v>
      </c>
      <c r="K693" t="s">
        <v>466</v>
      </c>
      <c r="L693" t="s">
        <v>469</v>
      </c>
      <c r="M693" t="s">
        <v>471</v>
      </c>
      <c r="N693" t="s">
        <v>578</v>
      </c>
      <c r="O693" t="s">
        <v>859</v>
      </c>
      <c r="P693" s="1">
        <f>HYPERLINK("https://ec.europa.eu/info/funding-tenders/opportunities/portal/screen/opportunities/topic-details/horizon-cl5-2022-d4-01-05", "HORIZON-CL5-2022-D4-01-05")</f>
        <v>0</v>
      </c>
      <c r="Q693" t="s">
        <v>1648</v>
      </c>
    </row>
    <row r="694" spans="1:17">
      <c r="A694">
        <v>44119445</v>
      </c>
      <c r="B694">
        <v>2022</v>
      </c>
      <c r="C694" t="s">
        <v>20</v>
      </c>
      <c r="D694" t="s">
        <v>40</v>
      </c>
      <c r="E694" t="s">
        <v>81</v>
      </c>
      <c r="F694" t="s">
        <v>129</v>
      </c>
      <c r="G694" t="s">
        <v>247</v>
      </c>
      <c r="H694" t="s">
        <v>321</v>
      </c>
      <c r="I694" t="s">
        <v>397</v>
      </c>
      <c r="K694" t="s">
        <v>466</v>
      </c>
      <c r="L694" t="s">
        <v>469</v>
      </c>
      <c r="M694" t="s">
        <v>473</v>
      </c>
      <c r="N694" t="s">
        <v>579</v>
      </c>
      <c r="O694" t="s">
        <v>859</v>
      </c>
      <c r="P694" s="1">
        <f>HYPERLINK("https://ec.europa.eu/info/funding-tenders/opportunities/portal/screen/opportunities/topic-details/horizon-cl5-2022-d4-02-01", "HORIZON-CL5-2022-D4-02-01")</f>
        <v>0</v>
      </c>
      <c r="Q694" t="s">
        <v>1649</v>
      </c>
    </row>
    <row r="695" spans="1:17">
      <c r="A695">
        <v>44119480</v>
      </c>
      <c r="B695">
        <v>2022</v>
      </c>
      <c r="C695" t="s">
        <v>20</v>
      </c>
      <c r="D695" t="s">
        <v>40</v>
      </c>
      <c r="E695" t="s">
        <v>81</v>
      </c>
      <c r="F695" t="s">
        <v>129</v>
      </c>
      <c r="G695" t="s">
        <v>247</v>
      </c>
      <c r="H695" t="s">
        <v>321</v>
      </c>
      <c r="I695" t="s">
        <v>397</v>
      </c>
      <c r="K695" t="s">
        <v>466</v>
      </c>
      <c r="L695" t="s">
        <v>469</v>
      </c>
      <c r="M695" t="s">
        <v>473</v>
      </c>
      <c r="N695" t="s">
        <v>579</v>
      </c>
      <c r="O695" t="s">
        <v>859</v>
      </c>
      <c r="P695" s="1">
        <f>HYPERLINK("https://ec.europa.eu/info/funding-tenders/opportunities/portal/screen/opportunities/topic-details/horizon-cl5-2022-d4-02-02", "HORIZON-CL5-2022-D4-02-02")</f>
        <v>0</v>
      </c>
      <c r="Q695" t="s">
        <v>1650</v>
      </c>
    </row>
    <row r="696" spans="1:17">
      <c r="A696">
        <v>44117547</v>
      </c>
      <c r="B696">
        <v>2022</v>
      </c>
      <c r="C696" t="s">
        <v>20</v>
      </c>
      <c r="D696" t="s">
        <v>40</v>
      </c>
      <c r="E696" t="s">
        <v>81</v>
      </c>
      <c r="F696" t="s">
        <v>129</v>
      </c>
      <c r="G696" t="s">
        <v>247</v>
      </c>
      <c r="H696" t="s">
        <v>321</v>
      </c>
      <c r="I696" t="s">
        <v>397</v>
      </c>
      <c r="K696" t="s">
        <v>466</v>
      </c>
      <c r="L696" t="s">
        <v>469</v>
      </c>
      <c r="M696" t="s">
        <v>471</v>
      </c>
      <c r="N696" t="s">
        <v>579</v>
      </c>
      <c r="O696" t="s">
        <v>859</v>
      </c>
      <c r="P696" s="1">
        <f>HYPERLINK("https://ec.europa.eu/info/funding-tenders/opportunities/portal/screen/opportunities/topic-details/horizon-cl5-2022-d4-02-03", "HORIZON-CL5-2022-D4-02-03")</f>
        <v>0</v>
      </c>
      <c r="Q696" t="s">
        <v>1651</v>
      </c>
    </row>
    <row r="697" spans="1:17">
      <c r="A697">
        <v>44116686</v>
      </c>
      <c r="B697">
        <v>2022</v>
      </c>
      <c r="C697" t="s">
        <v>20</v>
      </c>
      <c r="D697" t="s">
        <v>40</v>
      </c>
      <c r="E697" t="s">
        <v>81</v>
      </c>
      <c r="F697" t="s">
        <v>129</v>
      </c>
      <c r="G697" t="s">
        <v>247</v>
      </c>
      <c r="H697" t="s">
        <v>321</v>
      </c>
      <c r="I697" t="s">
        <v>397</v>
      </c>
      <c r="K697" t="s">
        <v>466</v>
      </c>
      <c r="L697" t="s">
        <v>469</v>
      </c>
      <c r="M697" t="s">
        <v>473</v>
      </c>
      <c r="N697" t="s">
        <v>579</v>
      </c>
      <c r="O697" t="s">
        <v>859</v>
      </c>
      <c r="P697" s="1">
        <f>HYPERLINK("https://ec.europa.eu/info/funding-tenders/opportunities/portal/screen/opportunities/topic-details/horizon-cl5-2022-d4-02-04", "HORIZON-CL5-2022-D4-02-04")</f>
        <v>0</v>
      </c>
      <c r="Q697" t="s">
        <v>1652</v>
      </c>
    </row>
    <row r="698" spans="1:17">
      <c r="A698">
        <v>44119518</v>
      </c>
      <c r="B698">
        <v>2022</v>
      </c>
      <c r="C698" t="s">
        <v>20</v>
      </c>
      <c r="D698" t="s">
        <v>40</v>
      </c>
      <c r="E698" t="s">
        <v>81</v>
      </c>
      <c r="F698" t="s">
        <v>129</v>
      </c>
      <c r="G698" t="s">
        <v>247</v>
      </c>
      <c r="H698" t="s">
        <v>321</v>
      </c>
      <c r="I698" t="s">
        <v>397</v>
      </c>
      <c r="K698" t="s">
        <v>466</v>
      </c>
      <c r="L698" t="s">
        <v>469</v>
      </c>
      <c r="M698" t="s">
        <v>473</v>
      </c>
      <c r="N698" t="s">
        <v>579</v>
      </c>
      <c r="O698" t="s">
        <v>859</v>
      </c>
      <c r="P698" s="1">
        <f>HYPERLINK("https://ec.europa.eu/info/funding-tenders/opportunities/portal/screen/opportunities/topic-details/horizon-cl5-2022-d4-02-05", "HORIZON-CL5-2022-D4-02-05")</f>
        <v>0</v>
      </c>
      <c r="Q698" t="s">
        <v>1653</v>
      </c>
    </row>
    <row r="699" spans="1:17">
      <c r="A699">
        <v>44803505</v>
      </c>
      <c r="B699">
        <v>2022</v>
      </c>
      <c r="C699" t="s">
        <v>20</v>
      </c>
      <c r="D699" t="s">
        <v>40</v>
      </c>
      <c r="E699" t="s">
        <v>81</v>
      </c>
      <c r="F699" t="s">
        <v>129</v>
      </c>
      <c r="G699" t="s">
        <v>247</v>
      </c>
      <c r="H699" t="s">
        <v>321</v>
      </c>
      <c r="I699" t="s">
        <v>397</v>
      </c>
      <c r="K699" t="s">
        <v>466</v>
      </c>
      <c r="L699" t="s">
        <v>469</v>
      </c>
      <c r="M699" t="s">
        <v>472</v>
      </c>
      <c r="N699" t="s">
        <v>579</v>
      </c>
      <c r="O699" t="s">
        <v>859</v>
      </c>
      <c r="P699" s="1">
        <f>HYPERLINK("https://ec.europa.eu/info/funding-tenders/opportunities/portal/screen/opportunities/topic-details/horizon-cl5-2022-d4-02-06", "HORIZON-CL5-2022-D4-02-06")</f>
        <v>0</v>
      </c>
      <c r="Q699" t="s">
        <v>1654</v>
      </c>
    </row>
    <row r="700" spans="1:17">
      <c r="A700">
        <v>44120302</v>
      </c>
      <c r="B700">
        <v>2022</v>
      </c>
      <c r="C700" t="s">
        <v>20</v>
      </c>
      <c r="D700" t="s">
        <v>40</v>
      </c>
      <c r="E700" t="s">
        <v>82</v>
      </c>
      <c r="F700" t="s">
        <v>130</v>
      </c>
      <c r="G700" t="s">
        <v>246</v>
      </c>
      <c r="H700" t="s">
        <v>322</v>
      </c>
      <c r="I700" t="s">
        <v>395</v>
      </c>
      <c r="K700" t="s">
        <v>466</v>
      </c>
      <c r="L700" t="s">
        <v>469</v>
      </c>
      <c r="M700" t="s">
        <v>473</v>
      </c>
      <c r="N700" t="s">
        <v>580</v>
      </c>
      <c r="O700" t="s">
        <v>860</v>
      </c>
      <c r="P700" s="1">
        <f>HYPERLINK("https://ec.europa.eu/info/funding-tenders/opportunities/portal/screen/opportunities/topic-details/horizon-cl5-2022-d5-01-01", "HORIZON-CL5-2022-D5-01-01")</f>
        <v>0</v>
      </c>
      <c r="Q700" t="s">
        <v>1655</v>
      </c>
    </row>
    <row r="701" spans="1:17">
      <c r="A701">
        <v>44120334</v>
      </c>
      <c r="B701">
        <v>2022</v>
      </c>
      <c r="C701" t="s">
        <v>20</v>
      </c>
      <c r="D701" t="s">
        <v>40</v>
      </c>
      <c r="E701" t="s">
        <v>82</v>
      </c>
      <c r="F701" t="s">
        <v>130</v>
      </c>
      <c r="G701" t="s">
        <v>246</v>
      </c>
      <c r="H701" t="s">
        <v>322</v>
      </c>
      <c r="I701" t="s">
        <v>395</v>
      </c>
      <c r="K701" t="s">
        <v>466</v>
      </c>
      <c r="L701" t="s">
        <v>469</v>
      </c>
      <c r="M701" t="s">
        <v>471</v>
      </c>
      <c r="N701" t="s">
        <v>580</v>
      </c>
      <c r="O701" t="s">
        <v>860</v>
      </c>
      <c r="P701" s="1">
        <f>HYPERLINK("https://ec.europa.eu/info/funding-tenders/opportunities/portal/screen/opportunities/topic-details/horizon-cl5-2022-d5-01-02", "HORIZON-CL5-2022-D5-01-02")</f>
        <v>0</v>
      </c>
      <c r="Q701" t="s">
        <v>1656</v>
      </c>
    </row>
    <row r="702" spans="1:17">
      <c r="A702">
        <v>44120365</v>
      </c>
      <c r="B702">
        <v>2022</v>
      </c>
      <c r="C702" t="s">
        <v>20</v>
      </c>
      <c r="D702" t="s">
        <v>40</v>
      </c>
      <c r="E702" t="s">
        <v>82</v>
      </c>
      <c r="F702" t="s">
        <v>130</v>
      </c>
      <c r="G702" t="s">
        <v>246</v>
      </c>
      <c r="H702" t="s">
        <v>322</v>
      </c>
      <c r="I702" t="s">
        <v>395</v>
      </c>
      <c r="K702" t="s">
        <v>466</v>
      </c>
      <c r="L702" t="s">
        <v>469</v>
      </c>
      <c r="M702" t="s">
        <v>471</v>
      </c>
      <c r="N702" t="s">
        <v>580</v>
      </c>
      <c r="O702" t="s">
        <v>860</v>
      </c>
      <c r="P702" s="1">
        <f>HYPERLINK("https://ec.europa.eu/info/funding-tenders/opportunities/portal/screen/opportunities/topic-details/horizon-cl5-2022-d5-01-03", "HORIZON-CL5-2022-D5-01-03")</f>
        <v>0</v>
      </c>
      <c r="Q702" t="s">
        <v>1657</v>
      </c>
    </row>
    <row r="703" spans="1:17">
      <c r="A703">
        <v>44117709</v>
      </c>
      <c r="B703">
        <v>2022</v>
      </c>
      <c r="C703" t="s">
        <v>20</v>
      </c>
      <c r="D703" t="s">
        <v>40</v>
      </c>
      <c r="E703" t="s">
        <v>82</v>
      </c>
      <c r="F703" t="s">
        <v>130</v>
      </c>
      <c r="G703" t="s">
        <v>246</v>
      </c>
      <c r="H703" t="s">
        <v>322</v>
      </c>
      <c r="I703" t="s">
        <v>395</v>
      </c>
      <c r="K703" t="s">
        <v>466</v>
      </c>
      <c r="L703" t="s">
        <v>469</v>
      </c>
      <c r="M703" t="s">
        <v>473</v>
      </c>
      <c r="N703" t="s">
        <v>580</v>
      </c>
      <c r="O703" t="s">
        <v>860</v>
      </c>
      <c r="P703" s="1">
        <f>HYPERLINK("https://ec.europa.eu/info/funding-tenders/opportunities/portal/screen/opportunities/topic-details/horizon-cl5-2022-d5-01-04", "HORIZON-CL5-2022-D5-01-04")</f>
        <v>0</v>
      </c>
      <c r="Q703" t="s">
        <v>1658</v>
      </c>
    </row>
    <row r="704" spans="1:17">
      <c r="A704">
        <v>44120397</v>
      </c>
      <c r="B704">
        <v>2022</v>
      </c>
      <c r="C704" t="s">
        <v>20</v>
      </c>
      <c r="D704" t="s">
        <v>40</v>
      </c>
      <c r="E704" t="s">
        <v>82</v>
      </c>
      <c r="F704" t="s">
        <v>130</v>
      </c>
      <c r="G704" t="s">
        <v>246</v>
      </c>
      <c r="H704" t="s">
        <v>322</v>
      </c>
      <c r="I704" t="s">
        <v>395</v>
      </c>
      <c r="K704" t="s">
        <v>466</v>
      </c>
      <c r="L704" t="s">
        <v>469</v>
      </c>
      <c r="M704" t="s">
        <v>471</v>
      </c>
      <c r="N704" t="s">
        <v>580</v>
      </c>
      <c r="O704" t="s">
        <v>860</v>
      </c>
      <c r="P704" s="1">
        <f>HYPERLINK("https://ec.europa.eu/info/funding-tenders/opportunities/portal/screen/opportunities/topic-details/horizon-cl5-2022-d5-01-05", "HORIZON-CL5-2022-D5-01-05")</f>
        <v>0</v>
      </c>
      <c r="Q704" t="s">
        <v>1659</v>
      </c>
    </row>
    <row r="705" spans="1:17">
      <c r="A705">
        <v>44120428</v>
      </c>
      <c r="B705">
        <v>2022</v>
      </c>
      <c r="C705" t="s">
        <v>20</v>
      </c>
      <c r="D705" t="s">
        <v>40</v>
      </c>
      <c r="E705" t="s">
        <v>82</v>
      </c>
      <c r="F705" t="s">
        <v>130</v>
      </c>
      <c r="G705" t="s">
        <v>246</v>
      </c>
      <c r="H705" t="s">
        <v>322</v>
      </c>
      <c r="I705" t="s">
        <v>395</v>
      </c>
      <c r="K705" t="s">
        <v>466</v>
      </c>
      <c r="L705" t="s">
        <v>469</v>
      </c>
      <c r="M705" t="s">
        <v>473</v>
      </c>
      <c r="N705" t="s">
        <v>580</v>
      </c>
      <c r="O705" t="s">
        <v>860</v>
      </c>
      <c r="P705" s="1">
        <f>HYPERLINK("https://ec.europa.eu/info/funding-tenders/opportunities/portal/screen/opportunities/topic-details/horizon-cl5-2022-d5-01-06", "HORIZON-CL5-2022-D5-01-06")</f>
        <v>0</v>
      </c>
      <c r="Q705" t="s">
        <v>1660</v>
      </c>
    </row>
    <row r="706" spans="1:17">
      <c r="A706">
        <v>44117736</v>
      </c>
      <c r="B706">
        <v>2022</v>
      </c>
      <c r="C706" t="s">
        <v>20</v>
      </c>
      <c r="D706" t="s">
        <v>40</v>
      </c>
      <c r="E706" t="s">
        <v>82</v>
      </c>
      <c r="F706" t="s">
        <v>130</v>
      </c>
      <c r="G706" t="s">
        <v>246</v>
      </c>
      <c r="H706" t="s">
        <v>322</v>
      </c>
      <c r="I706" t="s">
        <v>395</v>
      </c>
      <c r="K706" t="s">
        <v>466</v>
      </c>
      <c r="L706" t="s">
        <v>469</v>
      </c>
      <c r="M706" t="s">
        <v>471</v>
      </c>
      <c r="N706" t="s">
        <v>580</v>
      </c>
      <c r="O706" t="s">
        <v>860</v>
      </c>
      <c r="P706" s="1">
        <f>HYPERLINK("https://ec.europa.eu/info/funding-tenders/opportunities/portal/screen/opportunities/topic-details/horizon-cl5-2022-d5-01-07", "HORIZON-CL5-2022-D5-01-07")</f>
        <v>0</v>
      </c>
      <c r="Q706" t="s">
        <v>1661</v>
      </c>
    </row>
    <row r="707" spans="1:17">
      <c r="A707">
        <v>44120455</v>
      </c>
      <c r="B707">
        <v>2022</v>
      </c>
      <c r="C707" t="s">
        <v>20</v>
      </c>
      <c r="D707" t="s">
        <v>40</v>
      </c>
      <c r="E707" t="s">
        <v>82</v>
      </c>
      <c r="F707" t="s">
        <v>130</v>
      </c>
      <c r="G707" t="s">
        <v>246</v>
      </c>
      <c r="H707" t="s">
        <v>322</v>
      </c>
      <c r="I707" t="s">
        <v>395</v>
      </c>
      <c r="K707" t="s">
        <v>466</v>
      </c>
      <c r="L707" t="s">
        <v>469</v>
      </c>
      <c r="M707" t="s">
        <v>473</v>
      </c>
      <c r="N707" t="s">
        <v>580</v>
      </c>
      <c r="O707" t="s">
        <v>860</v>
      </c>
      <c r="P707" s="1">
        <f>HYPERLINK("https://ec.europa.eu/info/funding-tenders/opportunities/portal/screen/opportunities/topic-details/horizon-cl5-2022-d5-01-08", "HORIZON-CL5-2022-D5-01-08")</f>
        <v>0</v>
      </c>
      <c r="Q707" t="s">
        <v>1662</v>
      </c>
    </row>
    <row r="708" spans="1:17">
      <c r="A708">
        <v>44120492</v>
      </c>
      <c r="B708">
        <v>2022</v>
      </c>
      <c r="C708" t="s">
        <v>20</v>
      </c>
      <c r="D708" t="s">
        <v>40</v>
      </c>
      <c r="E708" t="s">
        <v>82</v>
      </c>
      <c r="F708" t="s">
        <v>130</v>
      </c>
      <c r="G708" t="s">
        <v>246</v>
      </c>
      <c r="H708" t="s">
        <v>322</v>
      </c>
      <c r="I708" t="s">
        <v>395</v>
      </c>
      <c r="K708" t="s">
        <v>466</v>
      </c>
      <c r="L708" t="s">
        <v>469</v>
      </c>
      <c r="M708" t="s">
        <v>471</v>
      </c>
      <c r="N708" t="s">
        <v>580</v>
      </c>
      <c r="O708" t="s">
        <v>860</v>
      </c>
      <c r="P708" s="1">
        <f>HYPERLINK("https://ec.europa.eu/info/funding-tenders/opportunities/portal/screen/opportunities/topic-details/horizon-cl5-2022-d5-01-09", "HORIZON-CL5-2022-D5-01-09")</f>
        <v>0</v>
      </c>
      <c r="Q708" t="s">
        <v>1663</v>
      </c>
    </row>
    <row r="709" spans="1:17">
      <c r="A709">
        <v>44117762</v>
      </c>
      <c r="B709">
        <v>2022</v>
      </c>
      <c r="C709" t="s">
        <v>20</v>
      </c>
      <c r="D709" t="s">
        <v>40</v>
      </c>
      <c r="E709" t="s">
        <v>82</v>
      </c>
      <c r="F709" t="s">
        <v>130</v>
      </c>
      <c r="G709" t="s">
        <v>246</v>
      </c>
      <c r="H709" t="s">
        <v>322</v>
      </c>
      <c r="I709" t="s">
        <v>395</v>
      </c>
      <c r="K709" t="s">
        <v>466</v>
      </c>
      <c r="L709" t="s">
        <v>469</v>
      </c>
      <c r="M709" t="s">
        <v>473</v>
      </c>
      <c r="N709" t="s">
        <v>580</v>
      </c>
      <c r="O709" t="s">
        <v>860</v>
      </c>
      <c r="P709" s="1">
        <f>HYPERLINK("https://ec.europa.eu/info/funding-tenders/opportunities/portal/screen/opportunities/topic-details/horizon-cl5-2022-d5-01-10", "HORIZON-CL5-2022-D5-01-10")</f>
        <v>0</v>
      </c>
      <c r="Q709" t="s">
        <v>1664</v>
      </c>
    </row>
    <row r="710" spans="1:17">
      <c r="A710">
        <v>44119553</v>
      </c>
      <c r="B710">
        <v>2022</v>
      </c>
      <c r="C710" t="s">
        <v>20</v>
      </c>
      <c r="D710" t="s">
        <v>40</v>
      </c>
      <c r="E710" t="s">
        <v>82</v>
      </c>
      <c r="F710" t="s">
        <v>130</v>
      </c>
      <c r="G710" t="s">
        <v>246</v>
      </c>
      <c r="H710" t="s">
        <v>322</v>
      </c>
      <c r="I710" t="s">
        <v>395</v>
      </c>
      <c r="K710" t="s">
        <v>466</v>
      </c>
      <c r="L710" t="s">
        <v>469</v>
      </c>
      <c r="M710" t="s">
        <v>472</v>
      </c>
      <c r="N710" t="s">
        <v>580</v>
      </c>
      <c r="O710" t="s">
        <v>860</v>
      </c>
      <c r="P710" s="1">
        <f>HYPERLINK("https://ec.europa.eu/info/funding-tenders/opportunities/portal/screen/opportunities/topic-details/horizon-cl5-2022-d5-01-11", "HORIZON-CL5-2022-D5-01-11")</f>
        <v>0</v>
      </c>
      <c r="Q710" t="s">
        <v>1665</v>
      </c>
    </row>
    <row r="711" spans="1:17">
      <c r="A711">
        <v>44117802</v>
      </c>
      <c r="B711">
        <v>2022</v>
      </c>
      <c r="C711" t="s">
        <v>20</v>
      </c>
      <c r="D711" t="s">
        <v>40</v>
      </c>
      <c r="E711" t="s">
        <v>82</v>
      </c>
      <c r="F711" t="s">
        <v>130</v>
      </c>
      <c r="G711" t="s">
        <v>246</v>
      </c>
      <c r="H711" t="s">
        <v>322</v>
      </c>
      <c r="I711" t="s">
        <v>395</v>
      </c>
      <c r="K711" t="s">
        <v>466</v>
      </c>
      <c r="L711" t="s">
        <v>469</v>
      </c>
      <c r="M711" t="s">
        <v>471</v>
      </c>
      <c r="N711" t="s">
        <v>580</v>
      </c>
      <c r="O711" t="s">
        <v>860</v>
      </c>
      <c r="P711" s="1">
        <f>HYPERLINK("https://ec.europa.eu/info/funding-tenders/opportunities/portal/screen/opportunities/topic-details/horizon-cl5-2022-d5-01-12", "HORIZON-CL5-2022-D5-01-12")</f>
        <v>0</v>
      </c>
      <c r="Q711" t="s">
        <v>1666</v>
      </c>
    </row>
    <row r="712" spans="1:17">
      <c r="A712">
        <v>44116907</v>
      </c>
      <c r="B712">
        <v>2022</v>
      </c>
      <c r="C712" t="s">
        <v>20</v>
      </c>
      <c r="D712" t="s">
        <v>40</v>
      </c>
      <c r="E712" t="s">
        <v>82</v>
      </c>
      <c r="F712" t="s">
        <v>130</v>
      </c>
      <c r="G712" t="s">
        <v>246</v>
      </c>
      <c r="H712" t="s">
        <v>322</v>
      </c>
      <c r="I712" t="s">
        <v>395</v>
      </c>
      <c r="K712" t="s">
        <v>466</v>
      </c>
      <c r="L712" t="s">
        <v>469</v>
      </c>
      <c r="M712" t="s">
        <v>471</v>
      </c>
      <c r="N712" t="s">
        <v>580</v>
      </c>
      <c r="O712" t="s">
        <v>860</v>
      </c>
      <c r="P712" s="1">
        <f>HYPERLINK("https://ec.europa.eu/info/funding-tenders/opportunities/portal/screen/opportunities/topic-details/horizon-cl5-2022-d5-01-13", "HORIZON-CL5-2022-D5-01-13")</f>
        <v>0</v>
      </c>
      <c r="Q712" t="s">
        <v>1667</v>
      </c>
    </row>
    <row r="713" spans="1:17">
      <c r="A713">
        <v>44120527</v>
      </c>
      <c r="B713">
        <v>2022</v>
      </c>
      <c r="C713" t="s">
        <v>20</v>
      </c>
      <c r="D713" t="s">
        <v>40</v>
      </c>
      <c r="E713" t="s">
        <v>82</v>
      </c>
      <c r="F713" t="s">
        <v>130</v>
      </c>
      <c r="G713" t="s">
        <v>246</v>
      </c>
      <c r="H713" t="s">
        <v>322</v>
      </c>
      <c r="I713" t="s">
        <v>395</v>
      </c>
      <c r="K713" t="s">
        <v>466</v>
      </c>
      <c r="L713" t="s">
        <v>469</v>
      </c>
      <c r="M713" t="s">
        <v>471</v>
      </c>
      <c r="N713" t="s">
        <v>580</v>
      </c>
      <c r="O713" t="s">
        <v>860</v>
      </c>
      <c r="P713" s="1">
        <f>HYPERLINK("https://ec.europa.eu/info/funding-tenders/opportunities/portal/screen/opportunities/topic-details/horizon-cl5-2022-d5-01-14", "HORIZON-CL5-2022-D5-01-14")</f>
        <v>0</v>
      </c>
      <c r="Q713" t="s">
        <v>1668</v>
      </c>
    </row>
    <row r="714" spans="1:17">
      <c r="A714">
        <v>44120749</v>
      </c>
      <c r="B714">
        <v>2022</v>
      </c>
      <c r="C714" t="s">
        <v>20</v>
      </c>
      <c r="D714" t="s">
        <v>40</v>
      </c>
      <c r="E714" t="s">
        <v>82</v>
      </c>
      <c r="F714" t="s">
        <v>131</v>
      </c>
      <c r="G714" t="s">
        <v>246</v>
      </c>
      <c r="H714" t="s">
        <v>319</v>
      </c>
      <c r="I714" t="s">
        <v>344</v>
      </c>
      <c r="K714" t="s">
        <v>466</v>
      </c>
      <c r="L714" t="s">
        <v>469</v>
      </c>
      <c r="M714" t="s">
        <v>473</v>
      </c>
      <c r="N714" t="s">
        <v>581</v>
      </c>
      <c r="O714" t="s">
        <v>861</v>
      </c>
      <c r="P714" s="1">
        <f>HYPERLINK("https://ec.europa.eu/info/funding-tenders/opportunities/portal/screen/opportunities/topic-details/horizon-cl5-2022-d6-01-01", "HORIZON-CL5-2022-D6-01-01")</f>
        <v>0</v>
      </c>
      <c r="Q714" t="s">
        <v>1669</v>
      </c>
    </row>
    <row r="715" spans="1:17">
      <c r="A715">
        <v>44120786</v>
      </c>
      <c r="B715">
        <v>2022</v>
      </c>
      <c r="C715" t="s">
        <v>20</v>
      </c>
      <c r="D715" t="s">
        <v>40</v>
      </c>
      <c r="E715" t="s">
        <v>82</v>
      </c>
      <c r="F715" t="s">
        <v>131</v>
      </c>
      <c r="G715" t="s">
        <v>246</v>
      </c>
      <c r="H715" t="s">
        <v>319</v>
      </c>
      <c r="I715" t="s">
        <v>344</v>
      </c>
      <c r="K715" t="s">
        <v>466</v>
      </c>
      <c r="L715" t="s">
        <v>469</v>
      </c>
      <c r="M715" t="s">
        <v>471</v>
      </c>
      <c r="N715" t="s">
        <v>581</v>
      </c>
      <c r="O715" t="s">
        <v>861</v>
      </c>
      <c r="P715" s="1">
        <f>HYPERLINK("https://ec.europa.eu/info/funding-tenders/opportunities/portal/screen/opportunities/topic-details/horizon-cl5-2022-d6-01-02", "HORIZON-CL5-2022-D6-01-02")</f>
        <v>0</v>
      </c>
      <c r="Q715" t="s">
        <v>1670</v>
      </c>
    </row>
    <row r="716" spans="1:17">
      <c r="A716">
        <v>44120819</v>
      </c>
      <c r="B716">
        <v>2022</v>
      </c>
      <c r="C716" t="s">
        <v>20</v>
      </c>
      <c r="D716" t="s">
        <v>40</v>
      </c>
      <c r="E716" t="s">
        <v>82</v>
      </c>
      <c r="F716" t="s">
        <v>131</v>
      </c>
      <c r="G716" t="s">
        <v>246</v>
      </c>
      <c r="H716" t="s">
        <v>319</v>
      </c>
      <c r="I716" t="s">
        <v>344</v>
      </c>
      <c r="K716" t="s">
        <v>466</v>
      </c>
      <c r="L716" t="s">
        <v>469</v>
      </c>
      <c r="M716" t="s">
        <v>471</v>
      </c>
      <c r="N716" t="s">
        <v>581</v>
      </c>
      <c r="O716" t="s">
        <v>861</v>
      </c>
      <c r="P716" s="1">
        <f>HYPERLINK("https://ec.europa.eu/info/funding-tenders/opportunities/portal/screen/opportunities/topic-details/horizon-cl5-2022-d6-01-03", "HORIZON-CL5-2022-D6-01-03")</f>
        <v>0</v>
      </c>
      <c r="Q716" t="s">
        <v>1671</v>
      </c>
    </row>
    <row r="717" spans="1:17">
      <c r="A717">
        <v>44120846</v>
      </c>
      <c r="B717">
        <v>2022</v>
      </c>
      <c r="C717" t="s">
        <v>20</v>
      </c>
      <c r="D717" t="s">
        <v>40</v>
      </c>
      <c r="E717" t="s">
        <v>82</v>
      </c>
      <c r="F717" t="s">
        <v>131</v>
      </c>
      <c r="G717" t="s">
        <v>246</v>
      </c>
      <c r="H717" t="s">
        <v>319</v>
      </c>
      <c r="I717" t="s">
        <v>344</v>
      </c>
      <c r="K717" t="s">
        <v>466</v>
      </c>
      <c r="L717" t="s">
        <v>469</v>
      </c>
      <c r="M717" t="s">
        <v>473</v>
      </c>
      <c r="N717" t="s">
        <v>581</v>
      </c>
      <c r="O717" t="s">
        <v>861</v>
      </c>
      <c r="P717" s="1">
        <f>HYPERLINK("https://ec.europa.eu/info/funding-tenders/opportunities/portal/screen/opportunities/topic-details/horizon-cl5-2022-d6-01-04", "HORIZON-CL5-2022-D6-01-04")</f>
        <v>0</v>
      </c>
      <c r="Q717" t="s">
        <v>1672</v>
      </c>
    </row>
    <row r="718" spans="1:17">
      <c r="A718">
        <v>44121255</v>
      </c>
      <c r="B718">
        <v>2022</v>
      </c>
      <c r="C718" t="s">
        <v>20</v>
      </c>
      <c r="D718" t="s">
        <v>40</v>
      </c>
      <c r="E718" t="s">
        <v>82</v>
      </c>
      <c r="F718" t="s">
        <v>131</v>
      </c>
      <c r="G718" t="s">
        <v>246</v>
      </c>
      <c r="H718" t="s">
        <v>319</v>
      </c>
      <c r="I718" t="s">
        <v>344</v>
      </c>
      <c r="K718" t="s">
        <v>466</v>
      </c>
      <c r="L718" t="s">
        <v>469</v>
      </c>
      <c r="M718" t="s">
        <v>471</v>
      </c>
      <c r="N718" t="s">
        <v>581</v>
      </c>
      <c r="O718" t="s">
        <v>861</v>
      </c>
      <c r="P718" s="1">
        <f>HYPERLINK("https://ec.europa.eu/info/funding-tenders/opportunities/portal/screen/opportunities/topic-details/horizon-cl5-2022-d6-01-05", "HORIZON-CL5-2022-D6-01-05")</f>
        <v>0</v>
      </c>
      <c r="Q718" t="s">
        <v>1673</v>
      </c>
    </row>
    <row r="719" spans="1:17">
      <c r="A719">
        <v>44117035</v>
      </c>
      <c r="B719">
        <v>2022</v>
      </c>
      <c r="C719" t="s">
        <v>20</v>
      </c>
      <c r="D719" t="s">
        <v>40</v>
      </c>
      <c r="E719" t="s">
        <v>82</v>
      </c>
      <c r="F719" t="s">
        <v>131</v>
      </c>
      <c r="G719" t="s">
        <v>246</v>
      </c>
      <c r="H719" t="s">
        <v>319</v>
      </c>
      <c r="I719" t="s">
        <v>344</v>
      </c>
      <c r="K719" t="s">
        <v>466</v>
      </c>
      <c r="L719" t="s">
        <v>469</v>
      </c>
      <c r="M719" t="s">
        <v>471</v>
      </c>
      <c r="N719" t="s">
        <v>581</v>
      </c>
      <c r="O719" t="s">
        <v>861</v>
      </c>
      <c r="P719" s="1">
        <f>HYPERLINK("https://ec.europa.eu/info/funding-tenders/opportunities/portal/screen/opportunities/topic-details/horizon-cl5-2022-d6-01-06", "HORIZON-CL5-2022-D6-01-06")</f>
        <v>0</v>
      </c>
      <c r="Q719" t="s">
        <v>1674</v>
      </c>
    </row>
    <row r="720" spans="1:17">
      <c r="A720">
        <v>44117074</v>
      </c>
      <c r="B720">
        <v>2022</v>
      </c>
      <c r="C720" t="s">
        <v>20</v>
      </c>
      <c r="D720" t="s">
        <v>40</v>
      </c>
      <c r="E720" t="s">
        <v>82</v>
      </c>
      <c r="F720" t="s">
        <v>131</v>
      </c>
      <c r="G720" t="s">
        <v>246</v>
      </c>
      <c r="H720" t="s">
        <v>319</v>
      </c>
      <c r="I720" t="s">
        <v>344</v>
      </c>
      <c r="K720" t="s">
        <v>466</v>
      </c>
      <c r="L720" t="s">
        <v>469</v>
      </c>
      <c r="M720" t="s">
        <v>473</v>
      </c>
      <c r="N720" t="s">
        <v>581</v>
      </c>
      <c r="O720" t="s">
        <v>861</v>
      </c>
      <c r="P720" s="1">
        <f>HYPERLINK("https://ec.europa.eu/info/funding-tenders/opportunities/portal/screen/opportunities/topic-details/horizon-cl5-2022-d6-01-07", "HORIZON-CL5-2022-D6-01-07")</f>
        <v>0</v>
      </c>
      <c r="Q720" t="s">
        <v>1675</v>
      </c>
    </row>
    <row r="721" spans="1:17">
      <c r="A721">
        <v>44117140</v>
      </c>
      <c r="B721">
        <v>2022</v>
      </c>
      <c r="C721" t="s">
        <v>20</v>
      </c>
      <c r="D721" t="s">
        <v>40</v>
      </c>
      <c r="E721" t="s">
        <v>82</v>
      </c>
      <c r="F721" t="s">
        <v>131</v>
      </c>
      <c r="G721" t="s">
        <v>246</v>
      </c>
      <c r="H721" t="s">
        <v>319</v>
      </c>
      <c r="I721" t="s">
        <v>344</v>
      </c>
      <c r="K721" t="s">
        <v>466</v>
      </c>
      <c r="L721" t="s">
        <v>469</v>
      </c>
      <c r="M721" t="s">
        <v>473</v>
      </c>
      <c r="N721" t="s">
        <v>581</v>
      </c>
      <c r="O721" t="s">
        <v>861</v>
      </c>
      <c r="P721" s="1">
        <f>HYPERLINK("https://ec.europa.eu/info/funding-tenders/opportunities/portal/screen/opportunities/topic-details/horizon-cl5-2022-d6-01-08", "HORIZON-CL5-2022-D6-01-08")</f>
        <v>0</v>
      </c>
      <c r="Q721" t="s">
        <v>1676</v>
      </c>
    </row>
    <row r="722" spans="1:17">
      <c r="A722">
        <v>44117170</v>
      </c>
      <c r="B722">
        <v>2022</v>
      </c>
      <c r="C722" t="s">
        <v>20</v>
      </c>
      <c r="D722" t="s">
        <v>40</v>
      </c>
      <c r="E722" t="s">
        <v>82</v>
      </c>
      <c r="F722" t="s">
        <v>134</v>
      </c>
      <c r="G722" t="s">
        <v>247</v>
      </c>
      <c r="H722" t="s">
        <v>318</v>
      </c>
      <c r="I722" t="s">
        <v>321</v>
      </c>
      <c r="K722" t="s">
        <v>466</v>
      </c>
      <c r="L722" t="s">
        <v>469</v>
      </c>
      <c r="M722" t="s">
        <v>473</v>
      </c>
      <c r="N722" t="s">
        <v>582</v>
      </c>
      <c r="O722" t="s">
        <v>861</v>
      </c>
      <c r="P722" s="1">
        <f>HYPERLINK("https://ec.europa.eu/info/funding-tenders/opportunities/portal/screen/opportunities/topic-details/horizon-cl5-2022-d6-02-01", "HORIZON-CL5-2022-D6-02-01")</f>
        <v>0</v>
      </c>
      <c r="Q722" t="s">
        <v>1677</v>
      </c>
    </row>
    <row r="723" spans="1:17">
      <c r="A723">
        <v>44121324</v>
      </c>
      <c r="B723">
        <v>2022</v>
      </c>
      <c r="C723" t="s">
        <v>20</v>
      </c>
      <c r="D723" t="s">
        <v>40</v>
      </c>
      <c r="E723" t="s">
        <v>82</v>
      </c>
      <c r="F723" t="s">
        <v>134</v>
      </c>
      <c r="G723" t="s">
        <v>247</v>
      </c>
      <c r="H723" t="s">
        <v>318</v>
      </c>
      <c r="I723" t="s">
        <v>321</v>
      </c>
      <c r="K723" t="s">
        <v>466</v>
      </c>
      <c r="L723" t="s">
        <v>469</v>
      </c>
      <c r="M723" t="s">
        <v>473</v>
      </c>
      <c r="N723" t="s">
        <v>582</v>
      </c>
      <c r="O723" t="s">
        <v>861</v>
      </c>
      <c r="P723" s="1">
        <f>HYPERLINK("https://ec.europa.eu/info/funding-tenders/opportunities/portal/screen/opportunities/topic-details/horizon-cl5-2022-d6-02-02", "HORIZON-CL5-2022-D6-02-02")</f>
        <v>0</v>
      </c>
      <c r="Q723" t="s">
        <v>1678</v>
      </c>
    </row>
    <row r="724" spans="1:17">
      <c r="A724">
        <v>44117925</v>
      </c>
      <c r="B724">
        <v>2022</v>
      </c>
      <c r="C724" t="s">
        <v>20</v>
      </c>
      <c r="D724" t="s">
        <v>40</v>
      </c>
      <c r="E724" t="s">
        <v>82</v>
      </c>
      <c r="F724" t="s">
        <v>134</v>
      </c>
      <c r="G724" t="s">
        <v>247</v>
      </c>
      <c r="H724" t="s">
        <v>318</v>
      </c>
      <c r="I724" t="s">
        <v>321</v>
      </c>
      <c r="K724" t="s">
        <v>466</v>
      </c>
      <c r="L724" t="s">
        <v>469</v>
      </c>
      <c r="M724" t="s">
        <v>471</v>
      </c>
      <c r="N724" t="s">
        <v>582</v>
      </c>
      <c r="O724" t="s">
        <v>861</v>
      </c>
      <c r="P724" s="1">
        <f>HYPERLINK("https://ec.europa.eu/info/funding-tenders/opportunities/portal/screen/opportunities/topic-details/horizon-cl5-2022-d6-02-03", "HORIZON-CL5-2022-D6-02-03")</f>
        <v>0</v>
      </c>
      <c r="Q724" t="s">
        <v>1679</v>
      </c>
    </row>
    <row r="725" spans="1:17">
      <c r="A725">
        <v>44121361</v>
      </c>
      <c r="B725">
        <v>2022</v>
      </c>
      <c r="C725" t="s">
        <v>20</v>
      </c>
      <c r="D725" t="s">
        <v>40</v>
      </c>
      <c r="E725" t="s">
        <v>82</v>
      </c>
      <c r="F725" t="s">
        <v>134</v>
      </c>
      <c r="G725" t="s">
        <v>247</v>
      </c>
      <c r="H725" t="s">
        <v>318</v>
      </c>
      <c r="I725" t="s">
        <v>321</v>
      </c>
      <c r="K725" t="s">
        <v>466</v>
      </c>
      <c r="L725" t="s">
        <v>469</v>
      </c>
      <c r="M725" t="s">
        <v>473</v>
      </c>
      <c r="N725" t="s">
        <v>582</v>
      </c>
      <c r="O725" t="s">
        <v>861</v>
      </c>
      <c r="P725" s="1">
        <f>HYPERLINK("https://ec.europa.eu/info/funding-tenders/opportunities/portal/screen/opportunities/topic-details/horizon-cl5-2022-d6-02-04", "HORIZON-CL5-2022-D6-02-04")</f>
        <v>0</v>
      </c>
      <c r="Q725" t="s">
        <v>1680</v>
      </c>
    </row>
    <row r="726" spans="1:17">
      <c r="A726">
        <v>44117204</v>
      </c>
      <c r="B726">
        <v>2022</v>
      </c>
      <c r="C726" t="s">
        <v>20</v>
      </c>
      <c r="D726" t="s">
        <v>40</v>
      </c>
      <c r="E726" t="s">
        <v>82</v>
      </c>
      <c r="F726" t="s">
        <v>134</v>
      </c>
      <c r="G726" t="s">
        <v>247</v>
      </c>
      <c r="H726" t="s">
        <v>318</v>
      </c>
      <c r="I726" t="s">
        <v>321</v>
      </c>
      <c r="K726" t="s">
        <v>466</v>
      </c>
      <c r="L726" t="s">
        <v>469</v>
      </c>
      <c r="M726" t="s">
        <v>471</v>
      </c>
      <c r="N726" t="s">
        <v>582</v>
      </c>
      <c r="O726" t="s">
        <v>861</v>
      </c>
      <c r="P726" s="1">
        <f>HYPERLINK("https://ec.europa.eu/info/funding-tenders/opportunities/portal/screen/opportunities/topic-details/horizon-cl5-2022-d6-02-05", "HORIZON-CL5-2022-D6-02-05")</f>
        <v>0</v>
      </c>
      <c r="Q726" t="s">
        <v>1681</v>
      </c>
    </row>
    <row r="727" spans="1:17">
      <c r="A727">
        <v>44119588</v>
      </c>
      <c r="B727">
        <v>2022</v>
      </c>
      <c r="C727" t="s">
        <v>20</v>
      </c>
      <c r="D727" t="s">
        <v>40</v>
      </c>
      <c r="E727" t="s">
        <v>82</v>
      </c>
      <c r="F727" t="s">
        <v>134</v>
      </c>
      <c r="G727" t="s">
        <v>247</v>
      </c>
      <c r="H727" t="s">
        <v>318</v>
      </c>
      <c r="I727" t="s">
        <v>321</v>
      </c>
      <c r="K727" t="s">
        <v>466</v>
      </c>
      <c r="L727" t="s">
        <v>469</v>
      </c>
      <c r="M727" t="s">
        <v>473</v>
      </c>
      <c r="N727" t="s">
        <v>582</v>
      </c>
      <c r="O727" t="s">
        <v>861</v>
      </c>
      <c r="P727" s="1">
        <f>HYPERLINK("https://ec.europa.eu/info/funding-tenders/opportunities/portal/screen/opportunities/topic-details/horizon-cl5-2022-d6-02-06", "HORIZON-CL5-2022-D6-02-06")</f>
        <v>0</v>
      </c>
      <c r="Q727" t="s">
        <v>1682</v>
      </c>
    </row>
    <row r="728" spans="1:17">
      <c r="A728">
        <v>44117956</v>
      </c>
      <c r="B728">
        <v>2022</v>
      </c>
      <c r="C728" t="s">
        <v>20</v>
      </c>
      <c r="D728" t="s">
        <v>40</v>
      </c>
      <c r="E728" t="s">
        <v>82</v>
      </c>
      <c r="F728" t="s">
        <v>134</v>
      </c>
      <c r="G728" t="s">
        <v>247</v>
      </c>
      <c r="H728" t="s">
        <v>318</v>
      </c>
      <c r="I728" t="s">
        <v>321</v>
      </c>
      <c r="K728" t="s">
        <v>466</v>
      </c>
      <c r="L728" t="s">
        <v>469</v>
      </c>
      <c r="M728" t="s">
        <v>471</v>
      </c>
      <c r="N728" t="s">
        <v>582</v>
      </c>
      <c r="O728" t="s">
        <v>861</v>
      </c>
      <c r="P728" s="1">
        <f>HYPERLINK("https://ec.europa.eu/info/funding-tenders/opportunities/portal/screen/opportunities/topic-details/horizon-cl5-2022-d6-02-07", "HORIZON-CL5-2022-D6-02-07")</f>
        <v>0</v>
      </c>
      <c r="Q728" t="s">
        <v>1683</v>
      </c>
    </row>
    <row r="729" spans="1:17">
      <c r="A729">
        <v>45645190</v>
      </c>
      <c r="B729">
        <v>2023</v>
      </c>
      <c r="C729" t="s">
        <v>20</v>
      </c>
      <c r="D729" t="s">
        <v>40</v>
      </c>
      <c r="E729" t="s">
        <v>71</v>
      </c>
      <c r="F729" t="s">
        <v>123</v>
      </c>
      <c r="G729" t="s">
        <v>248</v>
      </c>
      <c r="H729" t="s">
        <v>285</v>
      </c>
      <c r="I729" t="s">
        <v>398</v>
      </c>
      <c r="K729" t="s">
        <v>466</v>
      </c>
      <c r="L729" t="s">
        <v>469</v>
      </c>
      <c r="M729" t="s">
        <v>471</v>
      </c>
      <c r="N729" t="s">
        <v>583</v>
      </c>
      <c r="O729" t="s">
        <v>856</v>
      </c>
      <c r="P729" s="1">
        <f>HYPERLINK("https://ec.europa.eu/info/funding-tenders/opportunities/portal/screen/opportunities/topic-details/horizon-cl5-2023-d1-01-01", "HORIZON-CL5-2023-D1-01-01")</f>
        <v>0</v>
      </c>
      <c r="Q729" t="s">
        <v>1684</v>
      </c>
    </row>
    <row r="730" spans="1:17">
      <c r="A730">
        <v>45645219</v>
      </c>
      <c r="B730">
        <v>2023</v>
      </c>
      <c r="C730" t="s">
        <v>20</v>
      </c>
      <c r="D730" t="s">
        <v>40</v>
      </c>
      <c r="E730" t="s">
        <v>71</v>
      </c>
      <c r="F730" t="s">
        <v>123</v>
      </c>
      <c r="G730" t="s">
        <v>248</v>
      </c>
      <c r="H730" t="s">
        <v>285</v>
      </c>
      <c r="I730" t="s">
        <v>398</v>
      </c>
      <c r="K730" t="s">
        <v>466</v>
      </c>
      <c r="L730" t="s">
        <v>469</v>
      </c>
      <c r="M730" t="s">
        <v>471</v>
      </c>
      <c r="N730" t="s">
        <v>583</v>
      </c>
      <c r="O730" t="s">
        <v>856</v>
      </c>
      <c r="P730" s="1">
        <f>HYPERLINK("https://ec.europa.eu/info/funding-tenders/opportunities/portal/screen/opportunities/topic-details/horizon-cl5-2023-d1-01-02", "HORIZON-CL5-2023-D1-01-02")</f>
        <v>0</v>
      </c>
      <c r="Q730" t="s">
        <v>1685</v>
      </c>
    </row>
    <row r="731" spans="1:17">
      <c r="A731">
        <v>45649195</v>
      </c>
      <c r="B731">
        <v>2023</v>
      </c>
      <c r="C731" t="s">
        <v>20</v>
      </c>
      <c r="D731" t="s">
        <v>40</v>
      </c>
      <c r="E731" t="s">
        <v>71</v>
      </c>
      <c r="F731" t="s">
        <v>123</v>
      </c>
      <c r="G731" t="s">
        <v>248</v>
      </c>
      <c r="H731" t="s">
        <v>285</v>
      </c>
      <c r="I731" t="s">
        <v>398</v>
      </c>
      <c r="K731" t="s">
        <v>466</v>
      </c>
      <c r="L731" t="s">
        <v>469</v>
      </c>
      <c r="M731" t="s">
        <v>471</v>
      </c>
      <c r="N731" t="s">
        <v>583</v>
      </c>
      <c r="O731" t="s">
        <v>856</v>
      </c>
      <c r="P731" s="1">
        <f>HYPERLINK("https://ec.europa.eu/info/funding-tenders/opportunities/portal/screen/opportunities/topic-details/horizon-cl5-2023-d1-01-03", "HORIZON-CL5-2023-D1-01-03")</f>
        <v>0</v>
      </c>
      <c r="Q731" t="s">
        <v>1686</v>
      </c>
    </row>
    <row r="732" spans="1:17">
      <c r="A732">
        <v>45645247</v>
      </c>
      <c r="B732">
        <v>2023</v>
      </c>
      <c r="C732" t="s">
        <v>20</v>
      </c>
      <c r="D732" t="s">
        <v>40</v>
      </c>
      <c r="E732" t="s">
        <v>71</v>
      </c>
      <c r="F732" t="s">
        <v>123</v>
      </c>
      <c r="G732" t="s">
        <v>248</v>
      </c>
      <c r="H732" t="s">
        <v>285</v>
      </c>
      <c r="I732" t="s">
        <v>398</v>
      </c>
      <c r="K732" t="s">
        <v>466</v>
      </c>
      <c r="L732" t="s">
        <v>469</v>
      </c>
      <c r="M732" t="s">
        <v>471</v>
      </c>
      <c r="N732" t="s">
        <v>583</v>
      </c>
      <c r="O732" t="s">
        <v>856</v>
      </c>
      <c r="P732" s="1">
        <f>HYPERLINK("https://ec.europa.eu/info/funding-tenders/opportunities/portal/screen/opportunities/topic-details/horizon-cl5-2023-d1-01-04", "HORIZON-CL5-2023-D1-01-04")</f>
        <v>0</v>
      </c>
      <c r="Q732" t="s">
        <v>1687</v>
      </c>
    </row>
    <row r="733" spans="1:17">
      <c r="A733">
        <v>45648491</v>
      </c>
      <c r="B733">
        <v>2023</v>
      </c>
      <c r="C733" t="s">
        <v>20</v>
      </c>
      <c r="D733" t="s">
        <v>40</v>
      </c>
      <c r="E733" t="s">
        <v>71</v>
      </c>
      <c r="F733" t="s">
        <v>123</v>
      </c>
      <c r="G733" t="s">
        <v>248</v>
      </c>
      <c r="H733" t="s">
        <v>285</v>
      </c>
      <c r="I733" t="s">
        <v>398</v>
      </c>
      <c r="K733" t="s">
        <v>466</v>
      </c>
      <c r="L733" t="s">
        <v>469</v>
      </c>
      <c r="M733" t="s">
        <v>471</v>
      </c>
      <c r="N733" t="s">
        <v>583</v>
      </c>
      <c r="O733" t="s">
        <v>856</v>
      </c>
      <c r="P733" s="1">
        <f>HYPERLINK("https://ec.europa.eu/info/funding-tenders/opportunities/portal/screen/opportunities/topic-details/horizon-cl5-2023-d1-01-05", "HORIZON-CL5-2023-D1-01-05")</f>
        <v>0</v>
      </c>
      <c r="Q733" t="s">
        <v>1688</v>
      </c>
    </row>
    <row r="734" spans="1:17">
      <c r="A734">
        <v>45648981</v>
      </c>
      <c r="B734">
        <v>2023</v>
      </c>
      <c r="C734" t="s">
        <v>20</v>
      </c>
      <c r="D734" t="s">
        <v>40</v>
      </c>
      <c r="E734" t="s">
        <v>71</v>
      </c>
      <c r="F734" t="s">
        <v>123</v>
      </c>
      <c r="G734" t="s">
        <v>248</v>
      </c>
      <c r="H734" t="s">
        <v>285</v>
      </c>
      <c r="I734" t="s">
        <v>398</v>
      </c>
      <c r="K734" t="s">
        <v>466</v>
      </c>
      <c r="L734" t="s">
        <v>469</v>
      </c>
      <c r="M734" t="s">
        <v>471</v>
      </c>
      <c r="N734" t="s">
        <v>583</v>
      </c>
      <c r="O734" t="s">
        <v>856</v>
      </c>
      <c r="P734" s="1">
        <f>HYPERLINK("https://ec.europa.eu/info/funding-tenders/opportunities/portal/screen/opportunities/topic-details/horizon-cl5-2023-d1-01-06", "HORIZON-CL5-2023-D1-01-06")</f>
        <v>0</v>
      </c>
      <c r="Q734" t="s">
        <v>1689</v>
      </c>
    </row>
    <row r="735" spans="1:17">
      <c r="A735">
        <v>45645275</v>
      </c>
      <c r="B735">
        <v>2023</v>
      </c>
      <c r="C735" t="s">
        <v>20</v>
      </c>
      <c r="D735" t="s">
        <v>40</v>
      </c>
      <c r="E735" t="s">
        <v>71</v>
      </c>
      <c r="F735" t="s">
        <v>123</v>
      </c>
      <c r="G735" t="s">
        <v>248</v>
      </c>
      <c r="H735" t="s">
        <v>285</v>
      </c>
      <c r="I735" t="s">
        <v>398</v>
      </c>
      <c r="K735" t="s">
        <v>466</v>
      </c>
      <c r="L735" t="s">
        <v>469</v>
      </c>
      <c r="M735" t="s">
        <v>471</v>
      </c>
      <c r="N735" t="s">
        <v>583</v>
      </c>
      <c r="O735" t="s">
        <v>856</v>
      </c>
      <c r="P735" s="1">
        <f>HYPERLINK("https://ec.europa.eu/info/funding-tenders/opportunities/portal/screen/opportunities/topic-details/horizon-cl5-2023-d1-01-07", "HORIZON-CL5-2023-D1-01-07")</f>
        <v>0</v>
      </c>
      <c r="Q735" t="s">
        <v>1690</v>
      </c>
    </row>
    <row r="736" spans="1:17">
      <c r="A736">
        <v>45648211</v>
      </c>
      <c r="B736">
        <v>2023</v>
      </c>
      <c r="C736" t="s">
        <v>20</v>
      </c>
      <c r="D736" t="s">
        <v>40</v>
      </c>
      <c r="E736" t="s">
        <v>71</v>
      </c>
      <c r="F736" t="s">
        <v>123</v>
      </c>
      <c r="G736" t="s">
        <v>248</v>
      </c>
      <c r="H736" t="s">
        <v>285</v>
      </c>
      <c r="I736" t="s">
        <v>398</v>
      </c>
      <c r="K736" t="s">
        <v>466</v>
      </c>
      <c r="L736" t="s">
        <v>469</v>
      </c>
      <c r="M736" t="s">
        <v>472</v>
      </c>
      <c r="N736" t="s">
        <v>583</v>
      </c>
      <c r="O736" t="s">
        <v>856</v>
      </c>
      <c r="P736" s="1">
        <f>HYPERLINK("https://ec.europa.eu/info/funding-tenders/opportunities/portal/screen/opportunities/topic-details/horizon-cl5-2023-d1-01-08", "HORIZON-CL5-2023-D1-01-08")</f>
        <v>0</v>
      </c>
      <c r="Q736" t="s">
        <v>1691</v>
      </c>
    </row>
    <row r="737" spans="1:17">
      <c r="A737">
        <v>45645308</v>
      </c>
      <c r="B737">
        <v>2023</v>
      </c>
      <c r="C737" t="s">
        <v>20</v>
      </c>
      <c r="D737" t="s">
        <v>40</v>
      </c>
      <c r="E737" t="s">
        <v>71</v>
      </c>
      <c r="F737" t="s">
        <v>123</v>
      </c>
      <c r="G737" t="s">
        <v>248</v>
      </c>
      <c r="H737" t="s">
        <v>285</v>
      </c>
      <c r="I737" t="s">
        <v>398</v>
      </c>
      <c r="K737" t="s">
        <v>466</v>
      </c>
      <c r="L737" t="s">
        <v>469</v>
      </c>
      <c r="M737" t="s">
        <v>471</v>
      </c>
      <c r="N737" t="s">
        <v>583</v>
      </c>
      <c r="O737" t="s">
        <v>856</v>
      </c>
      <c r="P737" s="1">
        <f>HYPERLINK("https://ec.europa.eu/info/funding-tenders/opportunities/portal/screen/opportunities/topic-details/horizon-cl5-2023-d1-01-09", "HORIZON-CL5-2023-D1-01-09")</f>
        <v>0</v>
      </c>
      <c r="Q737" t="s">
        <v>1692</v>
      </c>
    </row>
    <row r="738" spans="1:17">
      <c r="A738">
        <v>45648237</v>
      </c>
      <c r="B738">
        <v>2023</v>
      </c>
      <c r="C738" t="s">
        <v>20</v>
      </c>
      <c r="D738" t="s">
        <v>40</v>
      </c>
      <c r="E738" t="s">
        <v>71</v>
      </c>
      <c r="F738" t="s">
        <v>123</v>
      </c>
      <c r="G738" t="s">
        <v>248</v>
      </c>
      <c r="H738" t="s">
        <v>285</v>
      </c>
      <c r="I738" t="s">
        <v>398</v>
      </c>
      <c r="K738" t="s">
        <v>466</v>
      </c>
      <c r="L738" t="s">
        <v>469</v>
      </c>
      <c r="M738" t="s">
        <v>471</v>
      </c>
      <c r="N738" t="s">
        <v>583</v>
      </c>
      <c r="O738" t="s">
        <v>856</v>
      </c>
      <c r="P738" s="1">
        <f>HYPERLINK("https://ec.europa.eu/info/funding-tenders/opportunities/portal/screen/opportunities/topic-details/horizon-cl5-2023-d1-01-10", "HORIZON-CL5-2023-D1-01-10")</f>
        <v>0</v>
      </c>
      <c r="Q738" t="s">
        <v>1693</v>
      </c>
    </row>
    <row r="739" spans="1:17">
      <c r="A739">
        <v>45645116</v>
      </c>
      <c r="B739">
        <v>2023</v>
      </c>
      <c r="C739" t="s">
        <v>20</v>
      </c>
      <c r="D739" t="s">
        <v>40</v>
      </c>
      <c r="E739" t="s">
        <v>71</v>
      </c>
      <c r="F739" t="s">
        <v>123</v>
      </c>
      <c r="G739" t="s">
        <v>248</v>
      </c>
      <c r="H739" t="s">
        <v>285</v>
      </c>
      <c r="I739" t="s">
        <v>398</v>
      </c>
      <c r="K739" t="s">
        <v>466</v>
      </c>
      <c r="L739" t="s">
        <v>469</v>
      </c>
      <c r="M739" t="s">
        <v>471</v>
      </c>
      <c r="N739" t="s">
        <v>583</v>
      </c>
      <c r="O739" t="s">
        <v>856</v>
      </c>
      <c r="P739" s="1">
        <f>HYPERLINK("https://ec.europa.eu/info/funding-tenders/opportunities/portal/screen/opportunities/topic-details/horizon-cl5-2023-d1-01-11", "HORIZON-CL5-2023-D1-01-11")</f>
        <v>0</v>
      </c>
      <c r="Q739" t="s">
        <v>1694</v>
      </c>
    </row>
    <row r="740" spans="1:17">
      <c r="A740">
        <v>45645338</v>
      </c>
      <c r="B740">
        <v>2023</v>
      </c>
      <c r="C740" t="s">
        <v>20</v>
      </c>
      <c r="D740" t="s">
        <v>40</v>
      </c>
      <c r="E740" t="s">
        <v>71</v>
      </c>
      <c r="F740" t="s">
        <v>133</v>
      </c>
      <c r="G740" t="s">
        <v>248</v>
      </c>
      <c r="H740" t="s">
        <v>285</v>
      </c>
      <c r="I740" t="s">
        <v>398</v>
      </c>
      <c r="K740" t="s">
        <v>466</v>
      </c>
      <c r="L740" t="s">
        <v>469</v>
      </c>
      <c r="M740" t="s">
        <v>471</v>
      </c>
      <c r="N740" t="s">
        <v>584</v>
      </c>
      <c r="O740" t="s">
        <v>856</v>
      </c>
      <c r="P740" s="1">
        <f>HYPERLINK("https://ec.europa.eu/info/funding-tenders/opportunities/portal/screen/opportunities/topic-details/horizon-cl5-2023-d1-02-01", "HORIZON-CL5-2023-D1-02-01")</f>
        <v>0</v>
      </c>
      <c r="Q740" t="s">
        <v>1695</v>
      </c>
    </row>
    <row r="741" spans="1:17">
      <c r="A741">
        <v>45648003</v>
      </c>
      <c r="B741">
        <v>2023</v>
      </c>
      <c r="C741" t="s">
        <v>20</v>
      </c>
      <c r="D741" t="s">
        <v>40</v>
      </c>
      <c r="E741" t="s">
        <v>71</v>
      </c>
      <c r="F741" t="s">
        <v>133</v>
      </c>
      <c r="G741" t="s">
        <v>248</v>
      </c>
      <c r="H741" t="s">
        <v>285</v>
      </c>
      <c r="I741" t="s">
        <v>398</v>
      </c>
      <c r="K741" t="s">
        <v>466</v>
      </c>
      <c r="L741" t="s">
        <v>469</v>
      </c>
      <c r="M741" t="s">
        <v>471</v>
      </c>
      <c r="N741" t="s">
        <v>584</v>
      </c>
      <c r="O741" t="s">
        <v>856</v>
      </c>
      <c r="P741" s="1">
        <f>HYPERLINK("https://ec.europa.eu/info/funding-tenders/opportunities/portal/screen/opportunities/topic-details/horizon-cl5-2023-d1-02-02", "HORIZON-CL5-2023-D1-02-02")</f>
        <v>0</v>
      </c>
      <c r="Q741" t="s">
        <v>1696</v>
      </c>
    </row>
    <row r="742" spans="1:17">
      <c r="A742">
        <v>45646163</v>
      </c>
      <c r="B742">
        <v>2023</v>
      </c>
      <c r="C742" t="s">
        <v>20</v>
      </c>
      <c r="D742" t="s">
        <v>40</v>
      </c>
      <c r="E742" t="s">
        <v>76</v>
      </c>
      <c r="F742" t="s">
        <v>124</v>
      </c>
      <c r="G742" t="s">
        <v>248</v>
      </c>
      <c r="H742" t="s">
        <v>285</v>
      </c>
      <c r="I742" t="s">
        <v>398</v>
      </c>
      <c r="K742" t="s">
        <v>466</v>
      </c>
      <c r="L742" t="s">
        <v>469</v>
      </c>
      <c r="M742" t="s">
        <v>471</v>
      </c>
      <c r="N742" t="s">
        <v>585</v>
      </c>
      <c r="O742" t="s">
        <v>857</v>
      </c>
      <c r="P742" s="1">
        <f>HYPERLINK("https://ec.europa.eu/info/funding-tenders/opportunities/portal/screen/opportunities/topic-details/horizon-cl5-2023-d2-01-01", "HORIZON-CL5-2023-D2-01-01")</f>
        <v>0</v>
      </c>
      <c r="Q742" t="s">
        <v>1697</v>
      </c>
    </row>
    <row r="743" spans="1:17">
      <c r="A743">
        <v>45646202</v>
      </c>
      <c r="B743">
        <v>2023</v>
      </c>
      <c r="C743" t="s">
        <v>20</v>
      </c>
      <c r="D743" t="s">
        <v>40</v>
      </c>
      <c r="E743" t="s">
        <v>76</v>
      </c>
      <c r="F743" t="s">
        <v>124</v>
      </c>
      <c r="G743" t="s">
        <v>248</v>
      </c>
      <c r="H743" t="s">
        <v>285</v>
      </c>
      <c r="I743" t="s">
        <v>398</v>
      </c>
      <c r="K743" t="s">
        <v>466</v>
      </c>
      <c r="L743" t="s">
        <v>469</v>
      </c>
      <c r="M743" t="s">
        <v>471</v>
      </c>
      <c r="N743" t="s">
        <v>585</v>
      </c>
      <c r="O743" t="s">
        <v>857</v>
      </c>
      <c r="P743" s="1">
        <f>HYPERLINK("https://ec.europa.eu/info/funding-tenders/opportunities/portal/screen/opportunities/topic-details/horizon-cl5-2023-d2-01-02", "HORIZON-CL5-2023-D2-01-02")</f>
        <v>0</v>
      </c>
      <c r="Q743" t="s">
        <v>1698</v>
      </c>
    </row>
    <row r="744" spans="1:17">
      <c r="A744">
        <v>45641995</v>
      </c>
      <c r="B744">
        <v>2023</v>
      </c>
      <c r="C744" t="s">
        <v>20</v>
      </c>
      <c r="D744" t="s">
        <v>40</v>
      </c>
      <c r="E744" t="s">
        <v>76</v>
      </c>
      <c r="F744" t="s">
        <v>124</v>
      </c>
      <c r="G744" t="s">
        <v>248</v>
      </c>
      <c r="H744" t="s">
        <v>285</v>
      </c>
      <c r="I744" t="s">
        <v>398</v>
      </c>
      <c r="K744" t="s">
        <v>466</v>
      </c>
      <c r="L744" t="s">
        <v>469</v>
      </c>
      <c r="M744" t="s">
        <v>471</v>
      </c>
      <c r="N744" t="s">
        <v>585</v>
      </c>
      <c r="O744" t="s">
        <v>857</v>
      </c>
      <c r="P744" s="1">
        <f>HYPERLINK("https://ec.europa.eu/info/funding-tenders/opportunities/portal/screen/opportunities/topic-details/horizon-cl5-2023-d2-01-03", "HORIZON-CL5-2023-D2-01-03")</f>
        <v>0</v>
      </c>
      <c r="Q744" t="s">
        <v>1699</v>
      </c>
    </row>
    <row r="745" spans="1:17">
      <c r="A745">
        <v>45644833</v>
      </c>
      <c r="B745">
        <v>2023</v>
      </c>
      <c r="C745" t="s">
        <v>20</v>
      </c>
      <c r="D745" t="s">
        <v>40</v>
      </c>
      <c r="E745" t="s">
        <v>76</v>
      </c>
      <c r="F745" t="s">
        <v>124</v>
      </c>
      <c r="G745" t="s">
        <v>248</v>
      </c>
      <c r="H745" t="s">
        <v>285</v>
      </c>
      <c r="I745" t="s">
        <v>398</v>
      </c>
      <c r="K745" t="s">
        <v>466</v>
      </c>
      <c r="L745" t="s">
        <v>469</v>
      </c>
      <c r="M745" t="s">
        <v>473</v>
      </c>
      <c r="N745" t="s">
        <v>585</v>
      </c>
      <c r="O745" t="s">
        <v>857</v>
      </c>
      <c r="P745" s="1">
        <f>HYPERLINK("https://ec.europa.eu/info/funding-tenders/opportunities/portal/screen/opportunities/topic-details/horizon-cl5-2023-d2-01-04", "HORIZON-CL5-2023-D2-01-04")</f>
        <v>0</v>
      </c>
      <c r="Q745" t="s">
        <v>1700</v>
      </c>
    </row>
    <row r="746" spans="1:17">
      <c r="A746">
        <v>45646122</v>
      </c>
      <c r="B746">
        <v>2023</v>
      </c>
      <c r="C746" t="s">
        <v>20</v>
      </c>
      <c r="D746" t="s">
        <v>40</v>
      </c>
      <c r="E746" t="s">
        <v>76</v>
      </c>
      <c r="F746" t="s">
        <v>124</v>
      </c>
      <c r="G746" t="s">
        <v>248</v>
      </c>
      <c r="H746" t="s">
        <v>285</v>
      </c>
      <c r="I746" t="s">
        <v>398</v>
      </c>
      <c r="K746" t="s">
        <v>466</v>
      </c>
      <c r="L746" t="s">
        <v>469</v>
      </c>
      <c r="M746" t="s">
        <v>473</v>
      </c>
      <c r="N746" t="s">
        <v>585</v>
      </c>
      <c r="O746" t="s">
        <v>857</v>
      </c>
      <c r="P746" s="1">
        <f>HYPERLINK("https://ec.europa.eu/info/funding-tenders/opportunities/portal/screen/opportunities/topic-details/horizon-cl5-2023-d2-01-05", "HORIZON-CL5-2023-D2-01-05")</f>
        <v>0</v>
      </c>
      <c r="Q746" t="s">
        <v>1701</v>
      </c>
    </row>
    <row r="747" spans="1:17">
      <c r="A747">
        <v>45642572</v>
      </c>
      <c r="B747">
        <v>2023</v>
      </c>
      <c r="C747" t="s">
        <v>20</v>
      </c>
      <c r="D747" t="s">
        <v>40</v>
      </c>
      <c r="E747" t="s">
        <v>77</v>
      </c>
      <c r="F747" t="s">
        <v>124</v>
      </c>
      <c r="G747" t="s">
        <v>248</v>
      </c>
      <c r="H747" t="s">
        <v>285</v>
      </c>
      <c r="I747" t="s">
        <v>398</v>
      </c>
      <c r="K747" t="s">
        <v>466</v>
      </c>
      <c r="L747" t="s">
        <v>469</v>
      </c>
      <c r="M747" t="s">
        <v>473</v>
      </c>
      <c r="N747" t="s">
        <v>585</v>
      </c>
      <c r="O747" t="s">
        <v>857</v>
      </c>
      <c r="P747" s="1">
        <f>HYPERLINK("https://ec.europa.eu/info/funding-tenders/opportunities/portal/screen/opportunities/topic-details/horizon-cl5-2023-d2-01-06", "HORIZON-CL5-2023-D2-01-06")</f>
        <v>0</v>
      </c>
      <c r="Q747" t="s">
        <v>1702</v>
      </c>
    </row>
    <row r="748" spans="1:17">
      <c r="A748">
        <v>45648955</v>
      </c>
      <c r="B748">
        <v>2023</v>
      </c>
      <c r="C748" t="s">
        <v>20</v>
      </c>
      <c r="D748" t="s">
        <v>40</v>
      </c>
      <c r="E748" t="s">
        <v>77</v>
      </c>
      <c r="F748" t="s">
        <v>124</v>
      </c>
      <c r="G748" t="s">
        <v>248</v>
      </c>
      <c r="H748" t="s">
        <v>285</v>
      </c>
      <c r="I748" t="s">
        <v>398</v>
      </c>
      <c r="K748" t="s">
        <v>466</v>
      </c>
      <c r="L748" t="s">
        <v>469</v>
      </c>
      <c r="M748" t="s">
        <v>472</v>
      </c>
      <c r="N748" t="s">
        <v>585</v>
      </c>
      <c r="O748" t="s">
        <v>857</v>
      </c>
      <c r="P748" s="1">
        <f>HYPERLINK("https://ec.europa.eu/info/funding-tenders/opportunities/portal/screen/opportunities/topic-details/horizon-cl5-2023-d2-01-07", "HORIZON-CL5-2023-D2-01-07")</f>
        <v>0</v>
      </c>
      <c r="Q748" t="s">
        <v>1703</v>
      </c>
    </row>
    <row r="749" spans="1:17">
      <c r="A749">
        <v>45648556</v>
      </c>
      <c r="B749">
        <v>2023</v>
      </c>
      <c r="C749" t="s">
        <v>20</v>
      </c>
      <c r="D749" t="s">
        <v>40</v>
      </c>
      <c r="E749" t="s">
        <v>77</v>
      </c>
      <c r="F749" t="s">
        <v>124</v>
      </c>
      <c r="G749" t="s">
        <v>248</v>
      </c>
      <c r="H749" t="s">
        <v>285</v>
      </c>
      <c r="I749" t="s">
        <v>398</v>
      </c>
      <c r="K749" t="s">
        <v>466</v>
      </c>
      <c r="L749" t="s">
        <v>469</v>
      </c>
      <c r="M749" t="s">
        <v>476</v>
      </c>
      <c r="N749" t="s">
        <v>585</v>
      </c>
      <c r="O749" t="s">
        <v>857</v>
      </c>
      <c r="P749" s="1">
        <f>HYPERLINK("https://ec.europa.eu/info/funding-tenders/opportunities/portal/screen/opportunities/topic-details/horizon-cl5-2023-d2-01-08", "HORIZON-CL5-2023-D2-01-08")</f>
        <v>0</v>
      </c>
      <c r="Q749" t="s">
        <v>1704</v>
      </c>
    </row>
    <row r="750" spans="1:17">
      <c r="A750">
        <v>45646238</v>
      </c>
      <c r="B750">
        <v>2023</v>
      </c>
      <c r="C750" t="s">
        <v>20</v>
      </c>
      <c r="D750" t="s">
        <v>40</v>
      </c>
      <c r="E750" t="s">
        <v>76</v>
      </c>
      <c r="F750" t="s">
        <v>135</v>
      </c>
      <c r="G750" t="s">
        <v>248</v>
      </c>
      <c r="H750" t="s">
        <v>323</v>
      </c>
      <c r="I750" t="s">
        <v>314</v>
      </c>
      <c r="K750" t="s">
        <v>466</v>
      </c>
      <c r="L750" t="s">
        <v>469</v>
      </c>
      <c r="M750" t="s">
        <v>473</v>
      </c>
      <c r="N750" t="s">
        <v>586</v>
      </c>
      <c r="O750" t="s">
        <v>857</v>
      </c>
      <c r="P750" s="1">
        <f>HYPERLINK("https://ec.europa.eu/info/funding-tenders/opportunities/portal/screen/opportunities/topic-details/horizon-cl5-2023-d2-02-01", "HORIZON-CL5-2023-D2-02-01")</f>
        <v>0</v>
      </c>
      <c r="Q750" t="s">
        <v>1705</v>
      </c>
    </row>
    <row r="751" spans="1:17">
      <c r="A751">
        <v>45646275</v>
      </c>
      <c r="B751">
        <v>2023</v>
      </c>
      <c r="C751" t="s">
        <v>20</v>
      </c>
      <c r="D751" t="s">
        <v>40</v>
      </c>
      <c r="E751" t="s">
        <v>76</v>
      </c>
      <c r="F751" t="s">
        <v>135</v>
      </c>
      <c r="G751" t="s">
        <v>248</v>
      </c>
      <c r="H751" t="s">
        <v>323</v>
      </c>
      <c r="I751" t="s">
        <v>314</v>
      </c>
      <c r="K751" t="s">
        <v>466</v>
      </c>
      <c r="L751" t="s">
        <v>469</v>
      </c>
      <c r="M751" t="s">
        <v>471</v>
      </c>
      <c r="N751" t="s">
        <v>586</v>
      </c>
      <c r="O751" t="s">
        <v>857</v>
      </c>
      <c r="P751" s="1">
        <f>HYPERLINK("https://ec.europa.eu/info/funding-tenders/opportunities/portal/screen/opportunities/topic-details/horizon-cl5-2023-d2-02-02", "HORIZON-CL5-2023-D2-02-02")</f>
        <v>0</v>
      </c>
      <c r="Q751" t="s">
        <v>1706</v>
      </c>
    </row>
    <row r="752" spans="1:17">
      <c r="A752">
        <v>45646314</v>
      </c>
      <c r="B752">
        <v>2023</v>
      </c>
      <c r="C752" t="s">
        <v>20</v>
      </c>
      <c r="D752" t="s">
        <v>40</v>
      </c>
      <c r="E752" t="s">
        <v>76</v>
      </c>
      <c r="F752" t="s">
        <v>135</v>
      </c>
      <c r="G752" t="s">
        <v>248</v>
      </c>
      <c r="H752" t="s">
        <v>323</v>
      </c>
      <c r="I752" t="s">
        <v>314</v>
      </c>
      <c r="K752" t="s">
        <v>466</v>
      </c>
      <c r="L752" t="s">
        <v>469</v>
      </c>
      <c r="M752" t="s">
        <v>473</v>
      </c>
      <c r="N752" t="s">
        <v>586</v>
      </c>
      <c r="O752" t="s">
        <v>857</v>
      </c>
      <c r="P752" s="1">
        <f>HYPERLINK("https://ec.europa.eu/info/funding-tenders/opportunities/portal/screen/opportunities/topic-details/horizon-cl5-2023-d2-02-03", "HORIZON-CL5-2023-D2-02-03")</f>
        <v>0</v>
      </c>
      <c r="Q752" t="s">
        <v>1707</v>
      </c>
    </row>
    <row r="753" spans="1:17">
      <c r="A753">
        <v>45648347</v>
      </c>
      <c r="B753">
        <v>2023</v>
      </c>
      <c r="C753" t="s">
        <v>20</v>
      </c>
      <c r="D753" t="s">
        <v>40</v>
      </c>
      <c r="E753" t="s">
        <v>80</v>
      </c>
      <c r="F753" t="s">
        <v>125</v>
      </c>
      <c r="G753" t="s">
        <v>248</v>
      </c>
      <c r="H753" t="s">
        <v>285</v>
      </c>
      <c r="I753" t="s">
        <v>346</v>
      </c>
      <c r="K753" t="s">
        <v>466</v>
      </c>
      <c r="L753" t="s">
        <v>469</v>
      </c>
      <c r="M753" t="s">
        <v>473</v>
      </c>
      <c r="N753" t="s">
        <v>587</v>
      </c>
      <c r="O753" t="s">
        <v>858</v>
      </c>
      <c r="P753" s="1">
        <f>HYPERLINK("https://ec.europa.eu/info/funding-tenders/opportunities/portal/screen/opportunities/topic-details/horizon-cl5-2023-d3-01-01", "HORIZON-CL5-2023-D3-01-01")</f>
        <v>0</v>
      </c>
      <c r="Q753" t="s">
        <v>1708</v>
      </c>
    </row>
    <row r="754" spans="1:17">
      <c r="A754">
        <v>45646456</v>
      </c>
      <c r="B754">
        <v>2023</v>
      </c>
      <c r="C754" t="s">
        <v>20</v>
      </c>
      <c r="D754" t="s">
        <v>40</v>
      </c>
      <c r="E754" t="s">
        <v>80</v>
      </c>
      <c r="F754" t="s">
        <v>125</v>
      </c>
      <c r="G754" t="s">
        <v>248</v>
      </c>
      <c r="H754" t="s">
        <v>285</v>
      </c>
      <c r="I754" t="s">
        <v>346</v>
      </c>
      <c r="K754" t="s">
        <v>466</v>
      </c>
      <c r="L754" t="s">
        <v>469</v>
      </c>
      <c r="M754" t="s">
        <v>473</v>
      </c>
      <c r="N754" t="s">
        <v>587</v>
      </c>
      <c r="O754" t="s">
        <v>858</v>
      </c>
      <c r="P754" s="1">
        <f>HYPERLINK("https://ec.europa.eu/info/funding-tenders/opportunities/portal/screen/opportunities/topic-details/horizon-cl5-2023-d3-01-02", "HORIZON-CL5-2023-D3-01-02")</f>
        <v>0</v>
      </c>
      <c r="Q754" t="s">
        <v>1709</v>
      </c>
    </row>
    <row r="755" spans="1:17">
      <c r="A755">
        <v>45647705</v>
      </c>
      <c r="B755">
        <v>2023</v>
      </c>
      <c r="C755" t="s">
        <v>20</v>
      </c>
      <c r="D755" t="s">
        <v>40</v>
      </c>
      <c r="E755" t="s">
        <v>80</v>
      </c>
      <c r="F755" t="s">
        <v>125</v>
      </c>
      <c r="G755" t="s">
        <v>248</v>
      </c>
      <c r="H755" t="s">
        <v>285</v>
      </c>
      <c r="I755" t="s">
        <v>346</v>
      </c>
      <c r="K755" t="s">
        <v>466</v>
      </c>
      <c r="L755" t="s">
        <v>469</v>
      </c>
      <c r="M755" t="s">
        <v>473</v>
      </c>
      <c r="N755" t="s">
        <v>587</v>
      </c>
      <c r="O755" t="s">
        <v>858</v>
      </c>
      <c r="P755" s="1">
        <f>HYPERLINK("https://ec.europa.eu/info/funding-tenders/opportunities/portal/screen/opportunities/topic-details/horizon-cl5-2023-d3-01-03", "HORIZON-CL5-2023-D3-01-03")</f>
        <v>0</v>
      </c>
      <c r="Q755" t="s">
        <v>1710</v>
      </c>
    </row>
    <row r="756" spans="1:17">
      <c r="A756">
        <v>45645402</v>
      </c>
      <c r="B756">
        <v>2023</v>
      </c>
      <c r="C756" t="s">
        <v>20</v>
      </c>
      <c r="D756" t="s">
        <v>40</v>
      </c>
      <c r="E756" t="s">
        <v>80</v>
      </c>
      <c r="F756" t="s">
        <v>125</v>
      </c>
      <c r="G756" t="s">
        <v>248</v>
      </c>
      <c r="H756" t="s">
        <v>285</v>
      </c>
      <c r="I756" t="s">
        <v>346</v>
      </c>
      <c r="K756" t="s">
        <v>466</v>
      </c>
      <c r="L756" t="s">
        <v>469</v>
      </c>
      <c r="M756" t="s">
        <v>473</v>
      </c>
      <c r="N756" t="s">
        <v>587</v>
      </c>
      <c r="O756" t="s">
        <v>858</v>
      </c>
      <c r="P756" s="1">
        <f>HYPERLINK("https://ec.europa.eu/info/funding-tenders/opportunities/portal/screen/opportunities/topic-details/horizon-cl5-2023-d3-01-04", "HORIZON-CL5-2023-D3-01-04")</f>
        <v>0</v>
      </c>
      <c r="Q756" t="s">
        <v>1711</v>
      </c>
    </row>
    <row r="757" spans="1:17">
      <c r="A757">
        <v>45642032</v>
      </c>
      <c r="B757">
        <v>2023</v>
      </c>
      <c r="C757" t="s">
        <v>20</v>
      </c>
      <c r="D757" t="s">
        <v>40</v>
      </c>
      <c r="E757" t="s">
        <v>80</v>
      </c>
      <c r="F757" t="s">
        <v>125</v>
      </c>
      <c r="G757" t="s">
        <v>248</v>
      </c>
      <c r="H757" t="s">
        <v>285</v>
      </c>
      <c r="I757" t="s">
        <v>346</v>
      </c>
      <c r="K757" t="s">
        <v>466</v>
      </c>
      <c r="L757" t="s">
        <v>469</v>
      </c>
      <c r="M757" t="s">
        <v>471</v>
      </c>
      <c r="N757" t="s">
        <v>587</v>
      </c>
      <c r="O757" t="s">
        <v>858</v>
      </c>
      <c r="P757" s="1">
        <f>HYPERLINK("https://ec.europa.eu/info/funding-tenders/opportunities/portal/screen/opportunities/topic-details/horizon-cl5-2023-d3-01-05", "HORIZON-CL5-2023-D3-01-05")</f>
        <v>0</v>
      </c>
      <c r="Q757" t="s">
        <v>1712</v>
      </c>
    </row>
    <row r="758" spans="1:17">
      <c r="A758">
        <v>45644711</v>
      </c>
      <c r="B758">
        <v>2023</v>
      </c>
      <c r="C758" t="s">
        <v>20</v>
      </c>
      <c r="D758" t="s">
        <v>40</v>
      </c>
      <c r="E758" t="s">
        <v>80</v>
      </c>
      <c r="F758" t="s">
        <v>125</v>
      </c>
      <c r="G758" t="s">
        <v>248</v>
      </c>
      <c r="H758" t="s">
        <v>285</v>
      </c>
      <c r="I758" t="s">
        <v>346</v>
      </c>
      <c r="K758" t="s">
        <v>466</v>
      </c>
      <c r="L758" t="s">
        <v>469</v>
      </c>
      <c r="M758" t="s">
        <v>473</v>
      </c>
      <c r="N758" t="s">
        <v>587</v>
      </c>
      <c r="O758" t="s">
        <v>858</v>
      </c>
      <c r="P758" s="1">
        <f>HYPERLINK("https://ec.europa.eu/info/funding-tenders/opportunities/portal/screen/opportunities/topic-details/horizon-cl5-2023-d3-01-06", "HORIZON-CL5-2023-D3-01-06")</f>
        <v>0</v>
      </c>
      <c r="Q758" t="s">
        <v>1713</v>
      </c>
    </row>
    <row r="759" spans="1:17">
      <c r="A759">
        <v>45644750</v>
      </c>
      <c r="B759">
        <v>2023</v>
      </c>
      <c r="C759" t="s">
        <v>20</v>
      </c>
      <c r="D759" t="s">
        <v>40</v>
      </c>
      <c r="E759" t="s">
        <v>80</v>
      </c>
      <c r="F759" t="s">
        <v>125</v>
      </c>
      <c r="G759" t="s">
        <v>248</v>
      </c>
      <c r="H759" t="s">
        <v>285</v>
      </c>
      <c r="I759" t="s">
        <v>346</v>
      </c>
      <c r="K759" t="s">
        <v>466</v>
      </c>
      <c r="L759" t="s">
        <v>469</v>
      </c>
      <c r="M759" t="s">
        <v>473</v>
      </c>
      <c r="N759" t="s">
        <v>587</v>
      </c>
      <c r="O759" t="s">
        <v>858</v>
      </c>
      <c r="P759" s="1">
        <f>HYPERLINK("https://ec.europa.eu/info/funding-tenders/opportunities/portal/screen/opportunities/topic-details/horizon-cl5-2023-d3-01-07", "HORIZON-CL5-2023-D3-01-07")</f>
        <v>0</v>
      </c>
      <c r="Q759" t="s">
        <v>1714</v>
      </c>
    </row>
    <row r="760" spans="1:17">
      <c r="A760">
        <v>45646498</v>
      </c>
      <c r="B760">
        <v>2023</v>
      </c>
      <c r="C760" t="s">
        <v>20</v>
      </c>
      <c r="D760" t="s">
        <v>40</v>
      </c>
      <c r="E760" t="s">
        <v>80</v>
      </c>
      <c r="F760" t="s">
        <v>125</v>
      </c>
      <c r="G760" t="s">
        <v>248</v>
      </c>
      <c r="H760" t="s">
        <v>285</v>
      </c>
      <c r="I760" t="s">
        <v>346</v>
      </c>
      <c r="K760" t="s">
        <v>466</v>
      </c>
      <c r="L760" t="s">
        <v>469</v>
      </c>
      <c r="M760" t="s">
        <v>473</v>
      </c>
      <c r="N760" t="s">
        <v>587</v>
      </c>
      <c r="O760" t="s">
        <v>858</v>
      </c>
      <c r="P760" s="1">
        <f>HYPERLINK("https://ec.europa.eu/info/funding-tenders/opportunities/portal/screen/opportunities/topic-details/horizon-cl5-2023-d3-01-08", "HORIZON-CL5-2023-D3-01-08")</f>
        <v>0</v>
      </c>
      <c r="Q760" t="s">
        <v>1715</v>
      </c>
    </row>
    <row r="761" spans="1:17">
      <c r="A761">
        <v>45644632</v>
      </c>
      <c r="B761">
        <v>2023</v>
      </c>
      <c r="C761" t="s">
        <v>20</v>
      </c>
      <c r="D761" t="s">
        <v>40</v>
      </c>
      <c r="E761" t="s">
        <v>80</v>
      </c>
      <c r="F761" t="s">
        <v>125</v>
      </c>
      <c r="G761" t="s">
        <v>248</v>
      </c>
      <c r="H761" t="s">
        <v>285</v>
      </c>
      <c r="I761" t="s">
        <v>346</v>
      </c>
      <c r="K761" t="s">
        <v>466</v>
      </c>
      <c r="L761" t="s">
        <v>469</v>
      </c>
      <c r="M761" t="s">
        <v>473</v>
      </c>
      <c r="N761" t="s">
        <v>587</v>
      </c>
      <c r="O761" t="s">
        <v>858</v>
      </c>
      <c r="P761" s="1">
        <f>HYPERLINK("https://ec.europa.eu/info/funding-tenders/opportunities/portal/screen/opportunities/topic-details/horizon-cl5-2023-d3-01-09", "HORIZON-CL5-2023-D3-01-09")</f>
        <v>0</v>
      </c>
      <c r="Q761" t="s">
        <v>1716</v>
      </c>
    </row>
    <row r="762" spans="1:17">
      <c r="A762">
        <v>45646534</v>
      </c>
      <c r="B762">
        <v>2023</v>
      </c>
      <c r="C762" t="s">
        <v>20</v>
      </c>
      <c r="D762" t="s">
        <v>40</v>
      </c>
      <c r="E762" t="s">
        <v>79</v>
      </c>
      <c r="F762" t="s">
        <v>125</v>
      </c>
      <c r="G762" t="s">
        <v>248</v>
      </c>
      <c r="H762" t="s">
        <v>285</v>
      </c>
      <c r="I762" t="s">
        <v>346</v>
      </c>
      <c r="K762" t="s">
        <v>466</v>
      </c>
      <c r="L762" t="s">
        <v>469</v>
      </c>
      <c r="M762" t="s">
        <v>473</v>
      </c>
      <c r="N762" t="s">
        <v>587</v>
      </c>
      <c r="O762" t="s">
        <v>858</v>
      </c>
      <c r="P762" s="1">
        <f>HYPERLINK("https://ec.europa.eu/info/funding-tenders/opportunities/portal/screen/opportunities/topic-details/horizon-cl5-2023-d3-01-10", "HORIZON-CL5-2023-D3-01-10")</f>
        <v>0</v>
      </c>
      <c r="Q762" t="s">
        <v>1717</v>
      </c>
    </row>
    <row r="763" spans="1:17">
      <c r="A763">
        <v>45645890</v>
      </c>
      <c r="B763">
        <v>2023</v>
      </c>
      <c r="C763" t="s">
        <v>20</v>
      </c>
      <c r="D763" t="s">
        <v>40</v>
      </c>
      <c r="E763" t="s">
        <v>79</v>
      </c>
      <c r="F763" t="s">
        <v>125</v>
      </c>
      <c r="G763" t="s">
        <v>248</v>
      </c>
      <c r="H763" t="s">
        <v>285</v>
      </c>
      <c r="I763" t="s">
        <v>346</v>
      </c>
      <c r="K763" t="s">
        <v>466</v>
      </c>
      <c r="L763" t="s">
        <v>469</v>
      </c>
      <c r="M763" t="s">
        <v>473</v>
      </c>
      <c r="N763" t="s">
        <v>587</v>
      </c>
      <c r="O763" t="s">
        <v>858</v>
      </c>
      <c r="P763" s="1">
        <f>HYPERLINK("https://ec.europa.eu/info/funding-tenders/opportunities/portal/screen/opportunities/topic-details/horizon-cl5-2023-d3-01-11", "HORIZON-CL5-2023-D3-01-11")</f>
        <v>0</v>
      </c>
      <c r="Q763" t="s">
        <v>1718</v>
      </c>
    </row>
    <row r="764" spans="1:17">
      <c r="A764">
        <v>45646573</v>
      </c>
      <c r="B764">
        <v>2023</v>
      </c>
      <c r="C764" t="s">
        <v>20</v>
      </c>
      <c r="D764" t="s">
        <v>40</v>
      </c>
      <c r="E764" t="s">
        <v>79</v>
      </c>
      <c r="F764" t="s">
        <v>125</v>
      </c>
      <c r="G764" t="s">
        <v>248</v>
      </c>
      <c r="H764" t="s">
        <v>285</v>
      </c>
      <c r="I764" t="s">
        <v>346</v>
      </c>
      <c r="K764" t="s">
        <v>466</v>
      </c>
      <c r="L764" t="s">
        <v>469</v>
      </c>
      <c r="M764" t="s">
        <v>473</v>
      </c>
      <c r="N764" t="s">
        <v>587</v>
      </c>
      <c r="O764" t="s">
        <v>858</v>
      </c>
      <c r="P764" s="1">
        <f>HYPERLINK("https://ec.europa.eu/info/funding-tenders/opportunities/portal/screen/opportunities/topic-details/horizon-cl5-2023-d3-01-12", "HORIZON-CL5-2023-D3-01-12")</f>
        <v>0</v>
      </c>
      <c r="Q764" t="s">
        <v>1719</v>
      </c>
    </row>
    <row r="765" spans="1:17">
      <c r="A765">
        <v>45646609</v>
      </c>
      <c r="B765">
        <v>2023</v>
      </c>
      <c r="C765" t="s">
        <v>20</v>
      </c>
      <c r="D765" t="s">
        <v>40</v>
      </c>
      <c r="E765" t="s">
        <v>79</v>
      </c>
      <c r="F765" t="s">
        <v>125</v>
      </c>
      <c r="G765" t="s">
        <v>248</v>
      </c>
      <c r="H765" t="s">
        <v>285</v>
      </c>
      <c r="I765" t="s">
        <v>346</v>
      </c>
      <c r="K765" t="s">
        <v>466</v>
      </c>
      <c r="L765" t="s">
        <v>469</v>
      </c>
      <c r="M765" t="s">
        <v>471</v>
      </c>
      <c r="N765" t="s">
        <v>587</v>
      </c>
      <c r="O765" t="s">
        <v>858</v>
      </c>
      <c r="P765" s="1">
        <f>HYPERLINK("https://ec.europa.eu/info/funding-tenders/opportunities/portal/screen/opportunities/topic-details/horizon-cl5-2023-d3-01-13", "HORIZON-CL5-2023-D3-01-13")</f>
        <v>0</v>
      </c>
      <c r="Q765" t="s">
        <v>1720</v>
      </c>
    </row>
    <row r="766" spans="1:17">
      <c r="A766">
        <v>45645652</v>
      </c>
      <c r="B766">
        <v>2023</v>
      </c>
      <c r="C766" t="s">
        <v>20</v>
      </c>
      <c r="D766" t="s">
        <v>40</v>
      </c>
      <c r="E766" t="s">
        <v>79</v>
      </c>
      <c r="F766" t="s">
        <v>125</v>
      </c>
      <c r="G766" t="s">
        <v>248</v>
      </c>
      <c r="H766" t="s">
        <v>285</v>
      </c>
      <c r="I766" t="s">
        <v>346</v>
      </c>
      <c r="K766" t="s">
        <v>466</v>
      </c>
      <c r="L766" t="s">
        <v>469</v>
      </c>
      <c r="M766" t="s">
        <v>473</v>
      </c>
      <c r="N766" t="s">
        <v>587</v>
      </c>
      <c r="O766" t="s">
        <v>858</v>
      </c>
      <c r="P766" s="1">
        <f>HYPERLINK("https://ec.europa.eu/info/funding-tenders/opportunities/portal/screen/opportunities/topic-details/horizon-cl5-2023-d3-01-14", "HORIZON-CL5-2023-D3-01-14")</f>
        <v>0</v>
      </c>
      <c r="Q766" t="s">
        <v>1721</v>
      </c>
    </row>
    <row r="767" spans="1:17">
      <c r="A767">
        <v>45646643</v>
      </c>
      <c r="B767">
        <v>2023</v>
      </c>
      <c r="C767" t="s">
        <v>20</v>
      </c>
      <c r="D767" t="s">
        <v>40</v>
      </c>
      <c r="E767" t="s">
        <v>79</v>
      </c>
      <c r="F767" t="s">
        <v>125</v>
      </c>
      <c r="G767" t="s">
        <v>248</v>
      </c>
      <c r="H767" t="s">
        <v>285</v>
      </c>
      <c r="I767" t="s">
        <v>346</v>
      </c>
      <c r="K767" t="s">
        <v>466</v>
      </c>
      <c r="L767" t="s">
        <v>469</v>
      </c>
      <c r="M767" t="s">
        <v>473</v>
      </c>
      <c r="N767" t="s">
        <v>587</v>
      </c>
      <c r="O767" t="s">
        <v>858</v>
      </c>
      <c r="P767" s="1">
        <f>HYPERLINK("https://ec.europa.eu/info/funding-tenders/opportunities/portal/screen/opportunities/topic-details/horizon-cl5-2023-d3-01-15", "HORIZON-CL5-2023-D3-01-15")</f>
        <v>0</v>
      </c>
      <c r="Q767" t="s">
        <v>1722</v>
      </c>
    </row>
    <row r="768" spans="1:17">
      <c r="A768">
        <v>45642798</v>
      </c>
      <c r="B768">
        <v>2023</v>
      </c>
      <c r="C768" t="s">
        <v>20</v>
      </c>
      <c r="D768" t="s">
        <v>40</v>
      </c>
      <c r="E768" t="s">
        <v>79</v>
      </c>
      <c r="F768" t="s">
        <v>125</v>
      </c>
      <c r="G768" t="s">
        <v>248</v>
      </c>
      <c r="H768" t="s">
        <v>285</v>
      </c>
      <c r="I768" t="s">
        <v>346</v>
      </c>
      <c r="K768" t="s">
        <v>466</v>
      </c>
      <c r="L768" t="s">
        <v>469</v>
      </c>
      <c r="M768" t="s">
        <v>472</v>
      </c>
      <c r="N768" t="s">
        <v>587</v>
      </c>
      <c r="O768" t="s">
        <v>858</v>
      </c>
      <c r="P768" s="1">
        <f>HYPERLINK("https://ec.europa.eu/info/funding-tenders/opportunities/portal/screen/opportunities/topic-details/horizon-cl5-2023-d3-01-16", "HORIZON-CL5-2023-D3-01-16")</f>
        <v>0</v>
      </c>
      <c r="Q768" t="s">
        <v>1723</v>
      </c>
    </row>
    <row r="769" spans="1:17">
      <c r="A769">
        <v>45643880</v>
      </c>
      <c r="B769">
        <v>2023</v>
      </c>
      <c r="C769" t="s">
        <v>20</v>
      </c>
      <c r="D769" t="s">
        <v>40</v>
      </c>
      <c r="E769" t="s">
        <v>80</v>
      </c>
      <c r="F769" t="s">
        <v>125</v>
      </c>
      <c r="G769" t="s">
        <v>248</v>
      </c>
      <c r="H769" t="s">
        <v>285</v>
      </c>
      <c r="I769" t="s">
        <v>346</v>
      </c>
      <c r="K769" t="s">
        <v>466</v>
      </c>
      <c r="L769" t="s">
        <v>469</v>
      </c>
      <c r="M769" t="s">
        <v>473</v>
      </c>
      <c r="N769" t="s">
        <v>587</v>
      </c>
      <c r="O769" t="s">
        <v>858</v>
      </c>
      <c r="P769" s="1">
        <f>HYPERLINK("https://ec.europa.eu/info/funding-tenders/opportunities/portal/screen/opportunities/topic-details/horizon-cl5-2023-d3-01-17", "HORIZON-CL5-2023-D3-01-17")</f>
        <v>0</v>
      </c>
      <c r="Q769" t="s">
        <v>1724</v>
      </c>
    </row>
    <row r="770" spans="1:17">
      <c r="A770">
        <v>45648619</v>
      </c>
      <c r="B770">
        <v>2023</v>
      </c>
      <c r="C770" t="s">
        <v>20</v>
      </c>
      <c r="D770" t="s">
        <v>40</v>
      </c>
      <c r="E770" t="s">
        <v>77</v>
      </c>
      <c r="F770" t="s">
        <v>125</v>
      </c>
      <c r="G770" t="s">
        <v>248</v>
      </c>
      <c r="H770" t="s">
        <v>285</v>
      </c>
      <c r="I770" t="s">
        <v>346</v>
      </c>
      <c r="K770" t="s">
        <v>466</v>
      </c>
      <c r="L770" t="s">
        <v>469</v>
      </c>
      <c r="M770" t="s">
        <v>476</v>
      </c>
      <c r="N770" t="s">
        <v>587</v>
      </c>
      <c r="O770" t="s">
        <v>858</v>
      </c>
      <c r="P770" s="1">
        <f>HYPERLINK("https://ec.europa.eu/info/funding-tenders/opportunities/portal/screen/opportunities/topic-details/horizon-cl5-2023-d3-01-18", "HORIZON-CL5-2023-D3-01-18")</f>
        <v>0</v>
      </c>
      <c r="Q770" t="s">
        <v>1725</v>
      </c>
    </row>
    <row r="771" spans="1:17">
      <c r="A771">
        <v>45642425</v>
      </c>
      <c r="B771">
        <v>2023</v>
      </c>
      <c r="C771" t="s">
        <v>20</v>
      </c>
      <c r="D771" t="s">
        <v>40</v>
      </c>
      <c r="E771" t="s">
        <v>80</v>
      </c>
      <c r="F771" t="s">
        <v>126</v>
      </c>
      <c r="G771" t="s">
        <v>248</v>
      </c>
      <c r="H771" t="s">
        <v>323</v>
      </c>
      <c r="I771" t="s">
        <v>399</v>
      </c>
      <c r="K771" t="s">
        <v>466</v>
      </c>
      <c r="L771" t="s">
        <v>469</v>
      </c>
      <c r="M771" t="s">
        <v>471</v>
      </c>
      <c r="N771" t="s">
        <v>588</v>
      </c>
      <c r="O771" t="s">
        <v>858</v>
      </c>
      <c r="P771" s="1">
        <f>HYPERLINK("https://ec.europa.eu/info/funding-tenders/opportunities/portal/screen/opportunities/topic-details/horizon-cl5-2023-d3-02-01", "HORIZON-CL5-2023-D3-02-01")</f>
        <v>0</v>
      </c>
      <c r="Q771" t="s">
        <v>1726</v>
      </c>
    </row>
    <row r="772" spans="1:17">
      <c r="A772">
        <v>45642215</v>
      </c>
      <c r="B772">
        <v>2023</v>
      </c>
      <c r="C772" t="s">
        <v>20</v>
      </c>
      <c r="D772" t="s">
        <v>40</v>
      </c>
      <c r="E772" t="s">
        <v>80</v>
      </c>
      <c r="F772" t="s">
        <v>126</v>
      </c>
      <c r="G772" t="s">
        <v>248</v>
      </c>
      <c r="H772" t="s">
        <v>323</v>
      </c>
      <c r="I772" t="s">
        <v>399</v>
      </c>
      <c r="K772" t="s">
        <v>466</v>
      </c>
      <c r="L772" t="s">
        <v>469</v>
      </c>
      <c r="M772" t="s">
        <v>471</v>
      </c>
      <c r="N772" t="s">
        <v>588</v>
      </c>
      <c r="O772" t="s">
        <v>858</v>
      </c>
      <c r="P772" s="1">
        <f>HYPERLINK("https://ec.europa.eu/info/funding-tenders/opportunities/portal/screen/opportunities/topic-details/horizon-cl5-2023-d3-02-02", "HORIZON-CL5-2023-D3-02-02")</f>
        <v>0</v>
      </c>
      <c r="Q772" t="s">
        <v>1727</v>
      </c>
    </row>
    <row r="773" spans="1:17">
      <c r="A773">
        <v>45642461</v>
      </c>
      <c r="B773">
        <v>2023</v>
      </c>
      <c r="C773" t="s">
        <v>20</v>
      </c>
      <c r="D773" t="s">
        <v>40</v>
      </c>
      <c r="E773" t="s">
        <v>80</v>
      </c>
      <c r="F773" t="s">
        <v>126</v>
      </c>
      <c r="G773" t="s">
        <v>248</v>
      </c>
      <c r="H773" t="s">
        <v>323</v>
      </c>
      <c r="I773" t="s">
        <v>399</v>
      </c>
      <c r="K773" t="s">
        <v>466</v>
      </c>
      <c r="L773" t="s">
        <v>469</v>
      </c>
      <c r="M773" t="s">
        <v>473</v>
      </c>
      <c r="N773" t="s">
        <v>588</v>
      </c>
      <c r="O773" t="s">
        <v>858</v>
      </c>
      <c r="P773" s="1">
        <f>HYPERLINK("https://ec.europa.eu/info/funding-tenders/opportunities/portal/screen/opportunities/topic-details/horizon-cl5-2023-d3-02-03", "HORIZON-CL5-2023-D3-02-03")</f>
        <v>0</v>
      </c>
      <c r="Q773" t="s">
        <v>1728</v>
      </c>
    </row>
    <row r="774" spans="1:17">
      <c r="A774">
        <v>45643919</v>
      </c>
      <c r="B774">
        <v>2023</v>
      </c>
      <c r="C774" t="s">
        <v>20</v>
      </c>
      <c r="D774" t="s">
        <v>40</v>
      </c>
      <c r="E774" t="s">
        <v>80</v>
      </c>
      <c r="F774" t="s">
        <v>126</v>
      </c>
      <c r="G774" t="s">
        <v>248</v>
      </c>
      <c r="H774" t="s">
        <v>323</v>
      </c>
      <c r="I774" t="s">
        <v>399</v>
      </c>
      <c r="K774" t="s">
        <v>466</v>
      </c>
      <c r="L774" t="s">
        <v>469</v>
      </c>
      <c r="M774" t="s">
        <v>471</v>
      </c>
      <c r="N774" t="s">
        <v>588</v>
      </c>
      <c r="O774" t="s">
        <v>858</v>
      </c>
      <c r="P774" s="1">
        <f>HYPERLINK("https://ec.europa.eu/info/funding-tenders/opportunities/portal/screen/opportunities/topic-details/horizon-cl5-2023-d3-02-04", "HORIZON-CL5-2023-D3-02-04")</f>
        <v>0</v>
      </c>
      <c r="Q774" t="s">
        <v>1729</v>
      </c>
    </row>
    <row r="775" spans="1:17">
      <c r="A775">
        <v>45646687</v>
      </c>
      <c r="B775">
        <v>2023</v>
      </c>
      <c r="C775" t="s">
        <v>20</v>
      </c>
      <c r="D775" t="s">
        <v>40</v>
      </c>
      <c r="E775" t="s">
        <v>80</v>
      </c>
      <c r="F775" t="s">
        <v>126</v>
      </c>
      <c r="G775" t="s">
        <v>248</v>
      </c>
      <c r="H775" t="s">
        <v>323</v>
      </c>
      <c r="I775" t="s">
        <v>399</v>
      </c>
      <c r="K775" t="s">
        <v>466</v>
      </c>
      <c r="L775" t="s">
        <v>469</v>
      </c>
      <c r="M775" t="s">
        <v>471</v>
      </c>
      <c r="N775" t="s">
        <v>588</v>
      </c>
      <c r="O775" t="s">
        <v>858</v>
      </c>
      <c r="P775" s="1">
        <f>HYPERLINK("https://ec.europa.eu/info/funding-tenders/opportunities/portal/screen/opportunities/topic-details/horizon-cl5-2023-d3-02-05", "HORIZON-CL5-2023-D3-02-05")</f>
        <v>0</v>
      </c>
      <c r="Q775" t="s">
        <v>1730</v>
      </c>
    </row>
    <row r="776" spans="1:17">
      <c r="A776">
        <v>45644103</v>
      </c>
      <c r="B776">
        <v>2023</v>
      </c>
      <c r="C776" t="s">
        <v>20</v>
      </c>
      <c r="D776" t="s">
        <v>40</v>
      </c>
      <c r="E776" t="s">
        <v>80</v>
      </c>
      <c r="F776" t="s">
        <v>126</v>
      </c>
      <c r="G776" t="s">
        <v>248</v>
      </c>
      <c r="H776" t="s">
        <v>323</v>
      </c>
      <c r="I776" t="s">
        <v>399</v>
      </c>
      <c r="K776" t="s">
        <v>466</v>
      </c>
      <c r="L776" t="s">
        <v>469</v>
      </c>
      <c r="M776" t="s">
        <v>473</v>
      </c>
      <c r="N776" t="s">
        <v>588</v>
      </c>
      <c r="O776" t="s">
        <v>858</v>
      </c>
      <c r="P776" s="1">
        <f>HYPERLINK("https://ec.europa.eu/info/funding-tenders/opportunities/portal/screen/opportunities/topic-details/horizon-cl5-2023-d3-02-06", "HORIZON-CL5-2023-D3-02-06")</f>
        <v>0</v>
      </c>
      <c r="Q776" t="s">
        <v>1731</v>
      </c>
    </row>
    <row r="777" spans="1:17">
      <c r="A777">
        <v>45642871</v>
      </c>
      <c r="B777">
        <v>2023</v>
      </c>
      <c r="C777" t="s">
        <v>20</v>
      </c>
      <c r="D777" t="s">
        <v>40</v>
      </c>
      <c r="E777" t="s">
        <v>80</v>
      </c>
      <c r="F777" t="s">
        <v>126</v>
      </c>
      <c r="G777" t="s">
        <v>248</v>
      </c>
      <c r="H777" t="s">
        <v>323</v>
      </c>
      <c r="I777" t="s">
        <v>399</v>
      </c>
      <c r="K777" t="s">
        <v>466</v>
      </c>
      <c r="L777" t="s">
        <v>469</v>
      </c>
      <c r="M777" t="s">
        <v>471</v>
      </c>
      <c r="N777" t="s">
        <v>588</v>
      </c>
      <c r="O777" t="s">
        <v>858</v>
      </c>
      <c r="P777" s="1">
        <f>HYPERLINK("https://ec.europa.eu/info/funding-tenders/opportunities/portal/screen/opportunities/topic-details/horizon-cl5-2023-d3-02-07", "HORIZON-CL5-2023-D3-02-07")</f>
        <v>0</v>
      </c>
      <c r="Q777" t="s">
        <v>1732</v>
      </c>
    </row>
    <row r="778" spans="1:17">
      <c r="A778">
        <v>45642179</v>
      </c>
      <c r="B778">
        <v>2023</v>
      </c>
      <c r="C778" t="s">
        <v>20</v>
      </c>
      <c r="D778" t="s">
        <v>40</v>
      </c>
      <c r="E778" t="s">
        <v>80</v>
      </c>
      <c r="F778" t="s">
        <v>126</v>
      </c>
      <c r="G778" t="s">
        <v>248</v>
      </c>
      <c r="H778" t="s">
        <v>323</v>
      </c>
      <c r="I778" t="s">
        <v>399</v>
      </c>
      <c r="K778" t="s">
        <v>466</v>
      </c>
      <c r="L778" t="s">
        <v>469</v>
      </c>
      <c r="M778" t="s">
        <v>471</v>
      </c>
      <c r="N778" t="s">
        <v>588</v>
      </c>
      <c r="O778" t="s">
        <v>858</v>
      </c>
      <c r="P778" s="1">
        <f>HYPERLINK("https://ec.europa.eu/info/funding-tenders/opportunities/portal/screen/opportunities/topic-details/horizon-cl5-2023-d3-02-08", "HORIZON-CL5-2023-D3-02-08")</f>
        <v>0</v>
      </c>
      <c r="Q778" t="s">
        <v>1733</v>
      </c>
    </row>
    <row r="779" spans="1:17">
      <c r="A779">
        <v>45643950</v>
      </c>
      <c r="B779">
        <v>2023</v>
      </c>
      <c r="C779" t="s">
        <v>20</v>
      </c>
      <c r="D779" t="s">
        <v>40</v>
      </c>
      <c r="E779" t="s">
        <v>80</v>
      </c>
      <c r="F779" t="s">
        <v>126</v>
      </c>
      <c r="G779" t="s">
        <v>248</v>
      </c>
      <c r="H779" t="s">
        <v>323</v>
      </c>
      <c r="I779" t="s">
        <v>399</v>
      </c>
      <c r="K779" t="s">
        <v>466</v>
      </c>
      <c r="L779" t="s">
        <v>469</v>
      </c>
      <c r="M779" t="s">
        <v>473</v>
      </c>
      <c r="N779" t="s">
        <v>588</v>
      </c>
      <c r="O779" t="s">
        <v>858</v>
      </c>
      <c r="P779" s="1">
        <f>HYPERLINK("https://ec.europa.eu/info/funding-tenders/opportunities/portal/screen/opportunities/topic-details/horizon-cl5-2023-d3-02-09", "HORIZON-CL5-2023-D3-02-09")</f>
        <v>0</v>
      </c>
      <c r="Q779" t="s">
        <v>1734</v>
      </c>
    </row>
    <row r="780" spans="1:17">
      <c r="A780">
        <v>45643985</v>
      </c>
      <c r="B780">
        <v>2023</v>
      </c>
      <c r="C780" t="s">
        <v>20</v>
      </c>
      <c r="D780" t="s">
        <v>40</v>
      </c>
      <c r="E780" t="s">
        <v>80</v>
      </c>
      <c r="F780" t="s">
        <v>126</v>
      </c>
      <c r="G780" t="s">
        <v>248</v>
      </c>
      <c r="H780" t="s">
        <v>323</v>
      </c>
      <c r="I780" t="s">
        <v>399</v>
      </c>
      <c r="K780" t="s">
        <v>466</v>
      </c>
      <c r="L780" t="s">
        <v>469</v>
      </c>
      <c r="M780" t="s">
        <v>471</v>
      </c>
      <c r="N780" t="s">
        <v>588</v>
      </c>
      <c r="O780" t="s">
        <v>858</v>
      </c>
      <c r="P780" s="1">
        <f>HYPERLINK("https://ec.europa.eu/info/funding-tenders/opportunities/portal/screen/opportunities/topic-details/horizon-cl5-2023-d3-02-10", "HORIZON-CL5-2023-D3-02-10")</f>
        <v>0</v>
      </c>
      <c r="Q780" t="s">
        <v>1735</v>
      </c>
    </row>
    <row r="781" spans="1:17">
      <c r="A781">
        <v>45646721</v>
      </c>
      <c r="B781">
        <v>2023</v>
      </c>
      <c r="C781" t="s">
        <v>20</v>
      </c>
      <c r="D781" t="s">
        <v>40</v>
      </c>
      <c r="E781" t="s">
        <v>80</v>
      </c>
      <c r="F781" t="s">
        <v>126</v>
      </c>
      <c r="G781" t="s">
        <v>248</v>
      </c>
      <c r="H781" t="s">
        <v>323</v>
      </c>
      <c r="I781" t="s">
        <v>399</v>
      </c>
      <c r="K781" t="s">
        <v>466</v>
      </c>
      <c r="L781" t="s">
        <v>469</v>
      </c>
      <c r="M781" t="s">
        <v>471</v>
      </c>
      <c r="N781" t="s">
        <v>588</v>
      </c>
      <c r="O781" t="s">
        <v>858</v>
      </c>
      <c r="P781" s="1">
        <f>HYPERLINK("https://ec.europa.eu/info/funding-tenders/opportunities/portal/screen/opportunities/topic-details/horizon-cl5-2023-d3-02-11", "HORIZON-CL5-2023-D3-02-11")</f>
        <v>0</v>
      </c>
      <c r="Q781" t="s">
        <v>1736</v>
      </c>
    </row>
    <row r="782" spans="1:17">
      <c r="A782">
        <v>45646756</v>
      </c>
      <c r="B782">
        <v>2023</v>
      </c>
      <c r="C782" t="s">
        <v>20</v>
      </c>
      <c r="D782" t="s">
        <v>40</v>
      </c>
      <c r="E782" t="s">
        <v>80</v>
      </c>
      <c r="F782" t="s">
        <v>126</v>
      </c>
      <c r="G782" t="s">
        <v>248</v>
      </c>
      <c r="H782" t="s">
        <v>323</v>
      </c>
      <c r="I782" t="s">
        <v>399</v>
      </c>
      <c r="K782" t="s">
        <v>466</v>
      </c>
      <c r="L782" t="s">
        <v>469</v>
      </c>
      <c r="M782" t="s">
        <v>473</v>
      </c>
      <c r="N782" t="s">
        <v>588</v>
      </c>
      <c r="O782" t="s">
        <v>858</v>
      </c>
      <c r="P782" s="1">
        <f>HYPERLINK("https://ec.europa.eu/info/funding-tenders/opportunities/portal/screen/opportunities/topic-details/horizon-cl5-2023-d3-02-12", "HORIZON-CL5-2023-D3-02-12")</f>
        <v>0</v>
      </c>
      <c r="Q782" t="s">
        <v>1737</v>
      </c>
    </row>
    <row r="783" spans="1:17">
      <c r="A783">
        <v>45646794</v>
      </c>
      <c r="B783">
        <v>2023</v>
      </c>
      <c r="C783" t="s">
        <v>20</v>
      </c>
      <c r="D783" t="s">
        <v>40</v>
      </c>
      <c r="E783" t="s">
        <v>80</v>
      </c>
      <c r="F783" t="s">
        <v>126</v>
      </c>
      <c r="G783" t="s">
        <v>248</v>
      </c>
      <c r="H783" t="s">
        <v>323</v>
      </c>
      <c r="I783" t="s">
        <v>399</v>
      </c>
      <c r="K783" t="s">
        <v>466</v>
      </c>
      <c r="L783" t="s">
        <v>469</v>
      </c>
      <c r="M783" t="s">
        <v>473</v>
      </c>
      <c r="N783" t="s">
        <v>588</v>
      </c>
      <c r="O783" t="s">
        <v>858</v>
      </c>
      <c r="P783" s="1">
        <f>HYPERLINK("https://ec.europa.eu/info/funding-tenders/opportunities/portal/screen/opportunities/topic-details/horizon-cl5-2023-d3-02-13", "HORIZON-CL5-2023-D3-02-13")</f>
        <v>0</v>
      </c>
      <c r="Q783" t="s">
        <v>1738</v>
      </c>
    </row>
    <row r="784" spans="1:17">
      <c r="A784">
        <v>45646833</v>
      </c>
      <c r="B784">
        <v>2023</v>
      </c>
      <c r="C784" t="s">
        <v>20</v>
      </c>
      <c r="D784" t="s">
        <v>40</v>
      </c>
      <c r="E784" t="s">
        <v>80</v>
      </c>
      <c r="F784" t="s">
        <v>126</v>
      </c>
      <c r="G784" t="s">
        <v>248</v>
      </c>
      <c r="H784" t="s">
        <v>323</v>
      </c>
      <c r="I784" t="s">
        <v>399</v>
      </c>
      <c r="K784" t="s">
        <v>466</v>
      </c>
      <c r="L784" t="s">
        <v>469</v>
      </c>
      <c r="M784" t="s">
        <v>471</v>
      </c>
      <c r="N784" t="s">
        <v>588</v>
      </c>
      <c r="O784" t="s">
        <v>858</v>
      </c>
      <c r="P784" s="1">
        <f>HYPERLINK("https://ec.europa.eu/info/funding-tenders/opportunities/portal/screen/opportunities/topic-details/horizon-cl5-2023-d3-02-14", "HORIZON-CL5-2023-D3-02-14")</f>
        <v>0</v>
      </c>
      <c r="Q784" t="s">
        <v>1739</v>
      </c>
    </row>
    <row r="785" spans="1:17">
      <c r="A785">
        <v>45644142</v>
      </c>
      <c r="B785">
        <v>2023</v>
      </c>
      <c r="C785" t="s">
        <v>20</v>
      </c>
      <c r="D785" t="s">
        <v>40</v>
      </c>
      <c r="E785" t="s">
        <v>80</v>
      </c>
      <c r="F785" t="s">
        <v>126</v>
      </c>
      <c r="G785" t="s">
        <v>248</v>
      </c>
      <c r="H785" t="s">
        <v>323</v>
      </c>
      <c r="I785" t="s">
        <v>399</v>
      </c>
      <c r="K785" t="s">
        <v>466</v>
      </c>
      <c r="L785" t="s">
        <v>469</v>
      </c>
      <c r="M785" t="s">
        <v>471</v>
      </c>
      <c r="N785" t="s">
        <v>588</v>
      </c>
      <c r="O785" t="s">
        <v>858</v>
      </c>
      <c r="P785" s="1">
        <f>HYPERLINK("https://ec.europa.eu/info/funding-tenders/opportunities/portal/screen/opportunities/topic-details/horizon-cl5-2023-d3-02-15", "HORIZON-CL5-2023-D3-02-15")</f>
        <v>0</v>
      </c>
      <c r="Q785" t="s">
        <v>1740</v>
      </c>
    </row>
    <row r="786" spans="1:17">
      <c r="A786">
        <v>45643833</v>
      </c>
      <c r="B786">
        <v>2023</v>
      </c>
      <c r="C786" t="s">
        <v>20</v>
      </c>
      <c r="D786" t="s">
        <v>40</v>
      </c>
      <c r="E786" t="s">
        <v>80</v>
      </c>
      <c r="F786" t="s">
        <v>126</v>
      </c>
      <c r="G786" t="s">
        <v>248</v>
      </c>
      <c r="H786" t="s">
        <v>323</v>
      </c>
      <c r="I786" t="s">
        <v>399</v>
      </c>
      <c r="K786" t="s">
        <v>466</v>
      </c>
      <c r="L786" t="s">
        <v>469</v>
      </c>
      <c r="M786" t="s">
        <v>473</v>
      </c>
      <c r="N786" t="s">
        <v>588</v>
      </c>
      <c r="O786" t="s">
        <v>858</v>
      </c>
      <c r="P786" s="1">
        <f>HYPERLINK("https://ec.europa.eu/info/funding-tenders/opportunities/portal/screen/opportunities/topic-details/horizon-cl5-2023-d3-02-16", "HORIZON-CL5-2023-D3-02-16")</f>
        <v>0</v>
      </c>
      <c r="Q786" t="s">
        <v>1741</v>
      </c>
    </row>
    <row r="787" spans="1:17">
      <c r="A787">
        <v>45644951</v>
      </c>
      <c r="B787">
        <v>2023</v>
      </c>
      <c r="C787" t="s">
        <v>20</v>
      </c>
      <c r="D787" t="s">
        <v>40</v>
      </c>
      <c r="E787" t="s">
        <v>79</v>
      </c>
      <c r="F787" t="s">
        <v>127</v>
      </c>
      <c r="G787" t="s">
        <v>248</v>
      </c>
      <c r="H787" t="s">
        <v>323</v>
      </c>
      <c r="I787" t="s">
        <v>400</v>
      </c>
      <c r="K787" t="s">
        <v>466</v>
      </c>
      <c r="L787" t="s">
        <v>469</v>
      </c>
      <c r="M787" t="s">
        <v>471</v>
      </c>
      <c r="N787" t="s">
        <v>589</v>
      </c>
      <c r="O787" t="s">
        <v>858</v>
      </c>
      <c r="P787" s="1">
        <f>HYPERLINK("https://ec.europa.eu/info/funding-tenders/opportunities/portal/screen/opportunities/topic-details/horizon-cl5-2023-d3-03-01", "HORIZON-CL5-2023-D3-03-01")</f>
        <v>0</v>
      </c>
      <c r="Q787" t="s">
        <v>1742</v>
      </c>
    </row>
    <row r="788" spans="1:17">
      <c r="A788">
        <v>45646034</v>
      </c>
      <c r="B788">
        <v>2023</v>
      </c>
      <c r="C788" t="s">
        <v>20</v>
      </c>
      <c r="D788" t="s">
        <v>40</v>
      </c>
      <c r="E788" t="s">
        <v>79</v>
      </c>
      <c r="F788" t="s">
        <v>127</v>
      </c>
      <c r="G788" t="s">
        <v>248</v>
      </c>
      <c r="H788" t="s">
        <v>323</v>
      </c>
      <c r="I788" t="s">
        <v>400</v>
      </c>
      <c r="K788" t="s">
        <v>466</v>
      </c>
      <c r="L788" t="s">
        <v>469</v>
      </c>
      <c r="M788" t="s">
        <v>473</v>
      </c>
      <c r="N788" t="s">
        <v>589</v>
      </c>
      <c r="O788" t="s">
        <v>858</v>
      </c>
      <c r="P788" s="1">
        <f>HYPERLINK("https://ec.europa.eu/info/funding-tenders/opportunities/portal/screen/opportunities/topic-details/horizon-cl5-2023-d3-03-02", "HORIZON-CL5-2023-D3-03-02")</f>
        <v>0</v>
      </c>
      <c r="Q788" t="s">
        <v>1743</v>
      </c>
    </row>
    <row r="789" spans="1:17">
      <c r="A789">
        <v>45646869</v>
      </c>
      <c r="B789">
        <v>2023</v>
      </c>
      <c r="C789" t="s">
        <v>20</v>
      </c>
      <c r="D789" t="s">
        <v>40</v>
      </c>
      <c r="E789" t="s">
        <v>79</v>
      </c>
      <c r="F789" t="s">
        <v>127</v>
      </c>
      <c r="G789" t="s">
        <v>248</v>
      </c>
      <c r="H789" t="s">
        <v>323</v>
      </c>
      <c r="I789" t="s">
        <v>400</v>
      </c>
      <c r="K789" t="s">
        <v>466</v>
      </c>
      <c r="L789" t="s">
        <v>469</v>
      </c>
      <c r="M789" t="s">
        <v>473</v>
      </c>
      <c r="N789" t="s">
        <v>589</v>
      </c>
      <c r="O789" t="s">
        <v>858</v>
      </c>
      <c r="P789" s="1">
        <f>HYPERLINK("https://ec.europa.eu/info/funding-tenders/opportunities/portal/screen/opportunities/topic-details/horizon-cl5-2023-d3-03-03", "HORIZON-CL5-2023-D3-03-03")</f>
        <v>0</v>
      </c>
      <c r="Q789" t="s">
        <v>1744</v>
      </c>
    </row>
    <row r="790" spans="1:17">
      <c r="A790">
        <v>45648451</v>
      </c>
      <c r="B790">
        <v>2023</v>
      </c>
      <c r="C790" t="s">
        <v>20</v>
      </c>
      <c r="D790" t="s">
        <v>40</v>
      </c>
      <c r="E790" t="s">
        <v>79</v>
      </c>
      <c r="F790" t="s">
        <v>127</v>
      </c>
      <c r="G790" t="s">
        <v>248</v>
      </c>
      <c r="H790" t="s">
        <v>323</v>
      </c>
      <c r="I790" t="s">
        <v>400</v>
      </c>
      <c r="K790" t="s">
        <v>466</v>
      </c>
      <c r="L790" t="s">
        <v>469</v>
      </c>
      <c r="M790" t="s">
        <v>473</v>
      </c>
      <c r="N790" t="s">
        <v>589</v>
      </c>
      <c r="O790" t="s">
        <v>858</v>
      </c>
      <c r="P790" s="1">
        <f>HYPERLINK("https://ec.europa.eu/info/funding-tenders/opportunities/portal/screen/opportunities/topic-details/horizon-cl5-2023-d3-03-04", "HORIZON-CL5-2023-D3-03-04")</f>
        <v>0</v>
      </c>
      <c r="Q790" t="s">
        <v>1745</v>
      </c>
    </row>
    <row r="791" spans="1:17">
      <c r="A791">
        <v>45646906</v>
      </c>
      <c r="B791">
        <v>2023</v>
      </c>
      <c r="C791" t="s">
        <v>20</v>
      </c>
      <c r="D791" t="s">
        <v>40</v>
      </c>
      <c r="E791" t="s">
        <v>79</v>
      </c>
      <c r="F791" t="s">
        <v>127</v>
      </c>
      <c r="G791" t="s">
        <v>248</v>
      </c>
      <c r="H791" t="s">
        <v>323</v>
      </c>
      <c r="I791" t="s">
        <v>400</v>
      </c>
      <c r="K791" t="s">
        <v>466</v>
      </c>
      <c r="L791" t="s">
        <v>469</v>
      </c>
      <c r="M791" t="s">
        <v>473</v>
      </c>
      <c r="N791" t="s">
        <v>589</v>
      </c>
      <c r="O791" t="s">
        <v>858</v>
      </c>
      <c r="P791" s="1">
        <f>HYPERLINK("https://ec.europa.eu/info/funding-tenders/opportunities/portal/screen/opportunities/topic-details/horizon-cl5-2023-d3-03-05", "HORIZON-CL5-2023-D3-03-05")</f>
        <v>0</v>
      </c>
      <c r="Q791" t="s">
        <v>1746</v>
      </c>
    </row>
    <row r="792" spans="1:17">
      <c r="A792">
        <v>45644985</v>
      </c>
      <c r="B792">
        <v>2023</v>
      </c>
      <c r="C792" t="s">
        <v>20</v>
      </c>
      <c r="D792" t="s">
        <v>40</v>
      </c>
      <c r="E792" t="s">
        <v>79</v>
      </c>
      <c r="F792" t="s">
        <v>127</v>
      </c>
      <c r="G792" t="s">
        <v>248</v>
      </c>
      <c r="H792" t="s">
        <v>323</v>
      </c>
      <c r="I792" t="s">
        <v>400</v>
      </c>
      <c r="K792" t="s">
        <v>466</v>
      </c>
      <c r="L792" t="s">
        <v>469</v>
      </c>
      <c r="M792" t="s">
        <v>473</v>
      </c>
      <c r="N792" t="s">
        <v>589</v>
      </c>
      <c r="O792" t="s">
        <v>858</v>
      </c>
      <c r="P792" s="1">
        <f>HYPERLINK("https://ec.europa.eu/info/funding-tenders/opportunities/portal/screen/opportunities/topic-details/horizon-cl5-2023-d3-03-06", "HORIZON-CL5-2023-D3-03-06")</f>
        <v>0</v>
      </c>
      <c r="Q792" t="s">
        <v>1747</v>
      </c>
    </row>
    <row r="793" spans="1:17">
      <c r="A793">
        <v>45948243</v>
      </c>
      <c r="B793">
        <v>2023</v>
      </c>
      <c r="C793" t="s">
        <v>20</v>
      </c>
      <c r="D793" t="s">
        <v>40</v>
      </c>
      <c r="E793" t="s">
        <v>80</v>
      </c>
      <c r="F793" t="s">
        <v>127</v>
      </c>
      <c r="G793" t="s">
        <v>248</v>
      </c>
      <c r="H793" t="s">
        <v>323</v>
      </c>
      <c r="I793" t="s">
        <v>400</v>
      </c>
      <c r="K793" t="s">
        <v>466</v>
      </c>
      <c r="L793" t="s">
        <v>469</v>
      </c>
      <c r="M793" t="s">
        <v>471</v>
      </c>
      <c r="N793" t="s">
        <v>589</v>
      </c>
      <c r="O793" t="s">
        <v>858</v>
      </c>
      <c r="P793" s="1">
        <f>HYPERLINK("https://ec.europa.eu/info/funding-tenders/opportunities/portal/screen/opportunities/topic-details/horizon-cl5-2023-d3-03-07", "HORIZON-CL5-2023-D3-03-07")</f>
        <v>0</v>
      </c>
      <c r="Q793" t="s">
        <v>1627</v>
      </c>
    </row>
    <row r="794" spans="1:17">
      <c r="A794">
        <v>45948233</v>
      </c>
      <c r="B794">
        <v>2023</v>
      </c>
      <c r="C794" t="s">
        <v>20</v>
      </c>
      <c r="D794" t="s">
        <v>40</v>
      </c>
      <c r="E794" t="s">
        <v>80</v>
      </c>
      <c r="F794" t="s">
        <v>127</v>
      </c>
      <c r="G794" t="s">
        <v>248</v>
      </c>
      <c r="H794" t="s">
        <v>323</v>
      </c>
      <c r="I794" t="s">
        <v>400</v>
      </c>
      <c r="K794" t="s">
        <v>466</v>
      </c>
      <c r="L794" t="s">
        <v>469</v>
      </c>
      <c r="M794" t="s">
        <v>472</v>
      </c>
      <c r="N794" t="s">
        <v>589</v>
      </c>
      <c r="O794" t="s">
        <v>858</v>
      </c>
      <c r="P794" s="1">
        <f>HYPERLINK("https://ec.europa.eu/info/funding-tenders/opportunities/portal/screen/opportunities/topic-details/horizon-cl5-2023-d3-03-08", "HORIZON-CL5-2023-D3-03-08")</f>
        <v>0</v>
      </c>
      <c r="Q794" t="s">
        <v>1748</v>
      </c>
    </row>
    <row r="795" spans="1:17">
      <c r="A795">
        <v>45648658</v>
      </c>
      <c r="B795">
        <v>2023</v>
      </c>
      <c r="C795" t="s">
        <v>20</v>
      </c>
      <c r="D795" t="s">
        <v>40</v>
      </c>
      <c r="E795" t="s">
        <v>81</v>
      </c>
      <c r="F795" t="s">
        <v>128</v>
      </c>
      <c r="G795" t="s">
        <v>248</v>
      </c>
      <c r="H795" t="s">
        <v>285</v>
      </c>
      <c r="I795" t="s">
        <v>383</v>
      </c>
      <c r="K795" t="s">
        <v>466</v>
      </c>
      <c r="L795" t="s">
        <v>469</v>
      </c>
      <c r="M795" t="s">
        <v>473</v>
      </c>
      <c r="N795" t="s">
        <v>590</v>
      </c>
      <c r="O795" t="s">
        <v>859</v>
      </c>
      <c r="P795" s="1">
        <f>HYPERLINK("https://ec.europa.eu/info/funding-tenders/opportunities/portal/screen/opportunities/topic-details/horizon-cl5-2023-d4-01-01", "HORIZON-CL5-2023-D4-01-01")</f>
        <v>0</v>
      </c>
      <c r="Q795" t="s">
        <v>1749</v>
      </c>
    </row>
    <row r="796" spans="1:17">
      <c r="A796">
        <v>45643480</v>
      </c>
      <c r="B796">
        <v>2023</v>
      </c>
      <c r="C796" t="s">
        <v>20</v>
      </c>
      <c r="D796" t="s">
        <v>40</v>
      </c>
      <c r="E796" t="s">
        <v>81</v>
      </c>
      <c r="F796" t="s">
        <v>128</v>
      </c>
      <c r="G796" t="s">
        <v>248</v>
      </c>
      <c r="H796" t="s">
        <v>285</v>
      </c>
      <c r="I796" t="s">
        <v>383</v>
      </c>
      <c r="K796" t="s">
        <v>466</v>
      </c>
      <c r="L796" t="s">
        <v>469</v>
      </c>
      <c r="M796" t="s">
        <v>471</v>
      </c>
      <c r="N796" t="s">
        <v>590</v>
      </c>
      <c r="O796" t="s">
        <v>859</v>
      </c>
      <c r="P796" s="1">
        <f>HYPERLINK("https://ec.europa.eu/info/funding-tenders/opportunities/portal/screen/opportunities/topic-details/horizon-cl5-2023-d4-01-02", "HORIZON-CL5-2023-D4-01-02")</f>
        <v>0</v>
      </c>
      <c r="Q796" t="s">
        <v>1750</v>
      </c>
    </row>
    <row r="797" spans="1:17">
      <c r="A797">
        <v>45647443</v>
      </c>
      <c r="B797">
        <v>2023</v>
      </c>
      <c r="C797" t="s">
        <v>20</v>
      </c>
      <c r="D797" t="s">
        <v>40</v>
      </c>
      <c r="E797" t="s">
        <v>81</v>
      </c>
      <c r="F797" t="s">
        <v>128</v>
      </c>
      <c r="G797" t="s">
        <v>248</v>
      </c>
      <c r="H797" t="s">
        <v>285</v>
      </c>
      <c r="I797" t="s">
        <v>383</v>
      </c>
      <c r="K797" t="s">
        <v>466</v>
      </c>
      <c r="L797" t="s">
        <v>469</v>
      </c>
      <c r="M797" t="s">
        <v>473</v>
      </c>
      <c r="N797" t="s">
        <v>590</v>
      </c>
      <c r="O797" t="s">
        <v>859</v>
      </c>
      <c r="P797" s="1">
        <f>HYPERLINK("https://ec.europa.eu/info/funding-tenders/opportunities/portal/screen/opportunities/topic-details/horizon-cl5-2023-d4-01-03", "HORIZON-CL5-2023-D4-01-03")</f>
        <v>0</v>
      </c>
      <c r="Q797" t="s">
        <v>1751</v>
      </c>
    </row>
    <row r="798" spans="1:17">
      <c r="A798">
        <v>45644497</v>
      </c>
      <c r="B798">
        <v>2023</v>
      </c>
      <c r="C798" t="s">
        <v>20</v>
      </c>
      <c r="D798" t="s">
        <v>40</v>
      </c>
      <c r="E798" t="s">
        <v>81</v>
      </c>
      <c r="F798" t="s">
        <v>128</v>
      </c>
      <c r="G798" t="s">
        <v>248</v>
      </c>
      <c r="H798" t="s">
        <v>285</v>
      </c>
      <c r="I798" t="s">
        <v>383</v>
      </c>
      <c r="K798" t="s">
        <v>466</v>
      </c>
      <c r="L798" t="s">
        <v>469</v>
      </c>
      <c r="M798" t="s">
        <v>471</v>
      </c>
      <c r="N798" t="s">
        <v>590</v>
      </c>
      <c r="O798" t="s">
        <v>859</v>
      </c>
      <c r="P798" s="1">
        <f>HYPERLINK("https://ec.europa.eu/info/funding-tenders/opportunities/portal/screen/opportunities/topic-details/horizon-cl5-2023-d4-01-04", "HORIZON-CL5-2023-D4-01-04")</f>
        <v>0</v>
      </c>
      <c r="Q798" t="s">
        <v>1752</v>
      </c>
    </row>
    <row r="799" spans="1:17">
      <c r="A799">
        <v>45644532</v>
      </c>
      <c r="B799">
        <v>2023</v>
      </c>
      <c r="C799" t="s">
        <v>20</v>
      </c>
      <c r="D799" t="s">
        <v>40</v>
      </c>
      <c r="E799" t="s">
        <v>81</v>
      </c>
      <c r="F799" t="s">
        <v>128</v>
      </c>
      <c r="G799" t="s">
        <v>248</v>
      </c>
      <c r="H799" t="s">
        <v>285</v>
      </c>
      <c r="I799" t="s">
        <v>383</v>
      </c>
      <c r="K799" t="s">
        <v>466</v>
      </c>
      <c r="L799" t="s">
        <v>469</v>
      </c>
      <c r="M799" t="s">
        <v>473</v>
      </c>
      <c r="N799" t="s">
        <v>590</v>
      </c>
      <c r="O799" t="s">
        <v>859</v>
      </c>
      <c r="P799" s="1">
        <f>HYPERLINK("https://ec.europa.eu/info/funding-tenders/opportunities/portal/screen/opportunities/topic-details/horizon-cl5-2023-d4-01-05", "HORIZON-CL5-2023-D4-01-05")</f>
        <v>0</v>
      </c>
      <c r="Q799" t="s">
        <v>1753</v>
      </c>
    </row>
    <row r="800" spans="1:17">
      <c r="A800">
        <v>45643686</v>
      </c>
      <c r="B800">
        <v>2023</v>
      </c>
      <c r="C800" t="s">
        <v>20</v>
      </c>
      <c r="D800" t="s">
        <v>40</v>
      </c>
      <c r="E800" t="s">
        <v>81</v>
      </c>
      <c r="F800" t="s">
        <v>128</v>
      </c>
      <c r="G800" t="s">
        <v>248</v>
      </c>
      <c r="H800" t="s">
        <v>285</v>
      </c>
      <c r="I800" t="s">
        <v>383</v>
      </c>
      <c r="K800" t="s">
        <v>466</v>
      </c>
      <c r="L800" t="s">
        <v>469</v>
      </c>
      <c r="M800" t="s">
        <v>473</v>
      </c>
      <c r="N800" t="s">
        <v>590</v>
      </c>
      <c r="O800" t="s">
        <v>859</v>
      </c>
      <c r="P800" s="1">
        <f>HYPERLINK("https://ec.europa.eu/info/funding-tenders/opportunities/portal/screen/opportunities/topic-details/horizon-cl5-2023-d4-01-06", "HORIZON-CL5-2023-D4-01-06")</f>
        <v>0</v>
      </c>
      <c r="Q800" t="s">
        <v>1754</v>
      </c>
    </row>
    <row r="801" spans="1:17">
      <c r="A801">
        <v>45643304</v>
      </c>
      <c r="B801">
        <v>2023</v>
      </c>
      <c r="C801" t="s">
        <v>20</v>
      </c>
      <c r="D801" t="s">
        <v>40</v>
      </c>
      <c r="E801" t="s">
        <v>81</v>
      </c>
      <c r="F801" t="s">
        <v>129</v>
      </c>
      <c r="G801" t="s">
        <v>248</v>
      </c>
      <c r="H801" t="s">
        <v>323</v>
      </c>
      <c r="I801" t="s">
        <v>399</v>
      </c>
      <c r="K801" t="s">
        <v>466</v>
      </c>
      <c r="L801" t="s">
        <v>469</v>
      </c>
      <c r="M801" t="s">
        <v>473</v>
      </c>
      <c r="N801" t="s">
        <v>591</v>
      </c>
      <c r="O801" t="s">
        <v>859</v>
      </c>
      <c r="P801" s="1">
        <f>HYPERLINK("https://ec.europa.eu/info/funding-tenders/opportunities/portal/screen/opportunities/topic-details/horizon-cl5-2023-d4-02-01", "HORIZON-CL5-2023-D4-02-01")</f>
        <v>0</v>
      </c>
      <c r="Q801" t="s">
        <v>1755</v>
      </c>
    </row>
    <row r="802" spans="1:17">
      <c r="A802">
        <v>45643522</v>
      </c>
      <c r="B802">
        <v>2023</v>
      </c>
      <c r="C802" t="s">
        <v>20</v>
      </c>
      <c r="D802" t="s">
        <v>40</v>
      </c>
      <c r="E802" t="s">
        <v>81</v>
      </c>
      <c r="F802" t="s">
        <v>129</v>
      </c>
      <c r="G802" t="s">
        <v>248</v>
      </c>
      <c r="H802" t="s">
        <v>323</v>
      </c>
      <c r="I802" t="s">
        <v>399</v>
      </c>
      <c r="K802" t="s">
        <v>466</v>
      </c>
      <c r="L802" t="s">
        <v>469</v>
      </c>
      <c r="M802" t="s">
        <v>473</v>
      </c>
      <c r="N802" t="s">
        <v>591</v>
      </c>
      <c r="O802" t="s">
        <v>859</v>
      </c>
      <c r="P802" s="1">
        <f>HYPERLINK("https://ec.europa.eu/info/funding-tenders/opportunities/portal/screen/opportunities/topic-details/horizon-cl5-2023-d4-02-02", "HORIZON-CL5-2023-D4-02-02")</f>
        <v>0</v>
      </c>
      <c r="Q802" t="s">
        <v>1756</v>
      </c>
    </row>
    <row r="803" spans="1:17">
      <c r="A803">
        <v>45648694</v>
      </c>
      <c r="B803">
        <v>2023</v>
      </c>
      <c r="C803" t="s">
        <v>20</v>
      </c>
      <c r="D803" t="s">
        <v>40</v>
      </c>
      <c r="E803" t="s">
        <v>81</v>
      </c>
      <c r="F803" t="s">
        <v>129</v>
      </c>
      <c r="G803" t="s">
        <v>248</v>
      </c>
      <c r="H803" t="s">
        <v>323</v>
      </c>
      <c r="I803" t="s">
        <v>399</v>
      </c>
      <c r="K803" t="s">
        <v>466</v>
      </c>
      <c r="L803" t="s">
        <v>469</v>
      </c>
      <c r="M803" t="s">
        <v>473</v>
      </c>
      <c r="N803" t="s">
        <v>591</v>
      </c>
      <c r="O803" t="s">
        <v>859</v>
      </c>
      <c r="P803" s="1">
        <f>HYPERLINK("https://ec.europa.eu/info/funding-tenders/opportunities/portal/screen/opportunities/topic-details/horizon-cl5-2023-d4-02-03", "HORIZON-CL5-2023-D4-02-03")</f>
        <v>0</v>
      </c>
      <c r="Q803" t="s">
        <v>1757</v>
      </c>
    </row>
    <row r="804" spans="1:17">
      <c r="A804">
        <v>45643348</v>
      </c>
      <c r="B804">
        <v>2023</v>
      </c>
      <c r="C804" t="s">
        <v>20</v>
      </c>
      <c r="D804" t="s">
        <v>40</v>
      </c>
      <c r="E804" t="s">
        <v>81</v>
      </c>
      <c r="F804" t="s">
        <v>129</v>
      </c>
      <c r="G804" t="s">
        <v>248</v>
      </c>
      <c r="H804" t="s">
        <v>323</v>
      </c>
      <c r="I804" t="s">
        <v>399</v>
      </c>
      <c r="K804" t="s">
        <v>466</v>
      </c>
      <c r="L804" t="s">
        <v>469</v>
      </c>
      <c r="M804" t="s">
        <v>472</v>
      </c>
      <c r="N804" t="s">
        <v>591</v>
      </c>
      <c r="O804" t="s">
        <v>859</v>
      </c>
      <c r="P804" s="1">
        <f>HYPERLINK("https://ec.europa.eu/info/funding-tenders/opportunities/portal/screen/opportunities/topic-details/horizon-cl5-2023-d4-02-04", "HORIZON-CL5-2023-D4-02-04")</f>
        <v>0</v>
      </c>
      <c r="Q804" t="s">
        <v>1758</v>
      </c>
    </row>
    <row r="805" spans="1:17">
      <c r="A805">
        <v>45648736</v>
      </c>
      <c r="B805">
        <v>2023</v>
      </c>
      <c r="C805" t="s">
        <v>20</v>
      </c>
      <c r="D805" t="s">
        <v>40</v>
      </c>
      <c r="E805" t="s">
        <v>81</v>
      </c>
      <c r="F805" t="s">
        <v>129</v>
      </c>
      <c r="G805" t="s">
        <v>248</v>
      </c>
      <c r="H805" t="s">
        <v>323</v>
      </c>
      <c r="I805" t="s">
        <v>399</v>
      </c>
      <c r="K805" t="s">
        <v>466</v>
      </c>
      <c r="L805" t="s">
        <v>469</v>
      </c>
      <c r="M805" t="s">
        <v>473</v>
      </c>
      <c r="N805" t="s">
        <v>591</v>
      </c>
      <c r="O805" t="s">
        <v>859</v>
      </c>
      <c r="P805" s="1">
        <f>HYPERLINK("https://ec.europa.eu/info/funding-tenders/opportunities/portal/screen/opportunities/topic-details/horizon-cl5-2023-d4-02-05", "HORIZON-CL5-2023-D4-02-05")</f>
        <v>0</v>
      </c>
      <c r="Q805" t="s">
        <v>1759</v>
      </c>
    </row>
    <row r="806" spans="1:17">
      <c r="A806">
        <v>45642995</v>
      </c>
      <c r="B806">
        <v>2023</v>
      </c>
      <c r="C806" t="s">
        <v>20</v>
      </c>
      <c r="D806" t="s">
        <v>40</v>
      </c>
      <c r="E806" t="s">
        <v>82</v>
      </c>
      <c r="F806" t="s">
        <v>130</v>
      </c>
      <c r="G806" t="s">
        <v>248</v>
      </c>
      <c r="H806" t="s">
        <v>285</v>
      </c>
      <c r="I806" t="s">
        <v>383</v>
      </c>
      <c r="K806" t="s">
        <v>466</v>
      </c>
      <c r="L806" t="s">
        <v>469</v>
      </c>
      <c r="M806" t="s">
        <v>473</v>
      </c>
      <c r="N806" t="s">
        <v>592</v>
      </c>
      <c r="O806" t="s">
        <v>860</v>
      </c>
      <c r="P806" s="1">
        <f>HYPERLINK("https://ec.europa.eu/info/funding-tenders/opportunities/portal/screen/opportunities/topic-details/horizon-cl5-2023-d5-01-01", "HORIZON-CL5-2023-D5-01-01")</f>
        <v>0</v>
      </c>
      <c r="Q806" t="s">
        <v>1760</v>
      </c>
    </row>
    <row r="807" spans="1:17">
      <c r="A807">
        <v>45644214</v>
      </c>
      <c r="B807">
        <v>2023</v>
      </c>
      <c r="C807" t="s">
        <v>20</v>
      </c>
      <c r="D807" t="s">
        <v>40</v>
      </c>
      <c r="E807" t="s">
        <v>82</v>
      </c>
      <c r="F807" t="s">
        <v>130</v>
      </c>
      <c r="G807" t="s">
        <v>248</v>
      </c>
      <c r="H807" t="s">
        <v>285</v>
      </c>
      <c r="I807" t="s">
        <v>383</v>
      </c>
      <c r="K807" t="s">
        <v>466</v>
      </c>
      <c r="L807" t="s">
        <v>469</v>
      </c>
      <c r="M807" t="s">
        <v>473</v>
      </c>
      <c r="N807" t="s">
        <v>592</v>
      </c>
      <c r="O807" t="s">
        <v>860</v>
      </c>
      <c r="P807" s="1">
        <f>HYPERLINK("https://ec.europa.eu/info/funding-tenders/opportunities/portal/screen/opportunities/topic-details/horizon-cl5-2023-d5-01-02", "HORIZON-CL5-2023-D5-01-02")</f>
        <v>0</v>
      </c>
      <c r="Q807" t="s">
        <v>1761</v>
      </c>
    </row>
    <row r="808" spans="1:17">
      <c r="A808">
        <v>45648396</v>
      </c>
      <c r="B808">
        <v>2023</v>
      </c>
      <c r="C808" t="s">
        <v>20</v>
      </c>
      <c r="D808" t="s">
        <v>40</v>
      </c>
      <c r="E808" t="s">
        <v>82</v>
      </c>
      <c r="F808" t="s">
        <v>130</v>
      </c>
      <c r="G808" t="s">
        <v>248</v>
      </c>
      <c r="H808" t="s">
        <v>285</v>
      </c>
      <c r="I808" t="s">
        <v>383</v>
      </c>
      <c r="K808" t="s">
        <v>466</v>
      </c>
      <c r="L808" t="s">
        <v>469</v>
      </c>
      <c r="M808" t="s">
        <v>473</v>
      </c>
      <c r="N808" t="s">
        <v>592</v>
      </c>
      <c r="O808" t="s">
        <v>860</v>
      </c>
      <c r="P808" s="1">
        <f>HYPERLINK("https://ec.europa.eu/info/funding-tenders/opportunities/portal/screen/opportunities/topic-details/horizon-cl5-2023-d5-01-03", "HORIZON-CL5-2023-D5-01-03")</f>
        <v>0</v>
      </c>
      <c r="Q808" t="s">
        <v>1762</v>
      </c>
    </row>
    <row r="809" spans="1:17">
      <c r="A809">
        <v>45648160</v>
      </c>
      <c r="B809">
        <v>2023</v>
      </c>
      <c r="C809" t="s">
        <v>20</v>
      </c>
      <c r="D809" t="s">
        <v>40</v>
      </c>
      <c r="E809" t="s">
        <v>82</v>
      </c>
      <c r="F809" t="s">
        <v>130</v>
      </c>
      <c r="G809" t="s">
        <v>248</v>
      </c>
      <c r="H809" t="s">
        <v>285</v>
      </c>
      <c r="I809" t="s">
        <v>383</v>
      </c>
      <c r="K809" t="s">
        <v>466</v>
      </c>
      <c r="L809" t="s">
        <v>469</v>
      </c>
      <c r="M809" t="s">
        <v>471</v>
      </c>
      <c r="N809" t="s">
        <v>592</v>
      </c>
      <c r="O809" t="s">
        <v>860</v>
      </c>
      <c r="P809" s="1">
        <f>HYPERLINK("https://ec.europa.eu/info/funding-tenders/opportunities/portal/screen/opportunities/topic-details/horizon-cl5-2023-d5-01-04", "HORIZON-CL5-2023-D5-01-04")</f>
        <v>0</v>
      </c>
      <c r="Q809" t="s">
        <v>1763</v>
      </c>
    </row>
    <row r="810" spans="1:17">
      <c r="A810">
        <v>45647818</v>
      </c>
      <c r="B810">
        <v>2023</v>
      </c>
      <c r="C810" t="s">
        <v>20</v>
      </c>
      <c r="D810" t="s">
        <v>40</v>
      </c>
      <c r="E810" t="s">
        <v>82</v>
      </c>
      <c r="F810" t="s">
        <v>130</v>
      </c>
      <c r="G810" t="s">
        <v>248</v>
      </c>
      <c r="H810" t="s">
        <v>285</v>
      </c>
      <c r="I810" t="s">
        <v>383</v>
      </c>
      <c r="K810" t="s">
        <v>466</v>
      </c>
      <c r="L810" t="s">
        <v>469</v>
      </c>
      <c r="M810" t="s">
        <v>472</v>
      </c>
      <c r="N810" t="s">
        <v>592</v>
      </c>
      <c r="O810" t="s">
        <v>860</v>
      </c>
      <c r="P810" s="1">
        <f>HYPERLINK("https://ec.europa.eu/info/funding-tenders/opportunities/portal/screen/opportunities/topic-details/horizon-cl5-2023-d5-01-05", "HORIZON-CL5-2023-D5-01-05")</f>
        <v>0</v>
      </c>
      <c r="Q810" t="s">
        <v>1764</v>
      </c>
    </row>
    <row r="811" spans="1:17">
      <c r="A811">
        <v>45645844</v>
      </c>
      <c r="B811">
        <v>2023</v>
      </c>
      <c r="C811" t="s">
        <v>20</v>
      </c>
      <c r="D811" t="s">
        <v>40</v>
      </c>
      <c r="E811" t="s">
        <v>82</v>
      </c>
      <c r="F811" t="s">
        <v>130</v>
      </c>
      <c r="G811" t="s">
        <v>248</v>
      </c>
      <c r="H811" t="s">
        <v>285</v>
      </c>
      <c r="I811" t="s">
        <v>383</v>
      </c>
      <c r="K811" t="s">
        <v>466</v>
      </c>
      <c r="L811" t="s">
        <v>469</v>
      </c>
      <c r="M811" t="s">
        <v>472</v>
      </c>
      <c r="N811" t="s">
        <v>592</v>
      </c>
      <c r="O811" t="s">
        <v>860</v>
      </c>
      <c r="P811" s="1">
        <f>HYPERLINK("https://ec.europa.eu/info/funding-tenders/opportunities/portal/screen/opportunities/topic-details/horizon-cl5-2023-d5-01-06", "HORIZON-CL5-2023-D5-01-06")</f>
        <v>0</v>
      </c>
      <c r="Q811" t="s">
        <v>1765</v>
      </c>
    </row>
    <row r="812" spans="1:17">
      <c r="A812">
        <v>45647500</v>
      </c>
      <c r="B812">
        <v>2023</v>
      </c>
      <c r="C812" t="s">
        <v>20</v>
      </c>
      <c r="D812" t="s">
        <v>40</v>
      </c>
      <c r="E812" t="s">
        <v>82</v>
      </c>
      <c r="F812" t="s">
        <v>130</v>
      </c>
      <c r="G812" t="s">
        <v>248</v>
      </c>
      <c r="H812" t="s">
        <v>285</v>
      </c>
      <c r="I812" t="s">
        <v>383</v>
      </c>
      <c r="K812" t="s">
        <v>466</v>
      </c>
      <c r="L812" t="s">
        <v>469</v>
      </c>
      <c r="M812" t="s">
        <v>473</v>
      </c>
      <c r="N812" t="s">
        <v>592</v>
      </c>
      <c r="O812" t="s">
        <v>860</v>
      </c>
      <c r="P812" s="1">
        <f>HYPERLINK("https://ec.europa.eu/info/funding-tenders/opportunities/portal/screen/opportunities/topic-details/horizon-cl5-2023-d5-01-07", "HORIZON-CL5-2023-D5-01-07")</f>
        <v>0</v>
      </c>
      <c r="Q812" t="s">
        <v>1766</v>
      </c>
    </row>
    <row r="813" spans="1:17">
      <c r="A813">
        <v>45647537</v>
      </c>
      <c r="B813">
        <v>2023</v>
      </c>
      <c r="C813" t="s">
        <v>20</v>
      </c>
      <c r="D813" t="s">
        <v>40</v>
      </c>
      <c r="E813" t="s">
        <v>82</v>
      </c>
      <c r="F813" t="s">
        <v>130</v>
      </c>
      <c r="G813" t="s">
        <v>248</v>
      </c>
      <c r="H813" t="s">
        <v>285</v>
      </c>
      <c r="I813" t="s">
        <v>383</v>
      </c>
      <c r="K813" t="s">
        <v>466</v>
      </c>
      <c r="L813" t="s">
        <v>469</v>
      </c>
      <c r="M813" t="s">
        <v>471</v>
      </c>
      <c r="N813" t="s">
        <v>592</v>
      </c>
      <c r="O813" t="s">
        <v>860</v>
      </c>
      <c r="P813" s="1">
        <f>HYPERLINK("https://ec.europa.eu/info/funding-tenders/opportunities/portal/screen/opportunities/topic-details/horizon-cl5-2023-d5-01-08", "HORIZON-CL5-2023-D5-01-08")</f>
        <v>0</v>
      </c>
      <c r="Q813" t="s">
        <v>1767</v>
      </c>
    </row>
    <row r="814" spans="1:17">
      <c r="A814">
        <v>45642498</v>
      </c>
      <c r="B814">
        <v>2023</v>
      </c>
      <c r="C814" t="s">
        <v>20</v>
      </c>
      <c r="D814" t="s">
        <v>40</v>
      </c>
      <c r="E814" t="s">
        <v>82</v>
      </c>
      <c r="F814" t="s">
        <v>130</v>
      </c>
      <c r="G814" t="s">
        <v>248</v>
      </c>
      <c r="H814" t="s">
        <v>285</v>
      </c>
      <c r="I814" t="s">
        <v>383</v>
      </c>
      <c r="K814" t="s">
        <v>466</v>
      </c>
      <c r="L814" t="s">
        <v>469</v>
      </c>
      <c r="M814" t="s">
        <v>471</v>
      </c>
      <c r="N814" t="s">
        <v>592</v>
      </c>
      <c r="O814" t="s">
        <v>860</v>
      </c>
      <c r="P814" s="1">
        <f>HYPERLINK("https://ec.europa.eu/info/funding-tenders/opportunities/portal/screen/opportunities/topic-details/horizon-cl5-2023-d5-01-09", "HORIZON-CL5-2023-D5-01-09")</f>
        <v>0</v>
      </c>
      <c r="Q814" t="s">
        <v>1768</v>
      </c>
    </row>
    <row r="815" spans="1:17">
      <c r="A815">
        <v>45647781</v>
      </c>
      <c r="B815">
        <v>2023</v>
      </c>
      <c r="C815" t="s">
        <v>20</v>
      </c>
      <c r="D815" t="s">
        <v>40</v>
      </c>
      <c r="E815" t="s">
        <v>82</v>
      </c>
      <c r="F815" t="s">
        <v>130</v>
      </c>
      <c r="G815" t="s">
        <v>248</v>
      </c>
      <c r="H815" t="s">
        <v>285</v>
      </c>
      <c r="I815" t="s">
        <v>383</v>
      </c>
      <c r="K815" t="s">
        <v>466</v>
      </c>
      <c r="L815" t="s">
        <v>469</v>
      </c>
      <c r="M815" t="s">
        <v>472</v>
      </c>
      <c r="N815" t="s">
        <v>592</v>
      </c>
      <c r="O815" t="s">
        <v>860</v>
      </c>
      <c r="P815" s="1">
        <f>HYPERLINK("https://ec.europa.eu/info/funding-tenders/opportunities/portal/screen/opportunities/topic-details/horizon-cl5-2023-d5-01-10", "HORIZON-CL5-2023-D5-01-10")</f>
        <v>0</v>
      </c>
      <c r="Q815" t="s">
        <v>1769</v>
      </c>
    </row>
    <row r="816" spans="1:17">
      <c r="A816">
        <v>45645684</v>
      </c>
      <c r="B816">
        <v>2023</v>
      </c>
      <c r="C816" t="s">
        <v>20</v>
      </c>
      <c r="D816" t="s">
        <v>40</v>
      </c>
      <c r="E816" t="s">
        <v>82</v>
      </c>
      <c r="F816" t="s">
        <v>130</v>
      </c>
      <c r="G816" t="s">
        <v>248</v>
      </c>
      <c r="H816" t="s">
        <v>285</v>
      </c>
      <c r="I816" t="s">
        <v>383</v>
      </c>
      <c r="K816" t="s">
        <v>466</v>
      </c>
      <c r="L816" t="s">
        <v>469</v>
      </c>
      <c r="M816" t="s">
        <v>471</v>
      </c>
      <c r="N816" t="s">
        <v>592</v>
      </c>
      <c r="O816" t="s">
        <v>860</v>
      </c>
      <c r="P816" s="1">
        <f>HYPERLINK("https://ec.europa.eu/info/funding-tenders/opportunities/portal/screen/opportunities/topic-details/horizon-cl5-2023-d5-01-11", "HORIZON-CL5-2023-D5-01-11")</f>
        <v>0</v>
      </c>
      <c r="Q816" t="s">
        <v>1770</v>
      </c>
    </row>
    <row r="817" spans="1:17">
      <c r="A817">
        <v>45647572</v>
      </c>
      <c r="B817">
        <v>2023</v>
      </c>
      <c r="C817" t="s">
        <v>20</v>
      </c>
      <c r="D817" t="s">
        <v>40</v>
      </c>
      <c r="E817" t="s">
        <v>82</v>
      </c>
      <c r="F817" t="s">
        <v>130</v>
      </c>
      <c r="G817" t="s">
        <v>248</v>
      </c>
      <c r="H817" t="s">
        <v>285</v>
      </c>
      <c r="I817" t="s">
        <v>383</v>
      </c>
      <c r="K817" t="s">
        <v>466</v>
      </c>
      <c r="L817" t="s">
        <v>469</v>
      </c>
      <c r="M817" t="s">
        <v>473</v>
      </c>
      <c r="N817" t="s">
        <v>592</v>
      </c>
      <c r="O817" t="s">
        <v>860</v>
      </c>
      <c r="P817" s="1">
        <f>HYPERLINK("https://ec.europa.eu/info/funding-tenders/opportunities/portal/screen/opportunities/topic-details/horizon-cl5-2023-d5-01-12", "HORIZON-CL5-2023-D5-01-12")</f>
        <v>0</v>
      </c>
      <c r="Q817" t="s">
        <v>1771</v>
      </c>
    </row>
    <row r="818" spans="1:17">
      <c r="A818">
        <v>45642134</v>
      </c>
      <c r="B818">
        <v>2023</v>
      </c>
      <c r="C818" t="s">
        <v>20</v>
      </c>
      <c r="D818" t="s">
        <v>40</v>
      </c>
      <c r="E818" t="s">
        <v>82</v>
      </c>
      <c r="F818" t="s">
        <v>130</v>
      </c>
      <c r="G818" t="s">
        <v>248</v>
      </c>
      <c r="H818" t="s">
        <v>285</v>
      </c>
      <c r="I818" t="s">
        <v>383</v>
      </c>
      <c r="K818" t="s">
        <v>466</v>
      </c>
      <c r="L818" t="s">
        <v>469</v>
      </c>
      <c r="M818" t="s">
        <v>473</v>
      </c>
      <c r="N818" t="s">
        <v>592</v>
      </c>
      <c r="O818" t="s">
        <v>860</v>
      </c>
      <c r="P818" s="1">
        <f>HYPERLINK("https://ec.europa.eu/info/funding-tenders/opportunities/portal/screen/opportunities/topic-details/horizon-cl5-2023-d5-01-13", "HORIZON-CL5-2023-D5-01-13")</f>
        <v>0</v>
      </c>
      <c r="Q818" t="s">
        <v>1772</v>
      </c>
    </row>
    <row r="819" spans="1:17">
      <c r="A819">
        <v>45642832</v>
      </c>
      <c r="B819">
        <v>2023</v>
      </c>
      <c r="C819" t="s">
        <v>20</v>
      </c>
      <c r="D819" t="s">
        <v>40</v>
      </c>
      <c r="E819" t="s">
        <v>82</v>
      </c>
      <c r="F819" t="s">
        <v>130</v>
      </c>
      <c r="G819" t="s">
        <v>248</v>
      </c>
      <c r="H819" t="s">
        <v>285</v>
      </c>
      <c r="I819" t="s">
        <v>383</v>
      </c>
      <c r="K819" t="s">
        <v>466</v>
      </c>
      <c r="L819" t="s">
        <v>469</v>
      </c>
      <c r="M819" t="s">
        <v>473</v>
      </c>
      <c r="N819" t="s">
        <v>592</v>
      </c>
      <c r="O819" t="s">
        <v>860</v>
      </c>
      <c r="P819" s="1">
        <f>HYPERLINK("https://ec.europa.eu/info/funding-tenders/opportunities/portal/screen/opportunities/topic-details/horizon-cl5-2023-d5-01-14", "HORIZON-CL5-2023-D5-01-14")</f>
        <v>0</v>
      </c>
      <c r="Q819" t="s">
        <v>1773</v>
      </c>
    </row>
    <row r="820" spans="1:17">
      <c r="A820">
        <v>45647618</v>
      </c>
      <c r="B820">
        <v>2023</v>
      </c>
      <c r="C820" t="s">
        <v>20</v>
      </c>
      <c r="D820" t="s">
        <v>40</v>
      </c>
      <c r="E820" t="s">
        <v>82</v>
      </c>
      <c r="F820" t="s">
        <v>130</v>
      </c>
      <c r="G820" t="s">
        <v>248</v>
      </c>
      <c r="H820" t="s">
        <v>285</v>
      </c>
      <c r="I820" t="s">
        <v>383</v>
      </c>
      <c r="K820" t="s">
        <v>466</v>
      </c>
      <c r="L820" t="s">
        <v>469</v>
      </c>
      <c r="M820" t="s">
        <v>473</v>
      </c>
      <c r="N820" t="s">
        <v>592</v>
      </c>
      <c r="O820" t="s">
        <v>860</v>
      </c>
      <c r="P820" s="1">
        <f>HYPERLINK("https://ec.europa.eu/info/funding-tenders/opportunities/portal/screen/opportunities/topic-details/horizon-cl5-2023-d5-01-15", "HORIZON-CL5-2023-D5-01-15")</f>
        <v>0</v>
      </c>
      <c r="Q820" t="s">
        <v>1774</v>
      </c>
    </row>
    <row r="821" spans="1:17">
      <c r="A821">
        <v>45647659</v>
      </c>
      <c r="B821">
        <v>2023</v>
      </c>
      <c r="C821" t="s">
        <v>20</v>
      </c>
      <c r="D821" t="s">
        <v>40</v>
      </c>
      <c r="E821" t="s">
        <v>82</v>
      </c>
      <c r="F821" t="s">
        <v>130</v>
      </c>
      <c r="G821" t="s">
        <v>248</v>
      </c>
      <c r="H821" t="s">
        <v>285</v>
      </c>
      <c r="I821" t="s">
        <v>383</v>
      </c>
      <c r="K821" t="s">
        <v>466</v>
      </c>
      <c r="L821" t="s">
        <v>469</v>
      </c>
      <c r="M821" t="s">
        <v>471</v>
      </c>
      <c r="N821" t="s">
        <v>592</v>
      </c>
      <c r="O821" t="s">
        <v>860</v>
      </c>
      <c r="P821" s="1">
        <f>HYPERLINK("https://ec.europa.eu/info/funding-tenders/opportunities/portal/screen/opportunities/topic-details/horizon-cl5-2023-d5-01-16", "HORIZON-CL5-2023-D5-01-16")</f>
        <v>0</v>
      </c>
      <c r="Q821" t="s">
        <v>1775</v>
      </c>
    </row>
    <row r="822" spans="1:17">
      <c r="A822">
        <v>45647244</v>
      </c>
      <c r="B822">
        <v>2023</v>
      </c>
      <c r="C822" t="s">
        <v>20</v>
      </c>
      <c r="D822" t="s">
        <v>40</v>
      </c>
      <c r="E822" t="s">
        <v>82</v>
      </c>
      <c r="F822" t="s">
        <v>130</v>
      </c>
      <c r="G822" t="s">
        <v>248</v>
      </c>
      <c r="H822" t="s">
        <v>285</v>
      </c>
      <c r="I822" t="s">
        <v>383</v>
      </c>
      <c r="K822" t="s">
        <v>466</v>
      </c>
      <c r="L822" t="s">
        <v>469</v>
      </c>
      <c r="M822" t="s">
        <v>472</v>
      </c>
      <c r="N822" t="s">
        <v>592</v>
      </c>
      <c r="O822" t="s">
        <v>860</v>
      </c>
      <c r="P822" s="1">
        <f>HYPERLINK("https://ec.europa.eu/info/funding-tenders/opportunities/portal/screen/opportunities/topic-details/horizon-cl5-2023-d5-01-17", "HORIZON-CL5-2023-D5-01-17")</f>
        <v>0</v>
      </c>
      <c r="Q822" t="s">
        <v>1776</v>
      </c>
    </row>
    <row r="823" spans="1:17">
      <c r="A823">
        <v>45647864</v>
      </c>
      <c r="B823">
        <v>2023</v>
      </c>
      <c r="C823" t="s">
        <v>20</v>
      </c>
      <c r="D823" t="s">
        <v>40</v>
      </c>
      <c r="E823" t="s">
        <v>82</v>
      </c>
      <c r="F823" t="s">
        <v>130</v>
      </c>
      <c r="G823" t="s">
        <v>248</v>
      </c>
      <c r="H823" t="s">
        <v>285</v>
      </c>
      <c r="I823" t="s">
        <v>383</v>
      </c>
      <c r="K823" t="s">
        <v>466</v>
      </c>
      <c r="L823" t="s">
        <v>469</v>
      </c>
      <c r="M823" t="s">
        <v>473</v>
      </c>
      <c r="N823" t="s">
        <v>592</v>
      </c>
      <c r="O823" t="s">
        <v>860</v>
      </c>
      <c r="P823" s="1">
        <f>HYPERLINK("https://ec.europa.eu/info/funding-tenders/opportunities/portal/screen/opportunities/topic-details/horizon-cl5-2023-d5-01-18", "HORIZON-CL5-2023-D5-01-18")</f>
        <v>0</v>
      </c>
      <c r="Q823" t="s">
        <v>1777</v>
      </c>
    </row>
    <row r="824" spans="1:17">
      <c r="A824">
        <v>45648522</v>
      </c>
      <c r="B824">
        <v>2023</v>
      </c>
      <c r="C824" t="s">
        <v>20</v>
      </c>
      <c r="D824" t="s">
        <v>40</v>
      </c>
      <c r="E824" t="s">
        <v>77</v>
      </c>
      <c r="F824" t="s">
        <v>130</v>
      </c>
      <c r="G824" t="s">
        <v>248</v>
      </c>
      <c r="H824" t="s">
        <v>285</v>
      </c>
      <c r="I824" t="s">
        <v>383</v>
      </c>
      <c r="K824" t="s">
        <v>466</v>
      </c>
      <c r="L824" t="s">
        <v>469</v>
      </c>
      <c r="M824" t="s">
        <v>472</v>
      </c>
      <c r="N824" t="s">
        <v>592</v>
      </c>
      <c r="O824" t="s">
        <v>860</v>
      </c>
      <c r="P824" s="1">
        <f>HYPERLINK("https://ec.europa.eu/info/funding-tenders/opportunities/portal/screen/opportunities/topic-details/horizon-cl5-2023-d5-01-19", "HORIZON-CL5-2023-D5-01-19")</f>
        <v>0</v>
      </c>
      <c r="Q824" t="s">
        <v>1778</v>
      </c>
    </row>
    <row r="825" spans="1:17">
      <c r="A825">
        <v>45644020</v>
      </c>
      <c r="B825">
        <v>2023</v>
      </c>
      <c r="C825" t="s">
        <v>20</v>
      </c>
      <c r="D825" t="s">
        <v>40</v>
      </c>
      <c r="E825" t="s">
        <v>82</v>
      </c>
      <c r="F825" t="s">
        <v>131</v>
      </c>
      <c r="G825" t="s">
        <v>248</v>
      </c>
      <c r="H825" t="s">
        <v>323</v>
      </c>
      <c r="I825" t="s">
        <v>399</v>
      </c>
      <c r="K825" t="s">
        <v>466</v>
      </c>
      <c r="L825" t="s">
        <v>469</v>
      </c>
      <c r="M825" t="s">
        <v>471</v>
      </c>
      <c r="N825" t="s">
        <v>593</v>
      </c>
      <c r="O825" t="s">
        <v>861</v>
      </c>
      <c r="P825" s="1">
        <f>HYPERLINK("https://ec.europa.eu/info/funding-tenders/opportunities/portal/screen/opportunities/topic-details/horizon-cl5-2023-d6-01-01", "HORIZON-CL5-2023-D6-01-01")</f>
        <v>0</v>
      </c>
      <c r="Q825" t="s">
        <v>1779</v>
      </c>
    </row>
    <row r="826" spans="1:17">
      <c r="A826">
        <v>45644791</v>
      </c>
      <c r="B826">
        <v>2023</v>
      </c>
      <c r="C826" t="s">
        <v>20</v>
      </c>
      <c r="D826" t="s">
        <v>40</v>
      </c>
      <c r="E826" t="s">
        <v>82</v>
      </c>
      <c r="F826" t="s">
        <v>131</v>
      </c>
      <c r="G826" t="s">
        <v>248</v>
      </c>
      <c r="H826" t="s">
        <v>323</v>
      </c>
      <c r="I826" t="s">
        <v>399</v>
      </c>
      <c r="K826" t="s">
        <v>466</v>
      </c>
      <c r="L826" t="s">
        <v>469</v>
      </c>
      <c r="M826" t="s">
        <v>471</v>
      </c>
      <c r="N826" t="s">
        <v>593</v>
      </c>
      <c r="O826" t="s">
        <v>861</v>
      </c>
      <c r="P826" s="1">
        <f>HYPERLINK("https://ec.europa.eu/info/funding-tenders/opportunities/portal/screen/opportunities/topic-details/horizon-cl5-2023-d6-01-02", "HORIZON-CL5-2023-D6-01-02")</f>
        <v>0</v>
      </c>
      <c r="Q826" t="s">
        <v>1780</v>
      </c>
    </row>
    <row r="827" spans="1:17">
      <c r="A827">
        <v>45649015</v>
      </c>
      <c r="B827">
        <v>2023</v>
      </c>
      <c r="C827" t="s">
        <v>20</v>
      </c>
      <c r="D827" t="s">
        <v>40</v>
      </c>
      <c r="E827" t="s">
        <v>82</v>
      </c>
      <c r="F827" t="s">
        <v>131</v>
      </c>
      <c r="G827" t="s">
        <v>248</v>
      </c>
      <c r="H827" t="s">
        <v>323</v>
      </c>
      <c r="I827" t="s">
        <v>399</v>
      </c>
      <c r="K827" t="s">
        <v>466</v>
      </c>
      <c r="L827" t="s">
        <v>469</v>
      </c>
      <c r="M827" t="s">
        <v>473</v>
      </c>
      <c r="N827" t="s">
        <v>593</v>
      </c>
      <c r="O827" t="s">
        <v>861</v>
      </c>
      <c r="P827" s="1">
        <f>HYPERLINK("https://ec.europa.eu/info/funding-tenders/opportunities/portal/screen/opportunities/topic-details/horizon-cl5-2023-d6-01-03", "HORIZON-CL5-2023-D6-01-03")</f>
        <v>0</v>
      </c>
      <c r="Q827" t="s">
        <v>1781</v>
      </c>
    </row>
    <row r="828" spans="1:17">
      <c r="A828">
        <v>45649053</v>
      </c>
      <c r="B828">
        <v>2023</v>
      </c>
      <c r="C828" t="s">
        <v>20</v>
      </c>
      <c r="D828" t="s">
        <v>40</v>
      </c>
      <c r="E828" t="s">
        <v>82</v>
      </c>
      <c r="F828" t="s">
        <v>131</v>
      </c>
      <c r="G828" t="s">
        <v>248</v>
      </c>
      <c r="H828" t="s">
        <v>323</v>
      </c>
      <c r="I828" t="s">
        <v>399</v>
      </c>
      <c r="K828" t="s">
        <v>466</v>
      </c>
      <c r="L828" t="s">
        <v>469</v>
      </c>
      <c r="M828" t="s">
        <v>471</v>
      </c>
      <c r="N828" t="s">
        <v>593</v>
      </c>
      <c r="O828" t="s">
        <v>861</v>
      </c>
      <c r="P828" s="1">
        <f>HYPERLINK("https://ec.europa.eu/info/funding-tenders/opportunities/portal/screen/opportunities/topic-details/horizon-cl5-2023-d6-01-04", "HORIZON-CL5-2023-D6-01-04")</f>
        <v>0</v>
      </c>
      <c r="Q828" t="s">
        <v>1782</v>
      </c>
    </row>
    <row r="829" spans="1:17">
      <c r="A829">
        <v>45649089</v>
      </c>
      <c r="B829">
        <v>2023</v>
      </c>
      <c r="C829" t="s">
        <v>20</v>
      </c>
      <c r="D829" t="s">
        <v>40</v>
      </c>
      <c r="E829" t="s">
        <v>82</v>
      </c>
      <c r="F829" t="s">
        <v>131</v>
      </c>
      <c r="G829" t="s">
        <v>248</v>
      </c>
      <c r="H829" t="s">
        <v>323</v>
      </c>
      <c r="I829" t="s">
        <v>399</v>
      </c>
      <c r="K829" t="s">
        <v>466</v>
      </c>
      <c r="L829" t="s">
        <v>469</v>
      </c>
      <c r="M829" t="s">
        <v>471</v>
      </c>
      <c r="N829" t="s">
        <v>593</v>
      </c>
      <c r="O829" t="s">
        <v>861</v>
      </c>
      <c r="P829" s="1">
        <f>HYPERLINK("https://ec.europa.eu/info/funding-tenders/opportunities/portal/screen/opportunities/topic-details/horizon-cl5-2023-d6-01-05", "HORIZON-CL5-2023-D6-01-05")</f>
        <v>0</v>
      </c>
      <c r="Q829" t="s">
        <v>1783</v>
      </c>
    </row>
    <row r="830" spans="1:17">
      <c r="A830">
        <v>45645997</v>
      </c>
      <c r="B830">
        <v>2023</v>
      </c>
      <c r="C830" t="s">
        <v>20</v>
      </c>
      <c r="D830" t="s">
        <v>40</v>
      </c>
      <c r="E830" t="s">
        <v>82</v>
      </c>
      <c r="F830" t="s">
        <v>131</v>
      </c>
      <c r="G830" t="s">
        <v>248</v>
      </c>
      <c r="H830" t="s">
        <v>323</v>
      </c>
      <c r="I830" t="s">
        <v>399</v>
      </c>
      <c r="K830" t="s">
        <v>466</v>
      </c>
      <c r="L830" t="s">
        <v>469</v>
      </c>
      <c r="M830" t="s">
        <v>471</v>
      </c>
      <c r="N830" t="s">
        <v>593</v>
      </c>
      <c r="O830" t="s">
        <v>861</v>
      </c>
      <c r="P830" s="1">
        <f>HYPERLINK("https://ec.europa.eu/info/funding-tenders/opportunities/portal/screen/opportunities/topic-details/horizon-cl5-2023-d6-01-06", "HORIZON-CL5-2023-D6-01-06")</f>
        <v>0</v>
      </c>
      <c r="Q830" t="s">
        <v>1784</v>
      </c>
    </row>
    <row r="831" spans="1:17">
      <c r="A831">
        <v>45644177</v>
      </c>
      <c r="B831">
        <v>2023</v>
      </c>
      <c r="C831" t="s">
        <v>20</v>
      </c>
      <c r="D831" t="s">
        <v>40</v>
      </c>
      <c r="E831" t="s">
        <v>82</v>
      </c>
      <c r="F831" t="s">
        <v>131</v>
      </c>
      <c r="G831" t="s">
        <v>248</v>
      </c>
      <c r="H831" t="s">
        <v>323</v>
      </c>
      <c r="I831" t="s">
        <v>399</v>
      </c>
      <c r="K831" t="s">
        <v>466</v>
      </c>
      <c r="L831" t="s">
        <v>469</v>
      </c>
      <c r="M831" t="s">
        <v>471</v>
      </c>
      <c r="N831" t="s">
        <v>593</v>
      </c>
      <c r="O831" t="s">
        <v>861</v>
      </c>
      <c r="P831" s="1">
        <f>HYPERLINK("https://ec.europa.eu/info/funding-tenders/opportunities/portal/screen/opportunities/topic-details/horizon-cl5-2023-d6-01-07", "HORIZON-CL5-2023-D6-01-07")</f>
        <v>0</v>
      </c>
      <c r="Q831" t="s">
        <v>1785</v>
      </c>
    </row>
    <row r="832" spans="1:17">
      <c r="A832">
        <v>45642255</v>
      </c>
      <c r="B832">
        <v>2023</v>
      </c>
      <c r="C832" t="s">
        <v>20</v>
      </c>
      <c r="D832" t="s">
        <v>40</v>
      </c>
      <c r="E832" t="s">
        <v>82</v>
      </c>
      <c r="F832" t="s">
        <v>131</v>
      </c>
      <c r="G832" t="s">
        <v>248</v>
      </c>
      <c r="H832" t="s">
        <v>323</v>
      </c>
      <c r="I832" t="s">
        <v>399</v>
      </c>
      <c r="K832" t="s">
        <v>466</v>
      </c>
      <c r="L832" t="s">
        <v>469</v>
      </c>
      <c r="M832" t="s">
        <v>472</v>
      </c>
      <c r="N832" t="s">
        <v>593</v>
      </c>
      <c r="O832" t="s">
        <v>861</v>
      </c>
      <c r="P832" s="1">
        <f>HYPERLINK("https://ec.europa.eu/info/funding-tenders/opportunities/portal/screen/opportunities/topic-details/horizon-cl5-2023-d6-01-08", "HORIZON-CL5-2023-D6-01-08")</f>
        <v>0</v>
      </c>
      <c r="Q832" t="s">
        <v>1786</v>
      </c>
    </row>
    <row r="833" spans="1:17">
      <c r="A833">
        <v>45642293</v>
      </c>
      <c r="B833">
        <v>2023</v>
      </c>
      <c r="C833" t="s">
        <v>20</v>
      </c>
      <c r="D833" t="s">
        <v>40</v>
      </c>
      <c r="E833" t="s">
        <v>82</v>
      </c>
      <c r="F833" t="s">
        <v>131</v>
      </c>
      <c r="G833" t="s">
        <v>248</v>
      </c>
      <c r="H833" t="s">
        <v>323</v>
      </c>
      <c r="I833" t="s">
        <v>399</v>
      </c>
      <c r="K833" t="s">
        <v>466</v>
      </c>
      <c r="L833" t="s">
        <v>469</v>
      </c>
      <c r="M833" t="s">
        <v>473</v>
      </c>
      <c r="N833" t="s">
        <v>593</v>
      </c>
      <c r="O833" t="s">
        <v>861</v>
      </c>
      <c r="P833" s="1">
        <f>HYPERLINK("https://ec.europa.eu/info/funding-tenders/opportunities/portal/screen/opportunities/topic-details/horizon-cl5-2023-d6-01-09", "HORIZON-CL5-2023-D6-01-09")</f>
        <v>0</v>
      </c>
      <c r="Q833" t="s">
        <v>1787</v>
      </c>
    </row>
    <row r="834" spans="1:17">
      <c r="A834">
        <v>45646069</v>
      </c>
      <c r="B834">
        <v>2023</v>
      </c>
      <c r="C834" t="s">
        <v>20</v>
      </c>
      <c r="D834" t="s">
        <v>40</v>
      </c>
      <c r="E834" t="s">
        <v>82</v>
      </c>
      <c r="F834" t="s">
        <v>131</v>
      </c>
      <c r="G834" t="s">
        <v>248</v>
      </c>
      <c r="H834" t="s">
        <v>323</v>
      </c>
      <c r="I834" t="s">
        <v>399</v>
      </c>
      <c r="K834" t="s">
        <v>466</v>
      </c>
      <c r="L834" t="s">
        <v>469</v>
      </c>
      <c r="M834" t="s">
        <v>471</v>
      </c>
      <c r="N834" t="s">
        <v>593</v>
      </c>
      <c r="O834" t="s">
        <v>861</v>
      </c>
      <c r="P834" s="1">
        <f>HYPERLINK("https://ec.europa.eu/info/funding-tenders/opportunities/portal/screen/opportunities/topic-details/horizon-cl5-2023-d6-01-10", "HORIZON-CL5-2023-D6-01-10")</f>
        <v>0</v>
      </c>
      <c r="Q834" t="s">
        <v>1788</v>
      </c>
    </row>
    <row r="835" spans="1:17">
      <c r="A835">
        <v>45647062</v>
      </c>
      <c r="B835">
        <v>2023</v>
      </c>
      <c r="C835" t="s">
        <v>20</v>
      </c>
      <c r="D835" t="s">
        <v>40</v>
      </c>
      <c r="E835" t="s">
        <v>82</v>
      </c>
      <c r="F835" t="s">
        <v>131</v>
      </c>
      <c r="G835" t="s">
        <v>248</v>
      </c>
      <c r="H835" t="s">
        <v>323</v>
      </c>
      <c r="I835" t="s">
        <v>399</v>
      </c>
      <c r="K835" t="s">
        <v>466</v>
      </c>
      <c r="L835" t="s">
        <v>469</v>
      </c>
      <c r="M835" t="s">
        <v>471</v>
      </c>
      <c r="N835" t="s">
        <v>593</v>
      </c>
      <c r="O835" t="s">
        <v>861</v>
      </c>
      <c r="P835" s="1">
        <f>HYPERLINK("https://ec.europa.eu/info/funding-tenders/opportunities/portal/screen/opportunities/topic-details/horizon-cl5-2023-d6-01-11", "HORIZON-CL5-2023-D6-01-11")</f>
        <v>0</v>
      </c>
      <c r="Q835" t="s">
        <v>1789</v>
      </c>
    </row>
    <row r="836" spans="1:17">
      <c r="A836">
        <v>45642325</v>
      </c>
      <c r="B836">
        <v>2023</v>
      </c>
      <c r="C836" t="s">
        <v>20</v>
      </c>
      <c r="D836" t="s">
        <v>40</v>
      </c>
      <c r="E836" t="s">
        <v>82</v>
      </c>
      <c r="F836" t="s">
        <v>131</v>
      </c>
      <c r="G836" t="s">
        <v>248</v>
      </c>
      <c r="H836" t="s">
        <v>323</v>
      </c>
      <c r="I836" t="s">
        <v>399</v>
      </c>
      <c r="K836" t="s">
        <v>466</v>
      </c>
      <c r="L836" t="s">
        <v>469</v>
      </c>
      <c r="M836" t="s">
        <v>471</v>
      </c>
      <c r="N836" t="s">
        <v>593</v>
      </c>
      <c r="O836" t="s">
        <v>861</v>
      </c>
      <c r="P836" s="1">
        <f>HYPERLINK("https://ec.europa.eu/info/funding-tenders/opportunities/portal/screen/opportunities/topic-details/horizon-cl5-2023-d6-01-12", "HORIZON-CL5-2023-D6-01-12")</f>
        <v>0</v>
      </c>
      <c r="Q836" t="s">
        <v>1790</v>
      </c>
    </row>
    <row r="837" spans="1:17">
      <c r="A837">
        <v>45642352</v>
      </c>
      <c r="B837">
        <v>2023</v>
      </c>
      <c r="C837" t="s">
        <v>20</v>
      </c>
      <c r="D837" t="s">
        <v>40</v>
      </c>
      <c r="E837" t="s">
        <v>82</v>
      </c>
      <c r="F837" t="s">
        <v>131</v>
      </c>
      <c r="G837" t="s">
        <v>248</v>
      </c>
      <c r="H837" t="s">
        <v>323</v>
      </c>
      <c r="I837" t="s">
        <v>399</v>
      </c>
      <c r="K837" t="s">
        <v>466</v>
      </c>
      <c r="L837" t="s">
        <v>469</v>
      </c>
      <c r="M837" t="s">
        <v>472</v>
      </c>
      <c r="N837" t="s">
        <v>593</v>
      </c>
      <c r="O837" t="s">
        <v>861</v>
      </c>
      <c r="P837" s="1">
        <f>HYPERLINK("https://ec.europa.eu/info/funding-tenders/opportunities/portal/screen/opportunities/topic-details/horizon-cl5-2023-d6-01-13", "HORIZON-CL5-2023-D6-01-13")</f>
        <v>0</v>
      </c>
      <c r="Q837" t="s">
        <v>1579</v>
      </c>
    </row>
    <row r="838" spans="1:17">
      <c r="A838">
        <v>45645374</v>
      </c>
      <c r="B838">
        <v>2024</v>
      </c>
      <c r="C838" t="s">
        <v>20</v>
      </c>
      <c r="D838" t="s">
        <v>40</v>
      </c>
      <c r="E838" t="s">
        <v>71</v>
      </c>
      <c r="F838" t="s">
        <v>123</v>
      </c>
      <c r="G838" t="s">
        <v>248</v>
      </c>
      <c r="H838" t="s">
        <v>324</v>
      </c>
      <c r="I838" t="s">
        <v>401</v>
      </c>
      <c r="K838" t="s">
        <v>466</v>
      </c>
      <c r="L838" t="s">
        <v>469</v>
      </c>
      <c r="M838" t="s">
        <v>471</v>
      </c>
      <c r="N838" t="s">
        <v>594</v>
      </c>
      <c r="O838" t="s">
        <v>856</v>
      </c>
      <c r="P838" s="1">
        <f>HYPERLINK("https://ec.europa.eu/info/funding-tenders/opportunities/portal/screen/opportunities/topic-details/horizon-cl5-2024-d1-01-01", "HORIZON-CL5-2024-D1-01-01")</f>
        <v>0</v>
      </c>
      <c r="Q838" t="s">
        <v>1791</v>
      </c>
    </row>
    <row r="839" spans="1:17">
      <c r="A839">
        <v>45648287</v>
      </c>
      <c r="B839">
        <v>2024</v>
      </c>
      <c r="C839" t="s">
        <v>20</v>
      </c>
      <c r="D839" t="s">
        <v>40</v>
      </c>
      <c r="E839" t="s">
        <v>71</v>
      </c>
      <c r="F839" t="s">
        <v>123</v>
      </c>
      <c r="G839" t="s">
        <v>248</v>
      </c>
      <c r="H839" t="s">
        <v>324</v>
      </c>
      <c r="I839" t="s">
        <v>401</v>
      </c>
      <c r="K839" t="s">
        <v>466</v>
      </c>
      <c r="L839" t="s">
        <v>469</v>
      </c>
      <c r="M839" t="s">
        <v>471</v>
      </c>
      <c r="N839" t="s">
        <v>594</v>
      </c>
      <c r="O839" t="s">
        <v>856</v>
      </c>
      <c r="P839" s="1">
        <f>HYPERLINK("https://ec.europa.eu/info/funding-tenders/opportunities/portal/screen/opportunities/topic-details/horizon-cl5-2024-d1-01-02", "HORIZON-CL5-2024-D1-01-02")</f>
        <v>0</v>
      </c>
      <c r="Q839" t="s">
        <v>1792</v>
      </c>
    </row>
    <row r="840" spans="1:17">
      <c r="A840">
        <v>45645442</v>
      </c>
      <c r="B840">
        <v>2024</v>
      </c>
      <c r="C840" t="s">
        <v>20</v>
      </c>
      <c r="D840" t="s">
        <v>40</v>
      </c>
      <c r="E840" t="s">
        <v>71</v>
      </c>
      <c r="F840" t="s">
        <v>123</v>
      </c>
      <c r="G840" t="s">
        <v>248</v>
      </c>
      <c r="H840" t="s">
        <v>324</v>
      </c>
      <c r="I840" t="s">
        <v>401</v>
      </c>
      <c r="K840" t="s">
        <v>466</v>
      </c>
      <c r="L840" t="s">
        <v>469</v>
      </c>
      <c r="M840" t="s">
        <v>471</v>
      </c>
      <c r="N840" t="s">
        <v>594</v>
      </c>
      <c r="O840" t="s">
        <v>856</v>
      </c>
      <c r="P840" s="1">
        <f>HYPERLINK("https://ec.europa.eu/info/funding-tenders/opportunities/portal/screen/opportunities/topic-details/horizon-cl5-2024-d1-01-03", "HORIZON-CL5-2024-D1-01-03")</f>
        <v>0</v>
      </c>
      <c r="Q840" t="s">
        <v>1793</v>
      </c>
    </row>
    <row r="841" spans="1:17">
      <c r="A841">
        <v>45648319</v>
      </c>
      <c r="B841">
        <v>2024</v>
      </c>
      <c r="C841" t="s">
        <v>20</v>
      </c>
      <c r="D841" t="s">
        <v>40</v>
      </c>
      <c r="E841" t="s">
        <v>71</v>
      </c>
      <c r="F841" t="s">
        <v>123</v>
      </c>
      <c r="G841" t="s">
        <v>248</v>
      </c>
      <c r="H841" t="s">
        <v>324</v>
      </c>
      <c r="I841" t="s">
        <v>401</v>
      </c>
      <c r="K841" t="s">
        <v>466</v>
      </c>
      <c r="L841" t="s">
        <v>469</v>
      </c>
      <c r="M841" t="s">
        <v>471</v>
      </c>
      <c r="N841" t="s">
        <v>594</v>
      </c>
      <c r="O841" t="s">
        <v>856</v>
      </c>
      <c r="P841" s="1">
        <f>HYPERLINK("https://ec.europa.eu/info/funding-tenders/opportunities/portal/screen/opportunities/topic-details/horizon-cl5-2024-d1-01-04", "HORIZON-CL5-2024-D1-01-04")</f>
        <v>0</v>
      </c>
      <c r="Q841" t="s">
        <v>1794</v>
      </c>
    </row>
    <row r="842" spans="1:17">
      <c r="A842">
        <v>45643801</v>
      </c>
      <c r="B842">
        <v>2024</v>
      </c>
      <c r="C842" t="s">
        <v>20</v>
      </c>
      <c r="D842" t="s">
        <v>40</v>
      </c>
      <c r="E842" t="s">
        <v>71</v>
      </c>
      <c r="F842" t="s">
        <v>123</v>
      </c>
      <c r="G842" t="s">
        <v>248</v>
      </c>
      <c r="H842" t="s">
        <v>324</v>
      </c>
      <c r="I842" t="s">
        <v>401</v>
      </c>
      <c r="K842" t="s">
        <v>466</v>
      </c>
      <c r="L842" t="s">
        <v>469</v>
      </c>
      <c r="M842" t="s">
        <v>471</v>
      </c>
      <c r="N842" t="s">
        <v>594</v>
      </c>
      <c r="O842" t="s">
        <v>856</v>
      </c>
      <c r="P842" s="1">
        <f>HYPERLINK("https://ec.europa.eu/info/funding-tenders/opportunities/portal/screen/opportunities/topic-details/horizon-cl5-2024-d1-01-05", "HORIZON-CL5-2024-D1-01-05")</f>
        <v>0</v>
      </c>
      <c r="Q842" t="s">
        <v>1795</v>
      </c>
    </row>
    <row r="843" spans="1:17">
      <c r="A843">
        <v>45645467</v>
      </c>
      <c r="B843">
        <v>2024</v>
      </c>
      <c r="C843" t="s">
        <v>20</v>
      </c>
      <c r="D843" t="s">
        <v>40</v>
      </c>
      <c r="E843" t="s">
        <v>71</v>
      </c>
      <c r="F843" t="s">
        <v>123</v>
      </c>
      <c r="G843" t="s">
        <v>248</v>
      </c>
      <c r="H843" t="s">
        <v>324</v>
      </c>
      <c r="I843" t="s">
        <v>401</v>
      </c>
      <c r="K843" t="s">
        <v>466</v>
      </c>
      <c r="L843" t="s">
        <v>469</v>
      </c>
      <c r="M843" t="s">
        <v>471</v>
      </c>
      <c r="N843" t="s">
        <v>594</v>
      </c>
      <c r="O843" t="s">
        <v>856</v>
      </c>
      <c r="P843" s="1">
        <f>HYPERLINK("https://ec.europa.eu/info/funding-tenders/opportunities/portal/screen/opportunities/topic-details/horizon-cl5-2024-d1-01-06", "HORIZON-CL5-2024-D1-01-06")</f>
        <v>0</v>
      </c>
      <c r="Q843" t="s">
        <v>1796</v>
      </c>
    </row>
    <row r="844" spans="1:17">
      <c r="A844">
        <v>45646095</v>
      </c>
      <c r="B844">
        <v>2024</v>
      </c>
      <c r="C844" t="s">
        <v>20</v>
      </c>
      <c r="D844" t="s">
        <v>40</v>
      </c>
      <c r="E844" t="s">
        <v>71</v>
      </c>
      <c r="F844" t="s">
        <v>123</v>
      </c>
      <c r="G844" t="s">
        <v>248</v>
      </c>
      <c r="H844" t="s">
        <v>324</v>
      </c>
      <c r="I844" t="s">
        <v>401</v>
      </c>
      <c r="K844" t="s">
        <v>466</v>
      </c>
      <c r="L844" t="s">
        <v>469</v>
      </c>
      <c r="M844" t="s">
        <v>471</v>
      </c>
      <c r="N844" t="s">
        <v>594</v>
      </c>
      <c r="O844" t="s">
        <v>856</v>
      </c>
      <c r="P844" s="1">
        <f>HYPERLINK("https://ec.europa.eu/info/funding-tenders/opportunities/portal/screen/opportunities/topic-details/horizon-cl5-2024-d1-01-07", "HORIZON-CL5-2024-D1-01-07")</f>
        <v>0</v>
      </c>
      <c r="Q844" t="s">
        <v>1797</v>
      </c>
    </row>
    <row r="845" spans="1:17">
      <c r="A845">
        <v>45643234</v>
      </c>
      <c r="B845">
        <v>2024</v>
      </c>
      <c r="C845" t="s">
        <v>20</v>
      </c>
      <c r="D845" t="s">
        <v>40</v>
      </c>
      <c r="E845" t="s">
        <v>76</v>
      </c>
      <c r="F845" t="s">
        <v>124</v>
      </c>
      <c r="G845" t="s">
        <v>248</v>
      </c>
      <c r="H845" t="s">
        <v>325</v>
      </c>
      <c r="I845" t="s">
        <v>249</v>
      </c>
      <c r="K845" t="s">
        <v>466</v>
      </c>
      <c r="L845" t="s">
        <v>469</v>
      </c>
      <c r="M845" t="s">
        <v>471</v>
      </c>
      <c r="N845" t="s">
        <v>595</v>
      </c>
      <c r="O845" t="s">
        <v>857</v>
      </c>
      <c r="P845" s="1">
        <f>HYPERLINK("https://ec.europa.eu/info/funding-tenders/opportunities/portal/screen/opportunities/topic-details/horizon-cl5-2024-d2-01-01", "HORIZON-CL5-2024-D2-01-01")</f>
        <v>0</v>
      </c>
      <c r="Q845" t="s">
        <v>1798</v>
      </c>
    </row>
    <row r="846" spans="1:17">
      <c r="A846">
        <v>45644874</v>
      </c>
      <c r="B846">
        <v>2024</v>
      </c>
      <c r="C846" t="s">
        <v>20</v>
      </c>
      <c r="D846" t="s">
        <v>40</v>
      </c>
      <c r="E846" t="s">
        <v>76</v>
      </c>
      <c r="F846" t="s">
        <v>124</v>
      </c>
      <c r="G846" t="s">
        <v>248</v>
      </c>
      <c r="H846" t="s">
        <v>325</v>
      </c>
      <c r="I846" t="s">
        <v>249</v>
      </c>
      <c r="K846" t="s">
        <v>466</v>
      </c>
      <c r="L846" t="s">
        <v>469</v>
      </c>
      <c r="M846" t="s">
        <v>473</v>
      </c>
      <c r="N846" t="s">
        <v>595</v>
      </c>
      <c r="O846" t="s">
        <v>857</v>
      </c>
      <c r="P846" s="1">
        <f>HYPERLINK("https://ec.europa.eu/info/funding-tenders/opportunities/portal/screen/opportunities/topic-details/horizon-cl5-2024-d2-01-02", "HORIZON-CL5-2024-D2-01-02")</f>
        <v>0</v>
      </c>
      <c r="Q846" t="s">
        <v>1799</v>
      </c>
    </row>
    <row r="847" spans="1:17">
      <c r="A847">
        <v>45646358</v>
      </c>
      <c r="B847">
        <v>2024</v>
      </c>
      <c r="C847" t="s">
        <v>20</v>
      </c>
      <c r="D847" t="s">
        <v>40</v>
      </c>
      <c r="E847" t="s">
        <v>76</v>
      </c>
      <c r="F847" t="s">
        <v>124</v>
      </c>
      <c r="G847" t="s">
        <v>248</v>
      </c>
      <c r="H847" t="s">
        <v>325</v>
      </c>
      <c r="I847" t="s">
        <v>249</v>
      </c>
      <c r="K847" t="s">
        <v>466</v>
      </c>
      <c r="L847" t="s">
        <v>469</v>
      </c>
      <c r="M847" t="s">
        <v>471</v>
      </c>
      <c r="N847" t="s">
        <v>595</v>
      </c>
      <c r="O847" t="s">
        <v>857</v>
      </c>
      <c r="P847" s="1">
        <f>HYPERLINK("https://ec.europa.eu/info/funding-tenders/opportunities/portal/screen/opportunities/topic-details/horizon-cl5-2024-d2-01-03", "HORIZON-CL5-2024-D2-01-03")</f>
        <v>0</v>
      </c>
      <c r="Q847" t="s">
        <v>1800</v>
      </c>
    </row>
    <row r="848" spans="1:17">
      <c r="A848">
        <v>45648918</v>
      </c>
      <c r="B848">
        <v>2024</v>
      </c>
      <c r="C848" t="s">
        <v>20</v>
      </c>
      <c r="D848" t="s">
        <v>40</v>
      </c>
      <c r="E848" t="s">
        <v>77</v>
      </c>
      <c r="F848" t="s">
        <v>124</v>
      </c>
      <c r="G848" t="s">
        <v>248</v>
      </c>
      <c r="H848" t="s">
        <v>325</v>
      </c>
      <c r="I848" t="s">
        <v>249</v>
      </c>
      <c r="K848" t="s">
        <v>466</v>
      </c>
      <c r="L848" t="s">
        <v>469</v>
      </c>
      <c r="M848" t="s">
        <v>471</v>
      </c>
      <c r="N848" t="s">
        <v>595</v>
      </c>
      <c r="O848" t="s">
        <v>857</v>
      </c>
      <c r="P848" s="1">
        <f>HYPERLINK("https://ec.europa.eu/info/funding-tenders/opportunities/portal/screen/opportunities/topic-details/horizon-cl5-2024-d2-01-04", "HORIZON-CL5-2024-D2-01-04")</f>
        <v>0</v>
      </c>
      <c r="Q848" t="s">
        <v>1801</v>
      </c>
    </row>
    <row r="849" spans="1:17">
      <c r="A849">
        <v>45947935</v>
      </c>
      <c r="B849">
        <v>2024</v>
      </c>
      <c r="C849" t="s">
        <v>20</v>
      </c>
      <c r="D849" t="s">
        <v>40</v>
      </c>
      <c r="E849" t="s">
        <v>76</v>
      </c>
      <c r="F849" t="s">
        <v>124</v>
      </c>
      <c r="G849" t="s">
        <v>248</v>
      </c>
      <c r="H849" t="s">
        <v>325</v>
      </c>
      <c r="I849" t="s">
        <v>249</v>
      </c>
      <c r="K849" t="s">
        <v>466</v>
      </c>
      <c r="L849" t="s">
        <v>469</v>
      </c>
      <c r="M849" t="s">
        <v>471</v>
      </c>
      <c r="N849" t="s">
        <v>595</v>
      </c>
      <c r="O849" t="s">
        <v>857</v>
      </c>
      <c r="P849" s="1">
        <f>HYPERLINK("https://ec.europa.eu/info/funding-tenders/opportunities/portal/screen/opportunities/topic-details/horizon-cl5-2024-d2-01-05", "HORIZON-CL5-2024-D2-01-05")</f>
        <v>0</v>
      </c>
      <c r="Q849" t="s">
        <v>1802</v>
      </c>
    </row>
    <row r="850" spans="1:17">
      <c r="A850">
        <v>45644913</v>
      </c>
      <c r="B850">
        <v>2024</v>
      </c>
      <c r="C850" t="s">
        <v>20</v>
      </c>
      <c r="D850" t="s">
        <v>40</v>
      </c>
      <c r="E850" t="s">
        <v>76</v>
      </c>
      <c r="F850" t="s">
        <v>135</v>
      </c>
      <c r="G850" t="s">
        <v>248</v>
      </c>
      <c r="H850" t="s">
        <v>326</v>
      </c>
      <c r="I850" t="s">
        <v>402</v>
      </c>
      <c r="K850" t="s">
        <v>467</v>
      </c>
      <c r="L850" t="s">
        <v>469</v>
      </c>
      <c r="M850" t="s">
        <v>473</v>
      </c>
      <c r="N850" t="s">
        <v>596</v>
      </c>
      <c r="O850" t="s">
        <v>857</v>
      </c>
      <c r="P850" s="1">
        <f>HYPERLINK("https://ec.europa.eu/info/funding-tenders/opportunities/portal/screen/opportunities/topic-details/horizon-cl5-2024-d2-02-01", "HORIZON-CL5-2024-D2-02-01")</f>
        <v>0</v>
      </c>
      <c r="Q850" t="s">
        <v>1803</v>
      </c>
    </row>
    <row r="851" spans="1:17">
      <c r="A851">
        <v>45646394</v>
      </c>
      <c r="B851">
        <v>2024</v>
      </c>
      <c r="C851" t="s">
        <v>20</v>
      </c>
      <c r="D851" t="s">
        <v>40</v>
      </c>
      <c r="E851" t="s">
        <v>76</v>
      </c>
      <c r="F851" t="s">
        <v>135</v>
      </c>
      <c r="G851" t="s">
        <v>248</v>
      </c>
      <c r="H851" t="s">
        <v>326</v>
      </c>
      <c r="I851" t="s">
        <v>402</v>
      </c>
      <c r="K851" t="s">
        <v>467</v>
      </c>
      <c r="L851" t="s">
        <v>469</v>
      </c>
      <c r="M851" t="s">
        <v>471</v>
      </c>
      <c r="N851" t="s">
        <v>596</v>
      </c>
      <c r="O851" t="s">
        <v>857</v>
      </c>
      <c r="P851" s="1">
        <f>HYPERLINK("https://ec.europa.eu/info/funding-tenders/opportunities/portal/screen/opportunities/topic-details/horizon-cl5-2024-d2-02-02", "HORIZON-CL5-2024-D2-02-02")</f>
        <v>0</v>
      </c>
      <c r="Q851" t="s">
        <v>1804</v>
      </c>
    </row>
    <row r="852" spans="1:17">
      <c r="A852">
        <v>45645150</v>
      </c>
      <c r="B852">
        <v>2024</v>
      </c>
      <c r="C852" t="s">
        <v>20</v>
      </c>
      <c r="D852" t="s">
        <v>40</v>
      </c>
      <c r="E852" t="s">
        <v>76</v>
      </c>
      <c r="F852" t="s">
        <v>135</v>
      </c>
      <c r="G852" t="s">
        <v>248</v>
      </c>
      <c r="H852" t="s">
        <v>326</v>
      </c>
      <c r="I852" t="s">
        <v>402</v>
      </c>
      <c r="K852" t="s">
        <v>467</v>
      </c>
      <c r="L852" t="s">
        <v>469</v>
      </c>
      <c r="M852" t="s">
        <v>473</v>
      </c>
      <c r="N852" t="s">
        <v>596</v>
      </c>
      <c r="O852" t="s">
        <v>857</v>
      </c>
      <c r="P852" s="1">
        <f>HYPERLINK("https://ec.europa.eu/info/funding-tenders/opportunities/portal/screen/opportunities/topic-details/horizon-cl5-2024-d2-02-03", "HORIZON-CL5-2024-D2-02-03")</f>
        <v>0</v>
      </c>
      <c r="Q852" t="s">
        <v>1805</v>
      </c>
    </row>
    <row r="853" spans="1:17">
      <c r="A853">
        <v>45646946</v>
      </c>
      <c r="B853">
        <v>2024</v>
      </c>
      <c r="C853" t="s">
        <v>20</v>
      </c>
      <c r="D853" t="s">
        <v>40</v>
      </c>
      <c r="E853" t="s">
        <v>80</v>
      </c>
      <c r="F853" t="s">
        <v>125</v>
      </c>
      <c r="G853" t="s">
        <v>248</v>
      </c>
      <c r="H853" t="s">
        <v>324</v>
      </c>
      <c r="I853" t="s">
        <v>287</v>
      </c>
      <c r="K853" t="s">
        <v>466</v>
      </c>
      <c r="L853" t="s">
        <v>469</v>
      </c>
      <c r="M853" t="s">
        <v>473</v>
      </c>
      <c r="N853" t="s">
        <v>597</v>
      </c>
      <c r="O853" t="s">
        <v>858</v>
      </c>
      <c r="P853" s="1">
        <f>HYPERLINK("https://ec.europa.eu/info/funding-tenders/opportunities/portal/screen/opportunities/topic-details/horizon-cl5-2024-d3-01-01", "HORIZON-CL5-2024-D3-01-01")</f>
        <v>0</v>
      </c>
      <c r="Q853" t="s">
        <v>1806</v>
      </c>
    </row>
    <row r="854" spans="1:17">
      <c r="A854">
        <v>45642761</v>
      </c>
      <c r="B854">
        <v>2024</v>
      </c>
      <c r="C854" t="s">
        <v>20</v>
      </c>
      <c r="D854" t="s">
        <v>40</v>
      </c>
      <c r="E854" t="s">
        <v>80</v>
      </c>
      <c r="F854" t="s">
        <v>125</v>
      </c>
      <c r="G854" t="s">
        <v>248</v>
      </c>
      <c r="H854" t="s">
        <v>324</v>
      </c>
      <c r="I854" t="s">
        <v>287</v>
      </c>
      <c r="K854" t="s">
        <v>466</v>
      </c>
      <c r="L854" t="s">
        <v>469</v>
      </c>
      <c r="M854" t="s">
        <v>473</v>
      </c>
      <c r="N854" t="s">
        <v>597</v>
      </c>
      <c r="O854" t="s">
        <v>858</v>
      </c>
      <c r="P854" s="1">
        <f>HYPERLINK("https://ec.europa.eu/info/funding-tenders/opportunities/portal/screen/opportunities/topic-details/horizon-cl5-2024-d3-01-02", "HORIZON-CL5-2024-D3-01-02")</f>
        <v>0</v>
      </c>
      <c r="Q854" t="s">
        <v>1807</v>
      </c>
    </row>
    <row r="855" spans="1:17">
      <c r="A855">
        <v>45644062</v>
      </c>
      <c r="B855">
        <v>2024</v>
      </c>
      <c r="C855" t="s">
        <v>20</v>
      </c>
      <c r="D855" t="s">
        <v>40</v>
      </c>
      <c r="E855" t="s">
        <v>80</v>
      </c>
      <c r="F855" t="s">
        <v>125</v>
      </c>
      <c r="G855" t="s">
        <v>248</v>
      </c>
      <c r="H855" t="s">
        <v>324</v>
      </c>
      <c r="I855" t="s">
        <v>287</v>
      </c>
      <c r="K855" t="s">
        <v>466</v>
      </c>
      <c r="L855" t="s">
        <v>469</v>
      </c>
      <c r="M855" t="s">
        <v>473</v>
      </c>
      <c r="N855" t="s">
        <v>597</v>
      </c>
      <c r="O855" t="s">
        <v>858</v>
      </c>
      <c r="P855" s="1">
        <f>HYPERLINK("https://ec.europa.eu/info/funding-tenders/opportunities/portal/screen/opportunities/topic-details/horizon-cl5-2024-d3-01-03", "HORIZON-CL5-2024-D3-01-03")</f>
        <v>0</v>
      </c>
      <c r="Q855" t="s">
        <v>1808</v>
      </c>
    </row>
    <row r="856" spans="1:17">
      <c r="A856">
        <v>45642959</v>
      </c>
      <c r="B856">
        <v>2024</v>
      </c>
      <c r="C856" t="s">
        <v>20</v>
      </c>
      <c r="D856" t="s">
        <v>40</v>
      </c>
      <c r="E856" t="s">
        <v>80</v>
      </c>
      <c r="F856" t="s">
        <v>125</v>
      </c>
      <c r="G856" t="s">
        <v>248</v>
      </c>
      <c r="H856" t="s">
        <v>324</v>
      </c>
      <c r="I856" t="s">
        <v>287</v>
      </c>
      <c r="K856" t="s">
        <v>466</v>
      </c>
      <c r="L856" t="s">
        <v>469</v>
      </c>
      <c r="M856" t="s">
        <v>471</v>
      </c>
      <c r="N856" t="s">
        <v>597</v>
      </c>
      <c r="O856" t="s">
        <v>858</v>
      </c>
      <c r="P856" s="1">
        <f>HYPERLINK("https://ec.europa.eu/info/funding-tenders/opportunities/portal/screen/opportunities/topic-details/horizon-cl5-2024-d3-01-04", "HORIZON-CL5-2024-D3-01-04")</f>
        <v>0</v>
      </c>
      <c r="Q856" t="s">
        <v>1809</v>
      </c>
    </row>
    <row r="857" spans="1:17">
      <c r="A857">
        <v>45643271</v>
      </c>
      <c r="B857">
        <v>2024</v>
      </c>
      <c r="C857" t="s">
        <v>20</v>
      </c>
      <c r="D857" t="s">
        <v>40</v>
      </c>
      <c r="E857" t="s">
        <v>80</v>
      </c>
      <c r="F857" t="s">
        <v>125</v>
      </c>
      <c r="G857" t="s">
        <v>248</v>
      </c>
      <c r="H857" t="s">
        <v>324</v>
      </c>
      <c r="I857" t="s">
        <v>287</v>
      </c>
      <c r="K857" t="s">
        <v>466</v>
      </c>
      <c r="L857" t="s">
        <v>469</v>
      </c>
      <c r="M857" t="s">
        <v>471</v>
      </c>
      <c r="N857" t="s">
        <v>597</v>
      </c>
      <c r="O857" t="s">
        <v>858</v>
      </c>
      <c r="P857" s="1">
        <f>HYPERLINK("https://ec.europa.eu/info/funding-tenders/opportunities/portal/screen/opportunities/topic-details/horizon-cl5-2024-d3-01-05", "HORIZON-CL5-2024-D3-01-05")</f>
        <v>0</v>
      </c>
      <c r="Q857" t="s">
        <v>1810</v>
      </c>
    </row>
    <row r="858" spans="1:17">
      <c r="A858">
        <v>45645499</v>
      </c>
      <c r="B858">
        <v>2024</v>
      </c>
      <c r="C858" t="s">
        <v>20</v>
      </c>
      <c r="D858" t="s">
        <v>40</v>
      </c>
      <c r="E858" t="s">
        <v>80</v>
      </c>
      <c r="F858" t="s">
        <v>125</v>
      </c>
      <c r="G858" t="s">
        <v>248</v>
      </c>
      <c r="H858" t="s">
        <v>324</v>
      </c>
      <c r="I858" t="s">
        <v>287</v>
      </c>
      <c r="K858" t="s">
        <v>466</v>
      </c>
      <c r="L858" t="s">
        <v>469</v>
      </c>
      <c r="M858" t="s">
        <v>471</v>
      </c>
      <c r="N858" t="s">
        <v>597</v>
      </c>
      <c r="O858" t="s">
        <v>858</v>
      </c>
      <c r="P858" s="1">
        <f>HYPERLINK("https://ec.europa.eu/info/funding-tenders/opportunities/portal/screen/opportunities/topic-details/horizon-cl5-2024-d3-01-06", "HORIZON-CL5-2024-D3-01-06")</f>
        <v>0</v>
      </c>
      <c r="Q858" t="s">
        <v>1811</v>
      </c>
    </row>
    <row r="859" spans="1:17">
      <c r="A859">
        <v>45645926</v>
      </c>
      <c r="B859">
        <v>2024</v>
      </c>
      <c r="C859" t="s">
        <v>20</v>
      </c>
      <c r="D859" t="s">
        <v>40</v>
      </c>
      <c r="E859" t="s">
        <v>80</v>
      </c>
      <c r="F859" t="s">
        <v>125</v>
      </c>
      <c r="G859" t="s">
        <v>248</v>
      </c>
      <c r="H859" t="s">
        <v>324</v>
      </c>
      <c r="I859" t="s">
        <v>287</v>
      </c>
      <c r="K859" t="s">
        <v>466</v>
      </c>
      <c r="L859" t="s">
        <v>469</v>
      </c>
      <c r="M859" t="s">
        <v>471</v>
      </c>
      <c r="N859" t="s">
        <v>597</v>
      </c>
      <c r="O859" t="s">
        <v>858</v>
      </c>
      <c r="P859" s="1">
        <f>HYPERLINK("https://ec.europa.eu/info/funding-tenders/opportunities/portal/screen/opportunities/topic-details/horizon-cl5-2024-d3-01-07", "HORIZON-CL5-2024-D3-01-07")</f>
        <v>0</v>
      </c>
      <c r="Q859" t="s">
        <v>1812</v>
      </c>
    </row>
    <row r="860" spans="1:17">
      <c r="A860">
        <v>45645535</v>
      </c>
      <c r="B860">
        <v>2024</v>
      </c>
      <c r="C860" t="s">
        <v>20</v>
      </c>
      <c r="D860" t="s">
        <v>40</v>
      </c>
      <c r="E860" t="s">
        <v>80</v>
      </c>
      <c r="F860" t="s">
        <v>125</v>
      </c>
      <c r="G860" t="s">
        <v>248</v>
      </c>
      <c r="H860" t="s">
        <v>324</v>
      </c>
      <c r="I860" t="s">
        <v>287</v>
      </c>
      <c r="K860" t="s">
        <v>466</v>
      </c>
      <c r="L860" t="s">
        <v>469</v>
      </c>
      <c r="M860" t="s">
        <v>473</v>
      </c>
      <c r="N860" t="s">
        <v>597</v>
      </c>
      <c r="O860" t="s">
        <v>858</v>
      </c>
      <c r="P860" s="1">
        <f>HYPERLINK("https://ec.europa.eu/info/funding-tenders/opportunities/portal/screen/opportunities/topic-details/horizon-cl5-2024-d3-01-08", "HORIZON-CL5-2024-D3-01-08")</f>
        <v>0</v>
      </c>
      <c r="Q860" t="s">
        <v>1813</v>
      </c>
    </row>
    <row r="861" spans="1:17">
      <c r="A861">
        <v>45643043</v>
      </c>
      <c r="B861">
        <v>2024</v>
      </c>
      <c r="C861" t="s">
        <v>20</v>
      </c>
      <c r="D861" t="s">
        <v>40</v>
      </c>
      <c r="E861" t="s">
        <v>80</v>
      </c>
      <c r="F861" t="s">
        <v>125</v>
      </c>
      <c r="G861" t="s">
        <v>248</v>
      </c>
      <c r="H861" t="s">
        <v>324</v>
      </c>
      <c r="I861" t="s">
        <v>287</v>
      </c>
      <c r="K861" t="s">
        <v>466</v>
      </c>
      <c r="L861" t="s">
        <v>469</v>
      </c>
      <c r="M861" t="s">
        <v>476</v>
      </c>
      <c r="N861" t="s">
        <v>597</v>
      </c>
      <c r="O861" t="s">
        <v>858</v>
      </c>
      <c r="P861" s="1">
        <f>HYPERLINK("https://ec.europa.eu/info/funding-tenders/opportunities/portal/screen/opportunities/topic-details/horizon-cl5-2024-d3-01-09", "HORIZON-CL5-2024-D3-01-09")</f>
        <v>0</v>
      </c>
      <c r="Q861" t="s">
        <v>1814</v>
      </c>
    </row>
    <row r="862" spans="1:17">
      <c r="A862">
        <v>45645957</v>
      </c>
      <c r="B862">
        <v>2024</v>
      </c>
      <c r="C862" t="s">
        <v>20</v>
      </c>
      <c r="D862" t="s">
        <v>40</v>
      </c>
      <c r="E862" t="s">
        <v>80</v>
      </c>
      <c r="F862" t="s">
        <v>125</v>
      </c>
      <c r="G862" t="s">
        <v>248</v>
      </c>
      <c r="H862" t="s">
        <v>324</v>
      </c>
      <c r="I862" t="s">
        <v>287</v>
      </c>
      <c r="K862" t="s">
        <v>466</v>
      </c>
      <c r="L862" t="s">
        <v>469</v>
      </c>
      <c r="M862" t="s">
        <v>471</v>
      </c>
      <c r="N862" t="s">
        <v>597</v>
      </c>
      <c r="O862" t="s">
        <v>858</v>
      </c>
      <c r="P862" s="1">
        <f>HYPERLINK("https://ec.europa.eu/info/funding-tenders/opportunities/portal/screen/opportunities/topic-details/horizon-cl5-2024-d3-01-10", "HORIZON-CL5-2024-D3-01-10")</f>
        <v>0</v>
      </c>
      <c r="Q862" t="s">
        <v>1540</v>
      </c>
    </row>
    <row r="863" spans="1:17">
      <c r="A863">
        <v>45644263</v>
      </c>
      <c r="B863">
        <v>2024</v>
      </c>
      <c r="C863" t="s">
        <v>20</v>
      </c>
      <c r="D863" t="s">
        <v>40</v>
      </c>
      <c r="E863" t="s">
        <v>79</v>
      </c>
      <c r="F863" t="s">
        <v>125</v>
      </c>
      <c r="G863" t="s">
        <v>248</v>
      </c>
      <c r="H863" t="s">
        <v>324</v>
      </c>
      <c r="I863" t="s">
        <v>287</v>
      </c>
      <c r="K863" t="s">
        <v>466</v>
      </c>
      <c r="L863" t="s">
        <v>469</v>
      </c>
      <c r="M863" t="s">
        <v>473</v>
      </c>
      <c r="N863" t="s">
        <v>597</v>
      </c>
      <c r="O863" t="s">
        <v>858</v>
      </c>
      <c r="P863" s="1">
        <f>HYPERLINK("https://ec.europa.eu/info/funding-tenders/opportunities/portal/screen/opportunities/topic-details/horizon-cl5-2024-d3-01-11", "HORIZON-CL5-2024-D3-01-11")</f>
        <v>0</v>
      </c>
      <c r="Q863" t="s">
        <v>1815</v>
      </c>
    </row>
    <row r="864" spans="1:17">
      <c r="A864">
        <v>45645577</v>
      </c>
      <c r="B864">
        <v>2024</v>
      </c>
      <c r="C864" t="s">
        <v>20</v>
      </c>
      <c r="D864" t="s">
        <v>40</v>
      </c>
      <c r="E864" t="s">
        <v>79</v>
      </c>
      <c r="F864" t="s">
        <v>125</v>
      </c>
      <c r="G864" t="s">
        <v>248</v>
      </c>
      <c r="H864" t="s">
        <v>324</v>
      </c>
      <c r="I864" t="s">
        <v>287</v>
      </c>
      <c r="K864" t="s">
        <v>466</v>
      </c>
      <c r="L864" t="s">
        <v>469</v>
      </c>
      <c r="M864" t="s">
        <v>473</v>
      </c>
      <c r="N864" t="s">
        <v>597</v>
      </c>
      <c r="O864" t="s">
        <v>858</v>
      </c>
      <c r="P864" s="1">
        <f>HYPERLINK("https://ec.europa.eu/info/funding-tenders/opportunities/portal/screen/opportunities/topic-details/horizon-cl5-2024-d3-01-12", "HORIZON-CL5-2024-D3-01-12")</f>
        <v>0</v>
      </c>
      <c r="Q864" t="s">
        <v>1816</v>
      </c>
    </row>
    <row r="865" spans="1:17">
      <c r="A865">
        <v>45645019</v>
      </c>
      <c r="B865">
        <v>2024</v>
      </c>
      <c r="C865" t="s">
        <v>20</v>
      </c>
      <c r="D865" t="s">
        <v>40</v>
      </c>
      <c r="E865" t="s">
        <v>79</v>
      </c>
      <c r="F865" t="s">
        <v>125</v>
      </c>
      <c r="G865" t="s">
        <v>248</v>
      </c>
      <c r="H865" t="s">
        <v>324</v>
      </c>
      <c r="I865" t="s">
        <v>287</v>
      </c>
      <c r="K865" t="s">
        <v>466</v>
      </c>
      <c r="L865" t="s">
        <v>469</v>
      </c>
      <c r="M865" t="s">
        <v>471</v>
      </c>
      <c r="N865" t="s">
        <v>597</v>
      </c>
      <c r="O865" t="s">
        <v>858</v>
      </c>
      <c r="P865" s="1">
        <f>HYPERLINK("https://ec.europa.eu/info/funding-tenders/opportunities/portal/screen/opportunities/topic-details/horizon-cl5-2024-d3-01-13", "HORIZON-CL5-2024-D3-01-13")</f>
        <v>0</v>
      </c>
      <c r="Q865" t="s">
        <v>1817</v>
      </c>
    </row>
    <row r="866" spans="1:17">
      <c r="A866">
        <v>45645052</v>
      </c>
      <c r="B866">
        <v>2024</v>
      </c>
      <c r="C866" t="s">
        <v>20</v>
      </c>
      <c r="D866" t="s">
        <v>40</v>
      </c>
      <c r="E866" t="s">
        <v>79</v>
      </c>
      <c r="F866" t="s">
        <v>125</v>
      </c>
      <c r="G866" t="s">
        <v>248</v>
      </c>
      <c r="H866" t="s">
        <v>324</v>
      </c>
      <c r="I866" t="s">
        <v>287</v>
      </c>
      <c r="K866" t="s">
        <v>466</v>
      </c>
      <c r="L866" t="s">
        <v>469</v>
      </c>
      <c r="M866" t="s">
        <v>471</v>
      </c>
      <c r="N866" t="s">
        <v>597</v>
      </c>
      <c r="O866" t="s">
        <v>858</v>
      </c>
      <c r="P866" s="1">
        <f>HYPERLINK("https://ec.europa.eu/info/funding-tenders/opportunities/portal/screen/opportunities/topic-details/horizon-cl5-2024-d3-01-14", "HORIZON-CL5-2024-D3-01-14")</f>
        <v>0</v>
      </c>
      <c r="Q866" t="s">
        <v>1818</v>
      </c>
    </row>
    <row r="867" spans="1:17">
      <c r="A867">
        <v>45645083</v>
      </c>
      <c r="B867">
        <v>2024</v>
      </c>
      <c r="C867" t="s">
        <v>20</v>
      </c>
      <c r="D867" t="s">
        <v>40</v>
      </c>
      <c r="E867" t="s">
        <v>79</v>
      </c>
      <c r="F867" t="s">
        <v>125</v>
      </c>
      <c r="G867" t="s">
        <v>248</v>
      </c>
      <c r="H867" t="s">
        <v>324</v>
      </c>
      <c r="I867" t="s">
        <v>287</v>
      </c>
      <c r="K867" t="s">
        <v>466</v>
      </c>
      <c r="L867" t="s">
        <v>469</v>
      </c>
      <c r="M867" t="s">
        <v>471</v>
      </c>
      <c r="N867" t="s">
        <v>597</v>
      </c>
      <c r="O867" t="s">
        <v>858</v>
      </c>
      <c r="P867" s="1">
        <f>HYPERLINK("https://ec.europa.eu/info/funding-tenders/opportunities/portal/screen/opportunities/topic-details/horizon-cl5-2024-d3-01-15", "HORIZON-CL5-2024-D3-01-15")</f>
        <v>0</v>
      </c>
      <c r="Q867" t="s">
        <v>1819</v>
      </c>
    </row>
    <row r="868" spans="1:17">
      <c r="A868">
        <v>45643606</v>
      </c>
      <c r="B868">
        <v>2024</v>
      </c>
      <c r="C868" t="s">
        <v>20</v>
      </c>
      <c r="D868" t="s">
        <v>40</v>
      </c>
      <c r="E868" t="s">
        <v>79</v>
      </c>
      <c r="F868" t="s">
        <v>125</v>
      </c>
      <c r="G868" t="s">
        <v>248</v>
      </c>
      <c r="H868" t="s">
        <v>324</v>
      </c>
      <c r="I868" t="s">
        <v>287</v>
      </c>
      <c r="K868" t="s">
        <v>466</v>
      </c>
      <c r="L868" t="s">
        <v>469</v>
      </c>
      <c r="M868" t="s">
        <v>473</v>
      </c>
      <c r="N868" t="s">
        <v>597</v>
      </c>
      <c r="O868" t="s">
        <v>858</v>
      </c>
      <c r="P868" s="1">
        <f>HYPERLINK("https://ec.europa.eu/info/funding-tenders/opportunities/portal/screen/opportunities/topic-details/horizon-cl5-2024-d3-01-16", "HORIZON-CL5-2024-D3-01-16")</f>
        <v>0</v>
      </c>
      <c r="Q868" t="s">
        <v>1820</v>
      </c>
    </row>
    <row r="869" spans="1:17">
      <c r="A869">
        <v>45643566</v>
      </c>
      <c r="B869">
        <v>2024</v>
      </c>
      <c r="C869" t="s">
        <v>20</v>
      </c>
      <c r="D869" t="s">
        <v>40</v>
      </c>
      <c r="E869" t="s">
        <v>79</v>
      </c>
      <c r="F869" t="s">
        <v>125</v>
      </c>
      <c r="G869" t="s">
        <v>248</v>
      </c>
      <c r="H869" t="s">
        <v>324</v>
      </c>
      <c r="I869" t="s">
        <v>287</v>
      </c>
      <c r="K869" t="s">
        <v>466</v>
      </c>
      <c r="L869" t="s">
        <v>469</v>
      </c>
      <c r="M869" t="s">
        <v>473</v>
      </c>
      <c r="N869" t="s">
        <v>597</v>
      </c>
      <c r="O869" t="s">
        <v>858</v>
      </c>
      <c r="P869" s="1">
        <f>HYPERLINK("https://ec.europa.eu/info/funding-tenders/opportunities/portal/screen/opportunities/topic-details/horizon-cl5-2024-d3-01-17", "HORIZON-CL5-2024-D3-01-17")</f>
        <v>0</v>
      </c>
      <c r="Q869" t="s">
        <v>1821</v>
      </c>
    </row>
    <row r="870" spans="1:17">
      <c r="A870">
        <v>45643639</v>
      </c>
      <c r="B870">
        <v>2024</v>
      </c>
      <c r="C870" t="s">
        <v>20</v>
      </c>
      <c r="D870" t="s">
        <v>40</v>
      </c>
      <c r="E870" t="s">
        <v>80</v>
      </c>
      <c r="F870" t="s">
        <v>126</v>
      </c>
      <c r="G870" t="s">
        <v>248</v>
      </c>
      <c r="H870" t="s">
        <v>327</v>
      </c>
      <c r="I870" t="s">
        <v>403</v>
      </c>
      <c r="K870" t="s">
        <v>468</v>
      </c>
      <c r="L870" t="s">
        <v>469</v>
      </c>
      <c r="M870" t="s">
        <v>473</v>
      </c>
      <c r="N870" t="s">
        <v>598</v>
      </c>
      <c r="O870" t="s">
        <v>858</v>
      </c>
      <c r="P870" s="1">
        <f>HYPERLINK("https://ec.europa.eu/info/funding-tenders/opportunities/portal/screen/opportunities/topic-details/horizon-cl5-2024-d3-02-01", "HORIZON-CL5-2024-D3-02-01")</f>
        <v>0</v>
      </c>
      <c r="Q870" t="s">
        <v>1822</v>
      </c>
    </row>
    <row r="871" spans="1:17">
      <c r="A871">
        <v>45645722</v>
      </c>
      <c r="B871">
        <v>2024</v>
      </c>
      <c r="C871" t="s">
        <v>20</v>
      </c>
      <c r="D871" t="s">
        <v>40</v>
      </c>
      <c r="E871" t="s">
        <v>80</v>
      </c>
      <c r="F871" t="s">
        <v>126</v>
      </c>
      <c r="G871" t="s">
        <v>248</v>
      </c>
      <c r="H871" t="s">
        <v>327</v>
      </c>
      <c r="I871" t="s">
        <v>403</v>
      </c>
      <c r="K871" t="s">
        <v>468</v>
      </c>
      <c r="L871" t="s">
        <v>469</v>
      </c>
      <c r="M871" t="s">
        <v>471</v>
      </c>
      <c r="N871" t="s">
        <v>598</v>
      </c>
      <c r="O871" t="s">
        <v>858</v>
      </c>
      <c r="P871" s="1">
        <f>HYPERLINK("https://ec.europa.eu/info/funding-tenders/opportunities/portal/screen/opportunities/topic-details/horizon-cl5-2024-d3-02-02", "HORIZON-CL5-2024-D3-02-02")</f>
        <v>0</v>
      </c>
      <c r="Q871" t="s">
        <v>1823</v>
      </c>
    </row>
    <row r="872" spans="1:17">
      <c r="A872">
        <v>45643725</v>
      </c>
      <c r="B872">
        <v>2024</v>
      </c>
      <c r="C872" t="s">
        <v>20</v>
      </c>
      <c r="D872" t="s">
        <v>40</v>
      </c>
      <c r="E872" t="s">
        <v>80</v>
      </c>
      <c r="F872" t="s">
        <v>126</v>
      </c>
      <c r="G872" t="s">
        <v>248</v>
      </c>
      <c r="H872" t="s">
        <v>327</v>
      </c>
      <c r="I872" t="s">
        <v>403</v>
      </c>
      <c r="K872" t="s">
        <v>468</v>
      </c>
      <c r="L872" t="s">
        <v>469</v>
      </c>
      <c r="M872" t="s">
        <v>471</v>
      </c>
      <c r="N872" t="s">
        <v>598</v>
      </c>
      <c r="O872" t="s">
        <v>858</v>
      </c>
      <c r="P872" s="1">
        <f>HYPERLINK("https://ec.europa.eu/info/funding-tenders/opportunities/portal/screen/opportunities/topic-details/horizon-cl5-2024-d3-02-03", "HORIZON-CL5-2024-D3-02-03")</f>
        <v>0</v>
      </c>
      <c r="Q872" t="s">
        <v>1824</v>
      </c>
    </row>
    <row r="873" spans="1:17">
      <c r="A873">
        <v>45642534</v>
      </c>
      <c r="B873">
        <v>2024</v>
      </c>
      <c r="C873" t="s">
        <v>20</v>
      </c>
      <c r="D873" t="s">
        <v>40</v>
      </c>
      <c r="E873" t="s">
        <v>80</v>
      </c>
      <c r="F873" t="s">
        <v>126</v>
      </c>
      <c r="G873" t="s">
        <v>248</v>
      </c>
      <c r="H873" t="s">
        <v>327</v>
      </c>
      <c r="I873" t="s">
        <v>403</v>
      </c>
      <c r="K873" t="s">
        <v>468</v>
      </c>
      <c r="L873" t="s">
        <v>469</v>
      </c>
      <c r="M873" t="s">
        <v>471</v>
      </c>
      <c r="N873" t="s">
        <v>598</v>
      </c>
      <c r="O873" t="s">
        <v>858</v>
      </c>
      <c r="P873" s="1">
        <f>HYPERLINK("https://ec.europa.eu/info/funding-tenders/opportunities/portal/screen/opportunities/topic-details/horizon-cl5-2024-d3-02-04", "HORIZON-CL5-2024-D3-02-04")</f>
        <v>0</v>
      </c>
      <c r="Q873" t="s">
        <v>1825</v>
      </c>
    </row>
    <row r="874" spans="1:17">
      <c r="A874">
        <v>45646984</v>
      </c>
      <c r="B874">
        <v>2024</v>
      </c>
      <c r="C874" t="s">
        <v>20</v>
      </c>
      <c r="D874" t="s">
        <v>40</v>
      </c>
      <c r="E874" t="s">
        <v>80</v>
      </c>
      <c r="F874" t="s">
        <v>126</v>
      </c>
      <c r="G874" t="s">
        <v>248</v>
      </c>
      <c r="H874" t="s">
        <v>327</v>
      </c>
      <c r="I874" t="s">
        <v>403</v>
      </c>
      <c r="K874" t="s">
        <v>468</v>
      </c>
      <c r="L874" t="s">
        <v>469</v>
      </c>
      <c r="M874" t="s">
        <v>473</v>
      </c>
      <c r="N874" t="s">
        <v>598</v>
      </c>
      <c r="O874" t="s">
        <v>858</v>
      </c>
      <c r="P874" s="1">
        <f>HYPERLINK("https://ec.europa.eu/info/funding-tenders/opportunities/portal/screen/opportunities/topic-details/horizon-cl5-2024-d3-02-05", "HORIZON-CL5-2024-D3-02-05")</f>
        <v>0</v>
      </c>
      <c r="Q874" t="s">
        <v>1826</v>
      </c>
    </row>
    <row r="875" spans="1:17">
      <c r="A875">
        <v>45644417</v>
      </c>
      <c r="B875">
        <v>2024</v>
      </c>
      <c r="C875" t="s">
        <v>20</v>
      </c>
      <c r="D875" t="s">
        <v>40</v>
      </c>
      <c r="E875" t="s">
        <v>80</v>
      </c>
      <c r="F875" t="s">
        <v>126</v>
      </c>
      <c r="G875" t="s">
        <v>248</v>
      </c>
      <c r="H875" t="s">
        <v>327</v>
      </c>
      <c r="I875" t="s">
        <v>403</v>
      </c>
      <c r="K875" t="s">
        <v>468</v>
      </c>
      <c r="L875" t="s">
        <v>469</v>
      </c>
      <c r="M875" t="s">
        <v>473</v>
      </c>
      <c r="N875" t="s">
        <v>598</v>
      </c>
      <c r="O875" t="s">
        <v>858</v>
      </c>
      <c r="P875" s="1">
        <f>HYPERLINK("https://ec.europa.eu/info/funding-tenders/opportunities/portal/screen/opportunities/topic-details/horizon-cl5-2024-d3-02-06", "HORIZON-CL5-2024-D3-02-06")</f>
        <v>0</v>
      </c>
      <c r="Q875" t="s">
        <v>1827</v>
      </c>
    </row>
    <row r="876" spans="1:17">
      <c r="A876">
        <v>45647025</v>
      </c>
      <c r="B876">
        <v>2024</v>
      </c>
      <c r="C876" t="s">
        <v>20</v>
      </c>
      <c r="D876" t="s">
        <v>40</v>
      </c>
      <c r="E876" t="s">
        <v>80</v>
      </c>
      <c r="F876" t="s">
        <v>126</v>
      </c>
      <c r="G876" t="s">
        <v>248</v>
      </c>
      <c r="H876" t="s">
        <v>327</v>
      </c>
      <c r="I876" t="s">
        <v>403</v>
      </c>
      <c r="K876" t="s">
        <v>468</v>
      </c>
      <c r="L876" t="s">
        <v>469</v>
      </c>
      <c r="M876" t="s">
        <v>472</v>
      </c>
      <c r="N876" t="s">
        <v>598</v>
      </c>
      <c r="O876" t="s">
        <v>858</v>
      </c>
      <c r="P876" s="1">
        <f>HYPERLINK("https://ec.europa.eu/info/funding-tenders/opportunities/portal/screen/opportunities/topic-details/horizon-cl5-2024-d3-02-07", "HORIZON-CL5-2024-D3-02-07")</f>
        <v>0</v>
      </c>
      <c r="Q876" t="s">
        <v>1828</v>
      </c>
    </row>
    <row r="877" spans="1:17">
      <c r="A877">
        <v>45643197</v>
      </c>
      <c r="B877">
        <v>2024</v>
      </c>
      <c r="C877" t="s">
        <v>20</v>
      </c>
      <c r="D877" t="s">
        <v>40</v>
      </c>
      <c r="E877" t="s">
        <v>80</v>
      </c>
      <c r="F877" t="s">
        <v>126</v>
      </c>
      <c r="G877" t="s">
        <v>248</v>
      </c>
      <c r="H877" t="s">
        <v>327</v>
      </c>
      <c r="I877" t="s">
        <v>403</v>
      </c>
      <c r="K877" t="s">
        <v>468</v>
      </c>
      <c r="L877" t="s">
        <v>469</v>
      </c>
      <c r="M877" t="s">
        <v>471</v>
      </c>
      <c r="N877" t="s">
        <v>598</v>
      </c>
      <c r="O877" t="s">
        <v>858</v>
      </c>
      <c r="P877" s="1">
        <f>HYPERLINK("https://ec.europa.eu/info/funding-tenders/opportunities/portal/screen/opportunities/topic-details/horizon-cl5-2024-d3-02-08", "HORIZON-CL5-2024-D3-02-08")</f>
        <v>0</v>
      </c>
      <c r="Q877" t="s">
        <v>1829</v>
      </c>
    </row>
    <row r="878" spans="1:17">
      <c r="A878">
        <v>45645613</v>
      </c>
      <c r="B878">
        <v>2024</v>
      </c>
      <c r="C878" t="s">
        <v>20</v>
      </c>
      <c r="D878" t="s">
        <v>40</v>
      </c>
      <c r="E878" t="s">
        <v>80</v>
      </c>
      <c r="F878" t="s">
        <v>126</v>
      </c>
      <c r="G878" t="s">
        <v>248</v>
      </c>
      <c r="H878" t="s">
        <v>327</v>
      </c>
      <c r="I878" t="s">
        <v>403</v>
      </c>
      <c r="K878" t="s">
        <v>468</v>
      </c>
      <c r="L878" t="s">
        <v>469</v>
      </c>
      <c r="M878" t="s">
        <v>473</v>
      </c>
      <c r="N878" t="s">
        <v>598</v>
      </c>
      <c r="O878" t="s">
        <v>858</v>
      </c>
      <c r="P878" s="1">
        <f>HYPERLINK("https://ec.europa.eu/info/funding-tenders/opportunities/portal/screen/opportunities/topic-details/horizon-cl5-2024-d3-02-09", "HORIZON-CL5-2024-D3-02-09")</f>
        <v>0</v>
      </c>
      <c r="Q878" t="s">
        <v>1830</v>
      </c>
    </row>
    <row r="879" spans="1:17">
      <c r="A879">
        <v>45643761</v>
      </c>
      <c r="B879">
        <v>2024</v>
      </c>
      <c r="C879" t="s">
        <v>20</v>
      </c>
      <c r="D879" t="s">
        <v>40</v>
      </c>
      <c r="E879" t="s">
        <v>80</v>
      </c>
      <c r="F879" t="s">
        <v>126</v>
      </c>
      <c r="G879" t="s">
        <v>248</v>
      </c>
      <c r="H879" t="s">
        <v>327</v>
      </c>
      <c r="I879" t="s">
        <v>403</v>
      </c>
      <c r="K879" t="s">
        <v>468</v>
      </c>
      <c r="L879" t="s">
        <v>469</v>
      </c>
      <c r="M879" t="s">
        <v>472</v>
      </c>
      <c r="N879" t="s">
        <v>598</v>
      </c>
      <c r="O879" t="s">
        <v>858</v>
      </c>
      <c r="P879" s="1">
        <f>HYPERLINK("https://ec.europa.eu/info/funding-tenders/opportunities/portal/screen/opportunities/topic-details/horizon-cl5-2024-d3-02-10", "HORIZON-CL5-2024-D3-02-10")</f>
        <v>0</v>
      </c>
      <c r="Q879" t="s">
        <v>1526</v>
      </c>
    </row>
    <row r="880" spans="1:17">
      <c r="A880">
        <v>45644461</v>
      </c>
      <c r="B880">
        <v>2024</v>
      </c>
      <c r="C880" t="s">
        <v>20</v>
      </c>
      <c r="D880" t="s">
        <v>40</v>
      </c>
      <c r="E880" t="s">
        <v>80</v>
      </c>
      <c r="F880" t="s">
        <v>126</v>
      </c>
      <c r="G880" t="s">
        <v>248</v>
      </c>
      <c r="H880" t="s">
        <v>327</v>
      </c>
      <c r="I880" t="s">
        <v>403</v>
      </c>
      <c r="K880" t="s">
        <v>468</v>
      </c>
      <c r="L880" t="s">
        <v>469</v>
      </c>
      <c r="M880" t="s">
        <v>473</v>
      </c>
      <c r="N880" t="s">
        <v>598</v>
      </c>
      <c r="O880" t="s">
        <v>858</v>
      </c>
      <c r="P880" s="1">
        <f>HYPERLINK("https://ec.europa.eu/info/funding-tenders/opportunities/portal/screen/opportunities/topic-details/horizon-cl5-2024-d3-02-11", "HORIZON-CL5-2024-D3-02-11")</f>
        <v>0</v>
      </c>
      <c r="Q880" t="s">
        <v>1831</v>
      </c>
    </row>
    <row r="881" spans="1:17">
      <c r="A881">
        <v>45647207</v>
      </c>
      <c r="B881">
        <v>2024</v>
      </c>
      <c r="C881" t="s">
        <v>20</v>
      </c>
      <c r="D881" t="s">
        <v>40</v>
      </c>
      <c r="E881" t="s">
        <v>80</v>
      </c>
      <c r="F881" t="s">
        <v>126</v>
      </c>
      <c r="G881" t="s">
        <v>248</v>
      </c>
      <c r="H881" t="s">
        <v>327</v>
      </c>
      <c r="I881" t="s">
        <v>403</v>
      </c>
      <c r="K881" t="s">
        <v>468</v>
      </c>
      <c r="L881" t="s">
        <v>469</v>
      </c>
      <c r="M881" t="s">
        <v>473</v>
      </c>
      <c r="N881" t="s">
        <v>598</v>
      </c>
      <c r="O881" t="s">
        <v>858</v>
      </c>
      <c r="P881" s="1">
        <f>HYPERLINK("https://ec.europa.eu/info/funding-tenders/opportunities/portal/screen/opportunities/topic-details/horizon-cl5-2024-d3-02-12", "HORIZON-CL5-2024-D3-02-12")</f>
        <v>0</v>
      </c>
      <c r="Q881" t="s">
        <v>1832</v>
      </c>
    </row>
    <row r="882" spans="1:17">
      <c r="A882">
        <v>46930385</v>
      </c>
      <c r="B882">
        <v>2024</v>
      </c>
      <c r="C882" t="s">
        <v>20</v>
      </c>
      <c r="D882" t="s">
        <v>40</v>
      </c>
      <c r="E882" t="s">
        <v>80</v>
      </c>
      <c r="F882" t="s">
        <v>126</v>
      </c>
      <c r="G882" t="s">
        <v>248</v>
      </c>
      <c r="H882" t="s">
        <v>327</v>
      </c>
      <c r="I882" t="s">
        <v>403</v>
      </c>
      <c r="K882" t="s">
        <v>468</v>
      </c>
      <c r="L882" t="s">
        <v>469</v>
      </c>
      <c r="M882" t="s">
        <v>472</v>
      </c>
      <c r="N882" t="s">
        <v>598</v>
      </c>
      <c r="O882" t="s">
        <v>858</v>
      </c>
      <c r="P882" s="1">
        <f>HYPERLINK("https://ec.europa.eu/info/funding-tenders/opportunities/portal/screen/opportunities/topic-details/horizon-cl5-2024-d3-02-13", "HORIZON-CL5-2024-D3-02-13")</f>
        <v>0</v>
      </c>
      <c r="Q882" t="s">
        <v>1833</v>
      </c>
    </row>
    <row r="883" spans="1:17">
      <c r="A883">
        <v>45643396</v>
      </c>
      <c r="B883">
        <v>2024</v>
      </c>
      <c r="C883" t="s">
        <v>20</v>
      </c>
      <c r="D883" t="s">
        <v>40</v>
      </c>
      <c r="E883" t="s">
        <v>81</v>
      </c>
      <c r="F883" t="s">
        <v>128</v>
      </c>
      <c r="G883" t="s">
        <v>248</v>
      </c>
      <c r="H883" t="s">
        <v>325</v>
      </c>
      <c r="I883" t="s">
        <v>249</v>
      </c>
      <c r="K883" t="s">
        <v>466</v>
      </c>
      <c r="L883" t="s">
        <v>469</v>
      </c>
      <c r="M883" t="s">
        <v>473</v>
      </c>
      <c r="N883" t="s">
        <v>599</v>
      </c>
      <c r="O883" t="s">
        <v>859</v>
      </c>
      <c r="P883" s="1">
        <f>HYPERLINK("https://ec.europa.eu/info/funding-tenders/opportunities/portal/screen/opportunities/topic-details/horizon-cl5-2024-d4-01-01", "HORIZON-CL5-2024-D4-01-01")</f>
        <v>0</v>
      </c>
      <c r="Q883" t="s">
        <v>1834</v>
      </c>
    </row>
    <row r="884" spans="1:17">
      <c r="A884">
        <v>45648777</v>
      </c>
      <c r="B884">
        <v>2024</v>
      </c>
      <c r="C884" t="s">
        <v>20</v>
      </c>
      <c r="D884" t="s">
        <v>40</v>
      </c>
      <c r="E884" t="s">
        <v>81</v>
      </c>
      <c r="F884" t="s">
        <v>128</v>
      </c>
      <c r="G884" t="s">
        <v>248</v>
      </c>
      <c r="H884" t="s">
        <v>325</v>
      </c>
      <c r="I884" t="s">
        <v>249</v>
      </c>
      <c r="K884" t="s">
        <v>466</v>
      </c>
      <c r="L884" t="s">
        <v>469</v>
      </c>
      <c r="M884" t="s">
        <v>473</v>
      </c>
      <c r="N884" t="s">
        <v>599</v>
      </c>
      <c r="O884" t="s">
        <v>859</v>
      </c>
      <c r="P884" s="1">
        <f>HYPERLINK("https://ec.europa.eu/info/funding-tenders/opportunities/portal/screen/opportunities/topic-details/horizon-cl5-2024-d4-01-02", "HORIZON-CL5-2024-D4-01-02")</f>
        <v>0</v>
      </c>
      <c r="Q884" t="s">
        <v>1835</v>
      </c>
    </row>
    <row r="885" spans="1:17">
      <c r="A885">
        <v>45647743</v>
      </c>
      <c r="B885">
        <v>2024</v>
      </c>
      <c r="C885" t="s">
        <v>20</v>
      </c>
      <c r="D885" t="s">
        <v>40</v>
      </c>
      <c r="E885" t="s">
        <v>81</v>
      </c>
      <c r="F885" t="s">
        <v>128</v>
      </c>
      <c r="G885" t="s">
        <v>248</v>
      </c>
      <c r="H885" t="s">
        <v>325</v>
      </c>
      <c r="I885" t="s">
        <v>249</v>
      </c>
      <c r="K885" t="s">
        <v>466</v>
      </c>
      <c r="L885" t="s">
        <v>469</v>
      </c>
      <c r="M885" t="s">
        <v>473</v>
      </c>
      <c r="N885" t="s">
        <v>599</v>
      </c>
      <c r="O885" t="s">
        <v>859</v>
      </c>
      <c r="P885" s="1">
        <f>HYPERLINK("https://ec.europa.eu/info/funding-tenders/opportunities/portal/screen/opportunities/topic-details/horizon-cl5-2024-d4-01-03", "HORIZON-CL5-2024-D4-01-03")</f>
        <v>0</v>
      </c>
      <c r="Q885" t="s">
        <v>1836</v>
      </c>
    </row>
    <row r="886" spans="1:17">
      <c r="A886">
        <v>45644666</v>
      </c>
      <c r="B886">
        <v>2024</v>
      </c>
      <c r="C886" t="s">
        <v>20</v>
      </c>
      <c r="D886" t="s">
        <v>40</v>
      </c>
      <c r="E886" t="s">
        <v>81</v>
      </c>
      <c r="F886" t="s">
        <v>129</v>
      </c>
      <c r="G886" t="s">
        <v>248</v>
      </c>
      <c r="H886" t="s">
        <v>327</v>
      </c>
      <c r="I886" t="s">
        <v>403</v>
      </c>
      <c r="K886" t="s">
        <v>468</v>
      </c>
      <c r="L886" t="s">
        <v>469</v>
      </c>
      <c r="M886" t="s">
        <v>473</v>
      </c>
      <c r="N886" t="s">
        <v>600</v>
      </c>
      <c r="O886" t="s">
        <v>859</v>
      </c>
      <c r="P886" s="1">
        <f>HYPERLINK("https://ec.europa.eu/info/funding-tenders/opportunities/portal/screen/opportunities/topic-details/horizon-cl5-2024-d4-02-01", "HORIZON-CL5-2024-D4-02-01")</f>
        <v>0</v>
      </c>
      <c r="Q886" t="s">
        <v>1837</v>
      </c>
    </row>
    <row r="887" spans="1:17">
      <c r="A887">
        <v>45642608</v>
      </c>
      <c r="B887">
        <v>2024</v>
      </c>
      <c r="C887" t="s">
        <v>20</v>
      </c>
      <c r="D887" t="s">
        <v>40</v>
      </c>
      <c r="E887" t="s">
        <v>81</v>
      </c>
      <c r="F887" t="s">
        <v>129</v>
      </c>
      <c r="G887" t="s">
        <v>248</v>
      </c>
      <c r="H887" t="s">
        <v>327</v>
      </c>
      <c r="I887" t="s">
        <v>403</v>
      </c>
      <c r="K887" t="s">
        <v>468</v>
      </c>
      <c r="L887" t="s">
        <v>469</v>
      </c>
      <c r="M887" t="s">
        <v>471</v>
      </c>
      <c r="N887" t="s">
        <v>600</v>
      </c>
      <c r="O887" t="s">
        <v>859</v>
      </c>
      <c r="P887" s="1">
        <f>HYPERLINK("https://ec.europa.eu/info/funding-tenders/opportunities/portal/screen/opportunities/topic-details/horizon-cl5-2024-d4-02-02", "HORIZON-CL5-2024-D4-02-02")</f>
        <v>0</v>
      </c>
      <c r="Q887" t="s">
        <v>1838</v>
      </c>
    </row>
    <row r="888" spans="1:17">
      <c r="A888">
        <v>45643441</v>
      </c>
      <c r="B888">
        <v>2024</v>
      </c>
      <c r="C888" t="s">
        <v>20</v>
      </c>
      <c r="D888" t="s">
        <v>40</v>
      </c>
      <c r="E888" t="s">
        <v>81</v>
      </c>
      <c r="F888" t="s">
        <v>129</v>
      </c>
      <c r="G888" t="s">
        <v>248</v>
      </c>
      <c r="H888" t="s">
        <v>327</v>
      </c>
      <c r="I888" t="s">
        <v>403</v>
      </c>
      <c r="K888" t="s">
        <v>468</v>
      </c>
      <c r="L888" t="s">
        <v>469</v>
      </c>
      <c r="M888" t="s">
        <v>473</v>
      </c>
      <c r="N888" t="s">
        <v>600</v>
      </c>
      <c r="O888" t="s">
        <v>859</v>
      </c>
      <c r="P888" s="1">
        <f>HYPERLINK("https://ec.europa.eu/info/funding-tenders/opportunities/portal/screen/opportunities/topic-details/horizon-cl5-2024-d4-02-03", "HORIZON-CL5-2024-D4-02-03")</f>
        <v>0</v>
      </c>
      <c r="Q888" t="s">
        <v>1839</v>
      </c>
    </row>
    <row r="889" spans="1:17">
      <c r="A889">
        <v>45642651</v>
      </c>
      <c r="B889">
        <v>2024</v>
      </c>
      <c r="C889" t="s">
        <v>20</v>
      </c>
      <c r="D889" t="s">
        <v>40</v>
      </c>
      <c r="E889" t="s">
        <v>81</v>
      </c>
      <c r="F889" t="s">
        <v>129</v>
      </c>
      <c r="G889" t="s">
        <v>248</v>
      </c>
      <c r="H889" t="s">
        <v>327</v>
      </c>
      <c r="I889" t="s">
        <v>403</v>
      </c>
      <c r="K889" t="s">
        <v>468</v>
      </c>
      <c r="L889" t="s">
        <v>469</v>
      </c>
      <c r="M889" t="s">
        <v>471</v>
      </c>
      <c r="N889" t="s">
        <v>600</v>
      </c>
      <c r="O889" t="s">
        <v>859</v>
      </c>
      <c r="P889" s="1">
        <f>HYPERLINK("https://ec.europa.eu/info/funding-tenders/opportunities/portal/screen/opportunities/topic-details/horizon-cl5-2024-d4-02-04", "HORIZON-CL5-2024-D4-02-04")</f>
        <v>0</v>
      </c>
      <c r="Q889" t="s">
        <v>1840</v>
      </c>
    </row>
    <row r="890" spans="1:17">
      <c r="A890">
        <v>45644583</v>
      </c>
      <c r="B890">
        <v>2024</v>
      </c>
      <c r="C890" t="s">
        <v>20</v>
      </c>
      <c r="D890" t="s">
        <v>40</v>
      </c>
      <c r="E890" t="s">
        <v>81</v>
      </c>
      <c r="F890" t="s">
        <v>129</v>
      </c>
      <c r="G890" t="s">
        <v>248</v>
      </c>
      <c r="H890" t="s">
        <v>327</v>
      </c>
      <c r="I890" t="s">
        <v>403</v>
      </c>
      <c r="K890" t="s">
        <v>468</v>
      </c>
      <c r="L890" t="s">
        <v>469</v>
      </c>
      <c r="M890" t="s">
        <v>473</v>
      </c>
      <c r="N890" t="s">
        <v>600</v>
      </c>
      <c r="O890" t="s">
        <v>859</v>
      </c>
      <c r="P890" s="1">
        <f>HYPERLINK("https://ec.europa.eu/info/funding-tenders/opportunities/portal/screen/opportunities/topic-details/horizon-cl5-2024-d4-02-05", "HORIZON-CL5-2024-D4-02-05")</f>
        <v>0</v>
      </c>
      <c r="Q890" t="s">
        <v>1841</v>
      </c>
    </row>
    <row r="891" spans="1:17">
      <c r="A891">
        <v>45647895</v>
      </c>
      <c r="B891">
        <v>2024</v>
      </c>
      <c r="C891" t="s">
        <v>20</v>
      </c>
      <c r="D891" t="s">
        <v>40</v>
      </c>
      <c r="E891" t="s">
        <v>82</v>
      </c>
      <c r="F891" t="s">
        <v>130</v>
      </c>
      <c r="G891" t="s">
        <v>248</v>
      </c>
      <c r="H891" t="s">
        <v>325</v>
      </c>
      <c r="I891" t="s">
        <v>249</v>
      </c>
      <c r="K891" t="s">
        <v>466</v>
      </c>
      <c r="L891" t="s">
        <v>469</v>
      </c>
      <c r="M891" t="s">
        <v>473</v>
      </c>
      <c r="N891" t="s">
        <v>601</v>
      </c>
      <c r="O891" t="s">
        <v>860</v>
      </c>
      <c r="P891" s="1">
        <f>HYPERLINK("https://ec.europa.eu/info/funding-tenders/opportunities/portal/screen/opportunities/topic-details/horizon-cl5-2024-d5-01-01", "HORIZON-CL5-2024-D5-01-01")</f>
        <v>0</v>
      </c>
      <c r="Q891" t="s">
        <v>1842</v>
      </c>
    </row>
    <row r="892" spans="1:17">
      <c r="A892">
        <v>45648815</v>
      </c>
      <c r="B892">
        <v>2024</v>
      </c>
      <c r="C892" t="s">
        <v>20</v>
      </c>
      <c r="D892" t="s">
        <v>40</v>
      </c>
      <c r="E892" t="s">
        <v>82</v>
      </c>
      <c r="F892" t="s">
        <v>130</v>
      </c>
      <c r="G892" t="s">
        <v>248</v>
      </c>
      <c r="H892" t="s">
        <v>325</v>
      </c>
      <c r="I892" t="s">
        <v>249</v>
      </c>
      <c r="K892" t="s">
        <v>466</v>
      </c>
      <c r="L892" t="s">
        <v>469</v>
      </c>
      <c r="M892" t="s">
        <v>471</v>
      </c>
      <c r="N892" t="s">
        <v>601</v>
      </c>
      <c r="O892" t="s">
        <v>860</v>
      </c>
      <c r="P892" s="1">
        <f>HYPERLINK("https://ec.europa.eu/info/funding-tenders/opportunities/portal/screen/opportunities/topic-details/horizon-cl5-2024-d5-01-02", "HORIZON-CL5-2024-D5-01-02")</f>
        <v>0</v>
      </c>
      <c r="Q892" t="s">
        <v>1843</v>
      </c>
    </row>
    <row r="893" spans="1:17">
      <c r="A893">
        <v>45648869</v>
      </c>
      <c r="B893">
        <v>2024</v>
      </c>
      <c r="C893" t="s">
        <v>20</v>
      </c>
      <c r="D893" t="s">
        <v>40</v>
      </c>
      <c r="E893" t="s">
        <v>82</v>
      </c>
      <c r="F893" t="s">
        <v>130</v>
      </c>
      <c r="G893" t="s">
        <v>248</v>
      </c>
      <c r="H893" t="s">
        <v>325</v>
      </c>
      <c r="I893" t="s">
        <v>249</v>
      </c>
      <c r="K893" t="s">
        <v>466</v>
      </c>
      <c r="L893" t="s">
        <v>469</v>
      </c>
      <c r="M893" t="s">
        <v>471</v>
      </c>
      <c r="N893" t="s">
        <v>601</v>
      </c>
      <c r="O893" t="s">
        <v>860</v>
      </c>
      <c r="P893" s="1">
        <f>HYPERLINK("https://ec.europa.eu/info/funding-tenders/opportunities/portal/screen/opportunities/topic-details/horizon-cl5-2024-d5-01-03", "HORIZON-CL5-2024-D5-01-03")</f>
        <v>0</v>
      </c>
      <c r="Q893" t="s">
        <v>1844</v>
      </c>
    </row>
    <row r="894" spans="1:17">
      <c r="A894">
        <v>45647950</v>
      </c>
      <c r="B894">
        <v>2024</v>
      </c>
      <c r="C894" t="s">
        <v>20</v>
      </c>
      <c r="D894" t="s">
        <v>40</v>
      </c>
      <c r="E894" t="s">
        <v>82</v>
      </c>
      <c r="F894" t="s">
        <v>130</v>
      </c>
      <c r="G894" t="s">
        <v>248</v>
      </c>
      <c r="H894" t="s">
        <v>325</v>
      </c>
      <c r="I894" t="s">
        <v>249</v>
      </c>
      <c r="K894" t="s">
        <v>466</v>
      </c>
      <c r="L894" t="s">
        <v>469</v>
      </c>
      <c r="M894" t="s">
        <v>473</v>
      </c>
      <c r="N894" t="s">
        <v>601</v>
      </c>
      <c r="O894" t="s">
        <v>860</v>
      </c>
      <c r="P894" s="1">
        <f>HYPERLINK("https://ec.europa.eu/info/funding-tenders/opportunities/portal/screen/opportunities/topic-details/horizon-cl5-2024-d5-01-04", "HORIZON-CL5-2024-D5-01-04")</f>
        <v>0</v>
      </c>
      <c r="Q894" t="s">
        <v>1845</v>
      </c>
    </row>
    <row r="895" spans="1:17">
      <c r="A895">
        <v>45648029</v>
      </c>
      <c r="B895">
        <v>2024</v>
      </c>
      <c r="C895" t="s">
        <v>20</v>
      </c>
      <c r="D895" t="s">
        <v>40</v>
      </c>
      <c r="E895" t="s">
        <v>82</v>
      </c>
      <c r="F895" t="s">
        <v>130</v>
      </c>
      <c r="G895" t="s">
        <v>248</v>
      </c>
      <c r="H895" t="s">
        <v>325</v>
      </c>
      <c r="I895" t="s">
        <v>249</v>
      </c>
      <c r="K895" t="s">
        <v>466</v>
      </c>
      <c r="L895" t="s">
        <v>469</v>
      </c>
      <c r="M895" t="s">
        <v>471</v>
      </c>
      <c r="N895" t="s">
        <v>601</v>
      </c>
      <c r="O895" t="s">
        <v>860</v>
      </c>
      <c r="P895" s="1">
        <f>HYPERLINK("https://ec.europa.eu/info/funding-tenders/opportunities/portal/screen/opportunities/topic-details/horizon-cl5-2024-d5-01-05", "HORIZON-CL5-2024-D5-01-05")</f>
        <v>0</v>
      </c>
      <c r="Q895" t="s">
        <v>1846</v>
      </c>
    </row>
    <row r="896" spans="1:17">
      <c r="A896">
        <v>45648079</v>
      </c>
      <c r="B896">
        <v>2024</v>
      </c>
      <c r="C896" t="s">
        <v>20</v>
      </c>
      <c r="D896" t="s">
        <v>40</v>
      </c>
      <c r="E896" t="s">
        <v>82</v>
      </c>
      <c r="F896" t="s">
        <v>130</v>
      </c>
      <c r="G896" t="s">
        <v>248</v>
      </c>
      <c r="H896" t="s">
        <v>325</v>
      </c>
      <c r="I896" t="s">
        <v>249</v>
      </c>
      <c r="K896" t="s">
        <v>466</v>
      </c>
      <c r="L896" t="s">
        <v>469</v>
      </c>
      <c r="M896" t="s">
        <v>473</v>
      </c>
      <c r="N896" t="s">
        <v>601</v>
      </c>
      <c r="O896" t="s">
        <v>860</v>
      </c>
      <c r="P896" s="1">
        <f>HYPERLINK("https://ec.europa.eu/info/funding-tenders/opportunities/portal/screen/opportunities/topic-details/horizon-cl5-2024-d5-01-06", "HORIZON-CL5-2024-D5-01-06")</f>
        <v>0</v>
      </c>
      <c r="Q896" t="s">
        <v>1847</v>
      </c>
    </row>
    <row r="897" spans="1:17">
      <c r="A897">
        <v>45647278</v>
      </c>
      <c r="B897">
        <v>2024</v>
      </c>
      <c r="C897" t="s">
        <v>20</v>
      </c>
      <c r="D897" t="s">
        <v>40</v>
      </c>
      <c r="E897" t="s">
        <v>82</v>
      </c>
      <c r="F897" t="s">
        <v>130</v>
      </c>
      <c r="G897" t="s">
        <v>248</v>
      </c>
      <c r="H897" t="s">
        <v>325</v>
      </c>
      <c r="I897" t="s">
        <v>249</v>
      </c>
      <c r="K897" t="s">
        <v>466</v>
      </c>
      <c r="L897" t="s">
        <v>469</v>
      </c>
      <c r="M897" t="s">
        <v>471</v>
      </c>
      <c r="N897" t="s">
        <v>601</v>
      </c>
      <c r="O897" t="s">
        <v>860</v>
      </c>
      <c r="P897" s="1">
        <f>HYPERLINK("https://ec.europa.eu/info/funding-tenders/opportunities/portal/screen/opportunities/topic-details/horizon-cl5-2024-d5-01-07", "HORIZON-CL5-2024-D5-01-07")</f>
        <v>0</v>
      </c>
      <c r="Q897" t="s">
        <v>1848</v>
      </c>
    </row>
    <row r="898" spans="1:17">
      <c r="A898">
        <v>45642387</v>
      </c>
      <c r="B898">
        <v>2024</v>
      </c>
      <c r="C898" t="s">
        <v>20</v>
      </c>
      <c r="D898" t="s">
        <v>40</v>
      </c>
      <c r="E898" t="s">
        <v>82</v>
      </c>
      <c r="F898" t="s">
        <v>130</v>
      </c>
      <c r="G898" t="s">
        <v>248</v>
      </c>
      <c r="H898" t="s">
        <v>325</v>
      </c>
      <c r="I898" t="s">
        <v>249</v>
      </c>
      <c r="K898" t="s">
        <v>466</v>
      </c>
      <c r="L898" t="s">
        <v>469</v>
      </c>
      <c r="M898" t="s">
        <v>471</v>
      </c>
      <c r="N898" t="s">
        <v>601</v>
      </c>
      <c r="O898" t="s">
        <v>860</v>
      </c>
      <c r="P898" s="1">
        <f>HYPERLINK("https://ec.europa.eu/info/funding-tenders/opportunities/portal/screen/opportunities/topic-details/horizon-cl5-2024-d5-01-08", "HORIZON-CL5-2024-D5-01-08")</f>
        <v>0</v>
      </c>
      <c r="Q898" t="s">
        <v>1849</v>
      </c>
    </row>
    <row r="899" spans="1:17">
      <c r="A899">
        <v>45643085</v>
      </c>
      <c r="B899">
        <v>2024</v>
      </c>
      <c r="C899" t="s">
        <v>20</v>
      </c>
      <c r="D899" t="s">
        <v>40</v>
      </c>
      <c r="E899" t="s">
        <v>82</v>
      </c>
      <c r="F899" t="s">
        <v>130</v>
      </c>
      <c r="G899" t="s">
        <v>248</v>
      </c>
      <c r="H899" t="s">
        <v>325</v>
      </c>
      <c r="I899" t="s">
        <v>249</v>
      </c>
      <c r="K899" t="s">
        <v>466</v>
      </c>
      <c r="L899" t="s">
        <v>469</v>
      </c>
      <c r="M899" t="s">
        <v>471</v>
      </c>
      <c r="N899" t="s">
        <v>601</v>
      </c>
      <c r="O899" t="s">
        <v>860</v>
      </c>
      <c r="P899" s="1">
        <f>HYPERLINK("https://ec.europa.eu/info/funding-tenders/opportunities/portal/screen/opportunities/topic-details/horizon-cl5-2024-d5-01-09", "HORIZON-CL5-2024-D5-01-09")</f>
        <v>0</v>
      </c>
      <c r="Q899" t="s">
        <v>1850</v>
      </c>
    </row>
    <row r="900" spans="1:17">
      <c r="A900">
        <v>45644302</v>
      </c>
      <c r="B900">
        <v>2024</v>
      </c>
      <c r="C900" t="s">
        <v>20</v>
      </c>
      <c r="D900" t="s">
        <v>40</v>
      </c>
      <c r="E900" t="s">
        <v>82</v>
      </c>
      <c r="F900" t="s">
        <v>130</v>
      </c>
      <c r="G900" t="s">
        <v>248</v>
      </c>
      <c r="H900" t="s">
        <v>325</v>
      </c>
      <c r="I900" t="s">
        <v>249</v>
      </c>
      <c r="K900" t="s">
        <v>466</v>
      </c>
      <c r="L900" t="s">
        <v>469</v>
      </c>
      <c r="M900" t="s">
        <v>471</v>
      </c>
      <c r="N900" t="s">
        <v>601</v>
      </c>
      <c r="O900" t="s">
        <v>860</v>
      </c>
      <c r="P900" s="1">
        <f>HYPERLINK("https://ec.europa.eu/info/funding-tenders/opportunities/portal/screen/opportunities/topic-details/horizon-cl5-2024-d5-01-10", "HORIZON-CL5-2024-D5-01-10")</f>
        <v>0</v>
      </c>
      <c r="Q900" t="s">
        <v>1851</v>
      </c>
    </row>
    <row r="901" spans="1:17">
      <c r="A901">
        <v>45647312</v>
      </c>
      <c r="B901">
        <v>2024</v>
      </c>
      <c r="C901" t="s">
        <v>20</v>
      </c>
      <c r="D901" t="s">
        <v>40</v>
      </c>
      <c r="E901" t="s">
        <v>82</v>
      </c>
      <c r="F901" t="s">
        <v>130</v>
      </c>
      <c r="G901" t="s">
        <v>248</v>
      </c>
      <c r="H901" t="s">
        <v>325</v>
      </c>
      <c r="I901" t="s">
        <v>249</v>
      </c>
      <c r="K901" t="s">
        <v>466</v>
      </c>
      <c r="L901" t="s">
        <v>469</v>
      </c>
      <c r="M901" t="s">
        <v>471</v>
      </c>
      <c r="N901" t="s">
        <v>601</v>
      </c>
      <c r="O901" t="s">
        <v>860</v>
      </c>
      <c r="P901" s="1">
        <f>HYPERLINK("https://ec.europa.eu/info/funding-tenders/opportunities/portal/screen/opportunities/topic-details/horizon-cl5-2024-d5-01-11", "HORIZON-CL5-2024-D5-01-11")</f>
        <v>0</v>
      </c>
      <c r="Q901" t="s">
        <v>1852</v>
      </c>
    </row>
    <row r="902" spans="1:17">
      <c r="A902">
        <v>45645757</v>
      </c>
      <c r="B902">
        <v>2024</v>
      </c>
      <c r="C902" t="s">
        <v>20</v>
      </c>
      <c r="D902" t="s">
        <v>40</v>
      </c>
      <c r="E902" t="s">
        <v>82</v>
      </c>
      <c r="F902" t="s">
        <v>130</v>
      </c>
      <c r="G902" t="s">
        <v>248</v>
      </c>
      <c r="H902" t="s">
        <v>325</v>
      </c>
      <c r="I902" t="s">
        <v>249</v>
      </c>
      <c r="K902" t="s">
        <v>466</v>
      </c>
      <c r="L902" t="s">
        <v>469</v>
      </c>
      <c r="M902" t="s">
        <v>473</v>
      </c>
      <c r="N902" t="s">
        <v>601</v>
      </c>
      <c r="O902" t="s">
        <v>860</v>
      </c>
      <c r="P902" s="1">
        <f>HYPERLINK("https://ec.europa.eu/info/funding-tenders/opportunities/portal/screen/opportunities/topic-details/horizon-cl5-2024-d5-01-12", "HORIZON-CL5-2024-D5-01-12")</f>
        <v>0</v>
      </c>
      <c r="Q902" t="s">
        <v>1853</v>
      </c>
    </row>
    <row r="903" spans="1:17">
      <c r="A903">
        <v>45645802</v>
      </c>
      <c r="B903">
        <v>2024</v>
      </c>
      <c r="C903" t="s">
        <v>20</v>
      </c>
      <c r="D903" t="s">
        <v>40</v>
      </c>
      <c r="E903" t="s">
        <v>82</v>
      </c>
      <c r="F903" t="s">
        <v>130</v>
      </c>
      <c r="G903" t="s">
        <v>248</v>
      </c>
      <c r="H903" t="s">
        <v>325</v>
      </c>
      <c r="I903" t="s">
        <v>249</v>
      </c>
      <c r="K903" t="s">
        <v>466</v>
      </c>
      <c r="L903" t="s">
        <v>469</v>
      </c>
      <c r="M903" t="s">
        <v>473</v>
      </c>
      <c r="N903" t="s">
        <v>601</v>
      </c>
      <c r="O903" t="s">
        <v>860</v>
      </c>
      <c r="P903" s="1">
        <f>HYPERLINK("https://ec.europa.eu/info/funding-tenders/opportunities/portal/screen/opportunities/topic-details/horizon-cl5-2024-d5-01-13", "HORIZON-CL5-2024-D5-01-13")</f>
        <v>0</v>
      </c>
      <c r="Q903" t="s">
        <v>1854</v>
      </c>
    </row>
    <row r="904" spans="1:17">
      <c r="A904">
        <v>45644336</v>
      </c>
      <c r="B904">
        <v>2024</v>
      </c>
      <c r="C904" t="s">
        <v>20</v>
      </c>
      <c r="D904" t="s">
        <v>40</v>
      </c>
      <c r="E904" t="s">
        <v>82</v>
      </c>
      <c r="F904" t="s">
        <v>130</v>
      </c>
      <c r="G904" t="s">
        <v>248</v>
      </c>
      <c r="H904" t="s">
        <v>325</v>
      </c>
      <c r="I904" t="s">
        <v>249</v>
      </c>
      <c r="K904" t="s">
        <v>466</v>
      </c>
      <c r="L904" t="s">
        <v>469</v>
      </c>
      <c r="M904" t="s">
        <v>473</v>
      </c>
      <c r="N904" t="s">
        <v>601</v>
      </c>
      <c r="O904" t="s">
        <v>860</v>
      </c>
      <c r="P904" s="1">
        <f>HYPERLINK("https://ec.europa.eu/info/funding-tenders/opportunities/portal/screen/opportunities/topic-details/horizon-cl5-2024-d5-01-14", "HORIZON-CL5-2024-D5-01-14")</f>
        <v>0</v>
      </c>
      <c r="Q904" t="s">
        <v>1855</v>
      </c>
    </row>
    <row r="905" spans="1:17">
      <c r="A905">
        <v>45644376</v>
      </c>
      <c r="B905">
        <v>2024</v>
      </c>
      <c r="C905" t="s">
        <v>20</v>
      </c>
      <c r="D905" t="s">
        <v>40</v>
      </c>
      <c r="E905" t="s">
        <v>82</v>
      </c>
      <c r="F905" t="s">
        <v>130</v>
      </c>
      <c r="G905" t="s">
        <v>248</v>
      </c>
      <c r="H905" t="s">
        <v>325</v>
      </c>
      <c r="I905" t="s">
        <v>249</v>
      </c>
      <c r="K905" t="s">
        <v>466</v>
      </c>
      <c r="L905" t="s">
        <v>469</v>
      </c>
      <c r="M905" t="s">
        <v>473</v>
      </c>
      <c r="N905" t="s">
        <v>601</v>
      </c>
      <c r="O905" t="s">
        <v>860</v>
      </c>
      <c r="P905" s="1">
        <f>HYPERLINK("https://ec.europa.eu/info/funding-tenders/opportunities/portal/screen/opportunities/topic-details/horizon-cl5-2024-d5-01-15", "HORIZON-CL5-2024-D5-01-15")</f>
        <v>0</v>
      </c>
      <c r="Q905" t="s">
        <v>1856</v>
      </c>
    </row>
    <row r="906" spans="1:17">
      <c r="A906">
        <v>45643116</v>
      </c>
      <c r="B906">
        <v>2024</v>
      </c>
      <c r="C906" t="s">
        <v>20</v>
      </c>
      <c r="D906" t="s">
        <v>40</v>
      </c>
      <c r="E906" t="s">
        <v>82</v>
      </c>
      <c r="F906" t="s">
        <v>130</v>
      </c>
      <c r="G906" t="s">
        <v>248</v>
      </c>
      <c r="H906" t="s">
        <v>325</v>
      </c>
      <c r="I906" t="s">
        <v>249</v>
      </c>
      <c r="K906" t="s">
        <v>466</v>
      </c>
      <c r="L906" t="s">
        <v>469</v>
      </c>
      <c r="M906" t="s">
        <v>472</v>
      </c>
      <c r="N906" t="s">
        <v>601</v>
      </c>
      <c r="O906" t="s">
        <v>860</v>
      </c>
      <c r="P906" s="1">
        <f>HYPERLINK("https://ec.europa.eu/info/funding-tenders/opportunities/portal/screen/opportunities/topic-details/horizon-cl5-2024-d5-01-16", "HORIZON-CL5-2024-D5-01-16")</f>
        <v>0</v>
      </c>
      <c r="Q906" t="s">
        <v>1857</v>
      </c>
    </row>
    <row r="907" spans="1:17">
      <c r="A907">
        <v>45643154</v>
      </c>
      <c r="B907">
        <v>2024</v>
      </c>
      <c r="C907" t="s">
        <v>20</v>
      </c>
      <c r="D907" t="s">
        <v>40</v>
      </c>
      <c r="E907" t="s">
        <v>82</v>
      </c>
      <c r="F907" t="s">
        <v>130</v>
      </c>
      <c r="G907" t="s">
        <v>248</v>
      </c>
      <c r="H907" t="s">
        <v>325</v>
      </c>
      <c r="I907" t="s">
        <v>249</v>
      </c>
      <c r="K907" t="s">
        <v>466</v>
      </c>
      <c r="L907" t="s">
        <v>469</v>
      </c>
      <c r="M907" t="s">
        <v>472</v>
      </c>
      <c r="N907" t="s">
        <v>601</v>
      </c>
      <c r="O907" t="s">
        <v>860</v>
      </c>
      <c r="P907" s="1">
        <f>HYPERLINK("https://ec.europa.eu/info/funding-tenders/opportunities/portal/screen/opportunities/topic-details/horizon-cl5-2024-d5-01-17", "HORIZON-CL5-2024-D5-01-17")</f>
        <v>0</v>
      </c>
      <c r="Q907" t="s">
        <v>1858</v>
      </c>
    </row>
    <row r="908" spans="1:17">
      <c r="A908">
        <v>45648130</v>
      </c>
      <c r="B908">
        <v>2024</v>
      </c>
      <c r="C908" t="s">
        <v>20</v>
      </c>
      <c r="D908" t="s">
        <v>40</v>
      </c>
      <c r="E908" t="s">
        <v>82</v>
      </c>
      <c r="F908" t="s">
        <v>130</v>
      </c>
      <c r="G908" t="s">
        <v>248</v>
      </c>
      <c r="H908" t="s">
        <v>325</v>
      </c>
      <c r="I908" t="s">
        <v>249</v>
      </c>
      <c r="K908" t="s">
        <v>466</v>
      </c>
      <c r="L908" t="s">
        <v>469</v>
      </c>
      <c r="M908" t="s">
        <v>471</v>
      </c>
      <c r="N908" t="s">
        <v>601</v>
      </c>
      <c r="O908" t="s">
        <v>860</v>
      </c>
      <c r="P908" s="1">
        <f>HYPERLINK("https://ec.europa.eu/info/funding-tenders/opportunities/portal/screen/opportunities/topic-details/horizon-cl5-2024-d5-01-18", "HORIZON-CL5-2024-D5-01-18")</f>
        <v>0</v>
      </c>
      <c r="Q908" t="s">
        <v>1859</v>
      </c>
    </row>
    <row r="909" spans="1:17">
      <c r="A909">
        <v>45642689</v>
      </c>
      <c r="B909">
        <v>2024</v>
      </c>
      <c r="C909" t="s">
        <v>20</v>
      </c>
      <c r="D909" t="s">
        <v>40</v>
      </c>
      <c r="E909" t="s">
        <v>82</v>
      </c>
      <c r="F909" t="s">
        <v>131</v>
      </c>
      <c r="G909" t="s">
        <v>248</v>
      </c>
      <c r="H909" t="s">
        <v>326</v>
      </c>
      <c r="I909" t="s">
        <v>402</v>
      </c>
      <c r="K909" t="s">
        <v>467</v>
      </c>
      <c r="L909" t="s">
        <v>469</v>
      </c>
      <c r="M909" t="s">
        <v>471</v>
      </c>
      <c r="N909" t="s">
        <v>602</v>
      </c>
      <c r="O909" t="s">
        <v>861</v>
      </c>
      <c r="P909" s="1">
        <f>HYPERLINK("https://ec.europa.eu/info/funding-tenders/opportunities/portal/screen/opportunities/topic-details/horizon-cl5-2024-d6-01-01", "HORIZON-CL5-2024-D6-01-01")</f>
        <v>0</v>
      </c>
      <c r="Q909" t="s">
        <v>1860</v>
      </c>
    </row>
    <row r="910" spans="1:17">
      <c r="A910">
        <v>45647088</v>
      </c>
      <c r="B910">
        <v>2024</v>
      </c>
      <c r="C910" t="s">
        <v>20</v>
      </c>
      <c r="D910" t="s">
        <v>40</v>
      </c>
      <c r="E910" t="s">
        <v>82</v>
      </c>
      <c r="F910" t="s">
        <v>131</v>
      </c>
      <c r="G910" t="s">
        <v>248</v>
      </c>
      <c r="H910" t="s">
        <v>326</v>
      </c>
      <c r="I910" t="s">
        <v>402</v>
      </c>
      <c r="K910" t="s">
        <v>467</v>
      </c>
      <c r="L910" t="s">
        <v>469</v>
      </c>
      <c r="M910" t="s">
        <v>471</v>
      </c>
      <c r="N910" t="s">
        <v>602</v>
      </c>
      <c r="O910" t="s">
        <v>861</v>
      </c>
      <c r="P910" s="1">
        <f>HYPERLINK("https://ec.europa.eu/info/funding-tenders/opportunities/portal/screen/opportunities/topic-details/horizon-cl5-2024-d6-01-02", "HORIZON-CL5-2024-D6-01-02")</f>
        <v>0</v>
      </c>
      <c r="Q910" t="s">
        <v>1861</v>
      </c>
    </row>
    <row r="911" spans="1:17">
      <c r="A911">
        <v>45647126</v>
      </c>
      <c r="B911">
        <v>2024</v>
      </c>
      <c r="C911" t="s">
        <v>20</v>
      </c>
      <c r="D911" t="s">
        <v>40</v>
      </c>
      <c r="E911" t="s">
        <v>82</v>
      </c>
      <c r="F911" t="s">
        <v>131</v>
      </c>
      <c r="G911" t="s">
        <v>248</v>
      </c>
      <c r="H911" t="s">
        <v>326</v>
      </c>
      <c r="I911" t="s">
        <v>402</v>
      </c>
      <c r="K911" t="s">
        <v>467</v>
      </c>
      <c r="L911" t="s">
        <v>469</v>
      </c>
      <c r="M911" t="s">
        <v>473</v>
      </c>
      <c r="N911" t="s">
        <v>602</v>
      </c>
      <c r="O911" t="s">
        <v>861</v>
      </c>
      <c r="P911" s="1">
        <f>HYPERLINK("https://ec.europa.eu/info/funding-tenders/opportunities/portal/screen/opportunities/topic-details/horizon-cl5-2024-d6-01-03", "HORIZON-CL5-2024-D6-01-03")</f>
        <v>0</v>
      </c>
      <c r="Q911" t="s">
        <v>1862</v>
      </c>
    </row>
    <row r="912" spans="1:17">
      <c r="A912">
        <v>45649122</v>
      </c>
      <c r="B912">
        <v>2024</v>
      </c>
      <c r="C912" t="s">
        <v>20</v>
      </c>
      <c r="D912" t="s">
        <v>40</v>
      </c>
      <c r="E912" t="s">
        <v>82</v>
      </c>
      <c r="F912" t="s">
        <v>131</v>
      </c>
      <c r="G912" t="s">
        <v>248</v>
      </c>
      <c r="H912" t="s">
        <v>326</v>
      </c>
      <c r="I912" t="s">
        <v>402</v>
      </c>
      <c r="K912" t="s">
        <v>467</v>
      </c>
      <c r="L912" t="s">
        <v>469</v>
      </c>
      <c r="M912" t="s">
        <v>471</v>
      </c>
      <c r="N912" t="s">
        <v>602</v>
      </c>
      <c r="O912" t="s">
        <v>861</v>
      </c>
      <c r="P912" s="1">
        <f>HYPERLINK("https://ec.europa.eu/info/funding-tenders/opportunities/portal/screen/opportunities/topic-details/horizon-cl5-2024-d6-01-04", "HORIZON-CL5-2024-D6-01-04")</f>
        <v>0</v>
      </c>
      <c r="Q912" t="s">
        <v>1863</v>
      </c>
    </row>
    <row r="913" spans="1:17">
      <c r="A913">
        <v>45649158</v>
      </c>
      <c r="B913">
        <v>2024</v>
      </c>
      <c r="C913" t="s">
        <v>20</v>
      </c>
      <c r="D913" t="s">
        <v>40</v>
      </c>
      <c r="E913" t="s">
        <v>82</v>
      </c>
      <c r="F913" t="s">
        <v>131</v>
      </c>
      <c r="G913" t="s">
        <v>248</v>
      </c>
      <c r="H913" t="s">
        <v>326</v>
      </c>
      <c r="I913" t="s">
        <v>402</v>
      </c>
      <c r="K913" t="s">
        <v>467</v>
      </c>
      <c r="L913" t="s">
        <v>469</v>
      </c>
      <c r="M913" t="s">
        <v>472</v>
      </c>
      <c r="N913" t="s">
        <v>602</v>
      </c>
      <c r="O913" t="s">
        <v>861</v>
      </c>
      <c r="P913" s="1">
        <f>HYPERLINK("https://ec.europa.eu/info/funding-tenders/opportunities/portal/screen/opportunities/topic-details/horizon-cl5-2024-d6-01-05", "HORIZON-CL5-2024-D6-01-05")</f>
        <v>0</v>
      </c>
      <c r="Q913" t="s">
        <v>1864</v>
      </c>
    </row>
    <row r="914" spans="1:17">
      <c r="A914">
        <v>45642065</v>
      </c>
      <c r="B914">
        <v>2024</v>
      </c>
      <c r="C914" t="s">
        <v>20</v>
      </c>
      <c r="D914" t="s">
        <v>40</v>
      </c>
      <c r="E914" t="s">
        <v>82</v>
      </c>
      <c r="F914" t="s">
        <v>131</v>
      </c>
      <c r="G914" t="s">
        <v>248</v>
      </c>
      <c r="H914" t="s">
        <v>326</v>
      </c>
      <c r="I914" t="s">
        <v>402</v>
      </c>
      <c r="K914" t="s">
        <v>467</v>
      </c>
      <c r="L914" t="s">
        <v>469</v>
      </c>
      <c r="M914" t="s">
        <v>471</v>
      </c>
      <c r="N914" t="s">
        <v>602</v>
      </c>
      <c r="O914" t="s">
        <v>861</v>
      </c>
      <c r="P914" s="1">
        <f>HYPERLINK("https://ec.europa.eu/info/funding-tenders/opportunities/portal/screen/opportunities/topic-details/horizon-cl5-2024-d6-01-06", "HORIZON-CL5-2024-D6-01-06")</f>
        <v>0</v>
      </c>
      <c r="Q914" t="s">
        <v>1865</v>
      </c>
    </row>
    <row r="915" spans="1:17">
      <c r="A915">
        <v>45642726</v>
      </c>
      <c r="B915">
        <v>2024</v>
      </c>
      <c r="C915" t="s">
        <v>20</v>
      </c>
      <c r="D915" t="s">
        <v>40</v>
      </c>
      <c r="E915" t="s">
        <v>82</v>
      </c>
      <c r="F915" t="s">
        <v>131</v>
      </c>
      <c r="G915" t="s">
        <v>248</v>
      </c>
      <c r="H915" t="s">
        <v>326</v>
      </c>
      <c r="I915" t="s">
        <v>402</v>
      </c>
      <c r="K915" t="s">
        <v>467</v>
      </c>
      <c r="L915" t="s">
        <v>469</v>
      </c>
      <c r="M915" t="s">
        <v>473</v>
      </c>
      <c r="N915" t="s">
        <v>602</v>
      </c>
      <c r="O915" t="s">
        <v>861</v>
      </c>
      <c r="P915" s="1">
        <f>HYPERLINK("https://ec.europa.eu/info/funding-tenders/opportunities/portal/screen/opportunities/topic-details/horizon-cl5-2024-d6-01-07", "HORIZON-CL5-2024-D6-01-07")</f>
        <v>0</v>
      </c>
      <c r="Q915" t="s">
        <v>1866</v>
      </c>
    </row>
    <row r="916" spans="1:17">
      <c r="A916">
        <v>45641961</v>
      </c>
      <c r="B916">
        <v>2024</v>
      </c>
      <c r="C916" t="s">
        <v>20</v>
      </c>
      <c r="D916" t="s">
        <v>40</v>
      </c>
      <c r="E916" t="s">
        <v>82</v>
      </c>
      <c r="F916" t="s">
        <v>131</v>
      </c>
      <c r="G916" t="s">
        <v>248</v>
      </c>
      <c r="H916" t="s">
        <v>326</v>
      </c>
      <c r="I916" t="s">
        <v>402</v>
      </c>
      <c r="K916" t="s">
        <v>467</v>
      </c>
      <c r="L916" t="s">
        <v>469</v>
      </c>
      <c r="M916" t="s">
        <v>473</v>
      </c>
      <c r="N916" t="s">
        <v>602</v>
      </c>
      <c r="O916" t="s">
        <v>861</v>
      </c>
      <c r="P916" s="1">
        <f>HYPERLINK("https://ec.europa.eu/info/funding-tenders/opportunities/portal/screen/opportunities/topic-details/horizon-cl5-2024-d6-01-08", "HORIZON-CL5-2024-D6-01-08")</f>
        <v>0</v>
      </c>
      <c r="Q916" t="s">
        <v>1867</v>
      </c>
    </row>
    <row r="917" spans="1:17">
      <c r="A917">
        <v>45642906</v>
      </c>
      <c r="B917">
        <v>2024</v>
      </c>
      <c r="C917" t="s">
        <v>20</v>
      </c>
      <c r="D917" t="s">
        <v>40</v>
      </c>
      <c r="E917" t="s">
        <v>82</v>
      </c>
      <c r="F917" t="s">
        <v>131</v>
      </c>
      <c r="G917" t="s">
        <v>248</v>
      </c>
      <c r="H917" t="s">
        <v>326</v>
      </c>
      <c r="I917" t="s">
        <v>402</v>
      </c>
      <c r="K917" t="s">
        <v>467</v>
      </c>
      <c r="L917" t="s">
        <v>469</v>
      </c>
      <c r="M917" t="s">
        <v>471</v>
      </c>
      <c r="N917" t="s">
        <v>602</v>
      </c>
      <c r="O917" t="s">
        <v>861</v>
      </c>
      <c r="P917" s="1">
        <f>HYPERLINK("https://ec.europa.eu/info/funding-tenders/opportunities/portal/screen/opportunities/topic-details/horizon-cl5-2024-d6-01-09", "HORIZON-CL5-2024-D6-01-09")</f>
        <v>0</v>
      </c>
      <c r="Q917" t="s">
        <v>1868</v>
      </c>
    </row>
    <row r="918" spans="1:17">
      <c r="A918">
        <v>45642104</v>
      </c>
      <c r="B918">
        <v>2024</v>
      </c>
      <c r="C918" t="s">
        <v>20</v>
      </c>
      <c r="D918" t="s">
        <v>40</v>
      </c>
      <c r="E918" t="s">
        <v>82</v>
      </c>
      <c r="F918" t="s">
        <v>131</v>
      </c>
      <c r="G918" t="s">
        <v>248</v>
      </c>
      <c r="H918" t="s">
        <v>326</v>
      </c>
      <c r="I918" t="s">
        <v>402</v>
      </c>
      <c r="K918" t="s">
        <v>467</v>
      </c>
      <c r="L918" t="s">
        <v>469</v>
      </c>
      <c r="M918" t="s">
        <v>471</v>
      </c>
      <c r="N918" t="s">
        <v>602</v>
      </c>
      <c r="O918" t="s">
        <v>861</v>
      </c>
      <c r="P918" s="1">
        <f>HYPERLINK("https://ec.europa.eu/info/funding-tenders/opportunities/portal/screen/opportunities/topic-details/horizon-cl5-2024-d6-01-10", "HORIZON-CL5-2024-D6-01-10")</f>
        <v>0</v>
      </c>
      <c r="Q918" t="s">
        <v>1869</v>
      </c>
    </row>
    <row r="919" spans="1:17">
      <c r="A919">
        <v>45647351</v>
      </c>
      <c r="B919">
        <v>2024</v>
      </c>
      <c r="C919" t="s">
        <v>20</v>
      </c>
      <c r="D919" t="s">
        <v>40</v>
      </c>
      <c r="E919" t="s">
        <v>82</v>
      </c>
      <c r="F919" t="s">
        <v>131</v>
      </c>
      <c r="G919" t="s">
        <v>248</v>
      </c>
      <c r="H919" t="s">
        <v>326</v>
      </c>
      <c r="I919" t="s">
        <v>402</v>
      </c>
      <c r="K919" t="s">
        <v>467</v>
      </c>
      <c r="L919" t="s">
        <v>469</v>
      </c>
      <c r="M919" t="s">
        <v>471</v>
      </c>
      <c r="N919" t="s">
        <v>602</v>
      </c>
      <c r="O919" t="s">
        <v>861</v>
      </c>
      <c r="P919" s="1">
        <f>HYPERLINK("https://ec.europa.eu/info/funding-tenders/opportunities/portal/screen/opportunities/topic-details/horizon-cl5-2024-d6-01-11", "HORIZON-CL5-2024-D6-01-11")</f>
        <v>0</v>
      </c>
      <c r="Q919" t="s">
        <v>1870</v>
      </c>
    </row>
    <row r="920" spans="1:17">
      <c r="A920">
        <v>45647382</v>
      </c>
      <c r="B920">
        <v>2024</v>
      </c>
      <c r="C920" t="s">
        <v>20</v>
      </c>
      <c r="D920" t="s">
        <v>40</v>
      </c>
      <c r="E920" t="s">
        <v>82</v>
      </c>
      <c r="F920" t="s">
        <v>131</v>
      </c>
      <c r="G920" t="s">
        <v>248</v>
      </c>
      <c r="H920" t="s">
        <v>326</v>
      </c>
      <c r="I920" t="s">
        <v>402</v>
      </c>
      <c r="K920" t="s">
        <v>467</v>
      </c>
      <c r="L920" t="s">
        <v>469</v>
      </c>
      <c r="M920" t="s">
        <v>471</v>
      </c>
      <c r="N920" t="s">
        <v>602</v>
      </c>
      <c r="O920" t="s">
        <v>861</v>
      </c>
      <c r="P920" s="1">
        <f>HYPERLINK("https://ec.europa.eu/info/funding-tenders/opportunities/portal/screen/opportunities/topic-details/horizon-cl5-2024-d6-01-12", "HORIZON-CL5-2024-D6-01-12")</f>
        <v>0</v>
      </c>
      <c r="Q920" t="s">
        <v>1871</v>
      </c>
    </row>
    <row r="921" spans="1:17">
      <c r="A921">
        <v>46930920</v>
      </c>
      <c r="B921">
        <v>2024</v>
      </c>
      <c r="C921" t="s">
        <v>20</v>
      </c>
      <c r="D921" t="s">
        <v>40</v>
      </c>
      <c r="E921" t="s">
        <v>83</v>
      </c>
      <c r="F921" t="s">
        <v>131</v>
      </c>
      <c r="G921" t="s">
        <v>248</v>
      </c>
      <c r="H921" t="s">
        <v>326</v>
      </c>
      <c r="I921" t="s">
        <v>402</v>
      </c>
      <c r="K921" t="s">
        <v>467</v>
      </c>
      <c r="L921" t="s">
        <v>469</v>
      </c>
      <c r="M921" t="s">
        <v>472</v>
      </c>
      <c r="N921" t="s">
        <v>602</v>
      </c>
      <c r="O921" t="s">
        <v>861</v>
      </c>
      <c r="P921" s="1">
        <f>HYPERLINK("https://ec.europa.eu/info/funding-tenders/opportunities/portal/screen/opportunities/topic-details/horizon-cl5-2024-d6-01-13", "HORIZON-CL5-2024-D6-01-13")</f>
        <v>0</v>
      </c>
      <c r="Q921" t="s">
        <v>1765</v>
      </c>
    </row>
    <row r="922" spans="1:17">
      <c r="A922">
        <v>44095849</v>
      </c>
      <c r="B922">
        <v>2021</v>
      </c>
      <c r="C922" t="s">
        <v>21</v>
      </c>
      <c r="D922" t="s">
        <v>41</v>
      </c>
      <c r="E922" t="s">
        <v>84</v>
      </c>
      <c r="F922" t="s">
        <v>136</v>
      </c>
      <c r="G922" t="s">
        <v>246</v>
      </c>
      <c r="H922" t="s">
        <v>295</v>
      </c>
      <c r="I922" t="s">
        <v>343</v>
      </c>
      <c r="K922" t="s">
        <v>466</v>
      </c>
      <c r="L922" t="s">
        <v>469</v>
      </c>
      <c r="M922" t="s">
        <v>471</v>
      </c>
      <c r="N922" t="s">
        <v>603</v>
      </c>
      <c r="O922" t="s">
        <v>862</v>
      </c>
      <c r="P922" s="1">
        <f>HYPERLINK("https://ec.europa.eu/info/funding-tenders/opportunities/portal/screen/opportunities/topic-details/horizon-cl6-2021-biodiv-01-01", "HORIZON-CL6-2021-BIODIV-01-01")</f>
        <v>0</v>
      </c>
      <c r="Q922" t="s">
        <v>1872</v>
      </c>
    </row>
    <row r="923" spans="1:17">
      <c r="A923">
        <v>44095890</v>
      </c>
      <c r="B923">
        <v>2021</v>
      </c>
      <c r="C923" t="s">
        <v>21</v>
      </c>
      <c r="D923" t="s">
        <v>41</v>
      </c>
      <c r="E923" t="s">
        <v>84</v>
      </c>
      <c r="F923" t="s">
        <v>136</v>
      </c>
      <c r="G923" t="s">
        <v>246</v>
      </c>
      <c r="H923" t="s">
        <v>295</v>
      </c>
      <c r="I923" t="s">
        <v>343</v>
      </c>
      <c r="K923" t="s">
        <v>466</v>
      </c>
      <c r="L923" t="s">
        <v>469</v>
      </c>
      <c r="M923" t="s">
        <v>471</v>
      </c>
      <c r="N923" t="s">
        <v>603</v>
      </c>
      <c r="O923" t="s">
        <v>862</v>
      </c>
      <c r="P923" s="1">
        <f>HYPERLINK("https://ec.europa.eu/info/funding-tenders/opportunities/portal/screen/opportunities/topic-details/horizon-cl6-2021-biodiv-01-02", "HORIZON-CL6-2021-BIODIV-01-02")</f>
        <v>0</v>
      </c>
      <c r="Q923" t="s">
        <v>1873</v>
      </c>
    </row>
    <row r="924" spans="1:17">
      <c r="A924">
        <v>44095923</v>
      </c>
      <c r="B924">
        <v>2021</v>
      </c>
      <c r="C924" t="s">
        <v>21</v>
      </c>
      <c r="D924" t="s">
        <v>41</v>
      </c>
      <c r="E924" t="s">
        <v>72</v>
      </c>
      <c r="F924" t="s">
        <v>136</v>
      </c>
      <c r="G924" t="s">
        <v>246</v>
      </c>
      <c r="H924" t="s">
        <v>295</v>
      </c>
      <c r="I924" t="s">
        <v>343</v>
      </c>
      <c r="K924" t="s">
        <v>466</v>
      </c>
      <c r="L924" t="s">
        <v>469</v>
      </c>
      <c r="M924" t="s">
        <v>471</v>
      </c>
      <c r="N924" t="s">
        <v>603</v>
      </c>
      <c r="O924" t="s">
        <v>862</v>
      </c>
      <c r="P924" s="1">
        <f>HYPERLINK("https://ec.europa.eu/info/funding-tenders/opportunities/portal/screen/opportunities/topic-details/horizon-cl6-2021-biodiv-01-03", "HORIZON-CL6-2021-BIODIV-01-03")</f>
        <v>0</v>
      </c>
      <c r="Q924" t="s">
        <v>1874</v>
      </c>
    </row>
    <row r="925" spans="1:17">
      <c r="A925">
        <v>44095997</v>
      </c>
      <c r="B925">
        <v>2021</v>
      </c>
      <c r="C925" t="s">
        <v>21</v>
      </c>
      <c r="D925" t="s">
        <v>41</v>
      </c>
      <c r="E925" t="s">
        <v>72</v>
      </c>
      <c r="F925" t="s">
        <v>136</v>
      </c>
      <c r="G925" t="s">
        <v>246</v>
      </c>
      <c r="H925" t="s">
        <v>295</v>
      </c>
      <c r="I925" t="s">
        <v>343</v>
      </c>
      <c r="K925" t="s">
        <v>466</v>
      </c>
      <c r="L925" t="s">
        <v>469</v>
      </c>
      <c r="M925" t="s">
        <v>471</v>
      </c>
      <c r="N925" t="s">
        <v>603</v>
      </c>
      <c r="O925" t="s">
        <v>862</v>
      </c>
      <c r="P925" s="1">
        <f>HYPERLINK("https://ec.europa.eu/info/funding-tenders/opportunities/portal/screen/opportunities/topic-details/horizon-cl6-2021-biodiv-01-04", "HORIZON-CL6-2021-BIODIV-01-04")</f>
        <v>0</v>
      </c>
      <c r="Q925" t="s">
        <v>1875</v>
      </c>
    </row>
    <row r="926" spans="1:17">
      <c r="A926">
        <v>44096079</v>
      </c>
      <c r="B926">
        <v>2021</v>
      </c>
      <c r="C926" t="s">
        <v>21</v>
      </c>
      <c r="D926" t="s">
        <v>41</v>
      </c>
      <c r="E926" t="s">
        <v>84</v>
      </c>
      <c r="F926" t="s">
        <v>136</v>
      </c>
      <c r="G926" t="s">
        <v>246</v>
      </c>
      <c r="H926" t="s">
        <v>295</v>
      </c>
      <c r="I926" t="s">
        <v>343</v>
      </c>
      <c r="K926" t="s">
        <v>466</v>
      </c>
      <c r="L926" t="s">
        <v>469</v>
      </c>
      <c r="M926" t="s">
        <v>471</v>
      </c>
      <c r="N926" t="s">
        <v>603</v>
      </c>
      <c r="O926" t="s">
        <v>862</v>
      </c>
      <c r="P926" s="1">
        <f>HYPERLINK("https://ec.europa.eu/info/funding-tenders/opportunities/portal/screen/opportunities/topic-details/horizon-cl6-2021-biodiv-01-05", "HORIZON-CL6-2021-BIODIV-01-05")</f>
        <v>0</v>
      </c>
      <c r="Q926" t="s">
        <v>1876</v>
      </c>
    </row>
    <row r="927" spans="1:17">
      <c r="A927">
        <v>44096180</v>
      </c>
      <c r="B927">
        <v>2021</v>
      </c>
      <c r="C927" t="s">
        <v>21</v>
      </c>
      <c r="D927" t="s">
        <v>41</v>
      </c>
      <c r="E927" t="s">
        <v>84</v>
      </c>
      <c r="F927" t="s">
        <v>136</v>
      </c>
      <c r="G927" t="s">
        <v>246</v>
      </c>
      <c r="H927" t="s">
        <v>295</v>
      </c>
      <c r="I927" t="s">
        <v>343</v>
      </c>
      <c r="K927" t="s">
        <v>466</v>
      </c>
      <c r="L927" t="s">
        <v>469</v>
      </c>
      <c r="M927" t="s">
        <v>472</v>
      </c>
      <c r="N927" t="s">
        <v>603</v>
      </c>
      <c r="O927" t="s">
        <v>862</v>
      </c>
      <c r="P927" s="1">
        <f>HYPERLINK("https://ec.europa.eu/info/funding-tenders/opportunities/portal/screen/opportunities/topic-details/horizon-cl6-2021-biodiv-01-06", "HORIZON-CL6-2021-BIODIV-01-06")</f>
        <v>0</v>
      </c>
      <c r="Q927" t="s">
        <v>1877</v>
      </c>
    </row>
    <row r="928" spans="1:17">
      <c r="A928">
        <v>44096251</v>
      </c>
      <c r="B928">
        <v>2021</v>
      </c>
      <c r="C928" t="s">
        <v>21</v>
      </c>
      <c r="D928" t="s">
        <v>41</v>
      </c>
      <c r="E928" t="s">
        <v>84</v>
      </c>
      <c r="F928" t="s">
        <v>136</v>
      </c>
      <c r="G928" t="s">
        <v>246</v>
      </c>
      <c r="H928" t="s">
        <v>295</v>
      </c>
      <c r="I928" t="s">
        <v>343</v>
      </c>
      <c r="K928" t="s">
        <v>466</v>
      </c>
      <c r="L928" t="s">
        <v>469</v>
      </c>
      <c r="M928" t="s">
        <v>471</v>
      </c>
      <c r="N928" t="s">
        <v>603</v>
      </c>
      <c r="O928" t="s">
        <v>862</v>
      </c>
      <c r="P928" s="1">
        <f>HYPERLINK("https://ec.europa.eu/info/funding-tenders/opportunities/portal/screen/opportunities/topic-details/horizon-cl6-2021-biodiv-01-07", "HORIZON-CL6-2021-BIODIV-01-07")</f>
        <v>0</v>
      </c>
      <c r="Q928" t="s">
        <v>1878</v>
      </c>
    </row>
    <row r="929" spans="1:17">
      <c r="A929">
        <v>44096315</v>
      </c>
      <c r="B929">
        <v>2021</v>
      </c>
      <c r="C929" t="s">
        <v>21</v>
      </c>
      <c r="D929" t="s">
        <v>41</v>
      </c>
      <c r="E929" t="s">
        <v>84</v>
      </c>
      <c r="F929" t="s">
        <v>136</v>
      </c>
      <c r="G929" t="s">
        <v>246</v>
      </c>
      <c r="H929" t="s">
        <v>295</v>
      </c>
      <c r="I929" t="s">
        <v>343</v>
      </c>
      <c r="K929" t="s">
        <v>466</v>
      </c>
      <c r="L929" t="s">
        <v>469</v>
      </c>
      <c r="M929" t="s">
        <v>473</v>
      </c>
      <c r="N929" t="s">
        <v>603</v>
      </c>
      <c r="O929" t="s">
        <v>862</v>
      </c>
      <c r="P929" s="1">
        <f>HYPERLINK("https://ec.europa.eu/info/funding-tenders/opportunities/portal/screen/opportunities/topic-details/horizon-cl6-2021-biodiv-01-08", "HORIZON-CL6-2021-BIODIV-01-08")</f>
        <v>0</v>
      </c>
      <c r="Q929" t="s">
        <v>1879</v>
      </c>
    </row>
    <row r="930" spans="1:17">
      <c r="A930">
        <v>44096377</v>
      </c>
      <c r="B930">
        <v>2021</v>
      </c>
      <c r="C930" t="s">
        <v>21</v>
      </c>
      <c r="D930" t="s">
        <v>41</v>
      </c>
      <c r="E930" t="s">
        <v>85</v>
      </c>
      <c r="F930" t="s">
        <v>136</v>
      </c>
      <c r="G930" t="s">
        <v>246</v>
      </c>
      <c r="H930" t="s">
        <v>295</v>
      </c>
      <c r="I930" t="s">
        <v>343</v>
      </c>
      <c r="K930" t="s">
        <v>466</v>
      </c>
      <c r="L930" t="s">
        <v>469</v>
      </c>
      <c r="M930" t="s">
        <v>472</v>
      </c>
      <c r="N930" t="s">
        <v>603</v>
      </c>
      <c r="O930" t="s">
        <v>862</v>
      </c>
      <c r="P930" s="1">
        <f>HYPERLINK("https://ec.europa.eu/info/funding-tenders/opportunities/portal/screen/opportunities/topic-details/horizon-cl6-2021-biodiv-01-09", "HORIZON-CL6-2021-BIODIV-01-09")</f>
        <v>0</v>
      </c>
      <c r="Q930" t="s">
        <v>1880</v>
      </c>
    </row>
    <row r="931" spans="1:17">
      <c r="A931">
        <v>44096406</v>
      </c>
      <c r="B931">
        <v>2021</v>
      </c>
      <c r="C931" t="s">
        <v>21</v>
      </c>
      <c r="D931" t="s">
        <v>41</v>
      </c>
      <c r="E931" t="s">
        <v>72</v>
      </c>
      <c r="F931" t="s">
        <v>136</v>
      </c>
      <c r="G931" t="s">
        <v>246</v>
      </c>
      <c r="H931" t="s">
        <v>295</v>
      </c>
      <c r="I931" t="s">
        <v>343</v>
      </c>
      <c r="K931" t="s">
        <v>466</v>
      </c>
      <c r="L931" t="s">
        <v>469</v>
      </c>
      <c r="M931" t="s">
        <v>473</v>
      </c>
      <c r="N931" t="s">
        <v>603</v>
      </c>
      <c r="O931" t="s">
        <v>862</v>
      </c>
      <c r="P931" s="1">
        <f>HYPERLINK("https://ec.europa.eu/info/funding-tenders/opportunities/portal/screen/opportunities/topic-details/horizon-cl6-2021-biodiv-01-10", "HORIZON-CL6-2021-BIODIV-01-10")</f>
        <v>0</v>
      </c>
      <c r="Q931" t="s">
        <v>1881</v>
      </c>
    </row>
    <row r="932" spans="1:17">
      <c r="A932">
        <v>44096499</v>
      </c>
      <c r="B932">
        <v>2021</v>
      </c>
      <c r="C932" t="s">
        <v>21</v>
      </c>
      <c r="D932" t="s">
        <v>41</v>
      </c>
      <c r="E932" t="s">
        <v>84</v>
      </c>
      <c r="F932" t="s">
        <v>136</v>
      </c>
      <c r="G932" t="s">
        <v>246</v>
      </c>
      <c r="H932" t="s">
        <v>295</v>
      </c>
      <c r="I932" t="s">
        <v>343</v>
      </c>
      <c r="K932" t="s">
        <v>466</v>
      </c>
      <c r="L932" t="s">
        <v>469</v>
      </c>
      <c r="M932" t="s">
        <v>471</v>
      </c>
      <c r="N932" t="s">
        <v>603</v>
      </c>
      <c r="O932" t="s">
        <v>862</v>
      </c>
      <c r="P932" s="1">
        <f>HYPERLINK("https://ec.europa.eu/info/funding-tenders/opportunities/portal/screen/opportunities/topic-details/horizon-cl6-2021-biodiv-01-11", "HORIZON-CL6-2021-BIODIV-01-11")</f>
        <v>0</v>
      </c>
      <c r="Q932" t="s">
        <v>1882</v>
      </c>
    </row>
    <row r="933" spans="1:17">
      <c r="A933">
        <v>44096552</v>
      </c>
      <c r="B933">
        <v>2021</v>
      </c>
      <c r="C933" t="s">
        <v>21</v>
      </c>
      <c r="D933" t="s">
        <v>41</v>
      </c>
      <c r="E933" t="s">
        <v>72</v>
      </c>
      <c r="F933" t="s">
        <v>136</v>
      </c>
      <c r="G933" t="s">
        <v>246</v>
      </c>
      <c r="H933" t="s">
        <v>295</v>
      </c>
      <c r="I933" t="s">
        <v>343</v>
      </c>
      <c r="K933" t="s">
        <v>466</v>
      </c>
      <c r="L933" t="s">
        <v>469</v>
      </c>
      <c r="M933" t="s">
        <v>471</v>
      </c>
      <c r="N933" t="s">
        <v>603</v>
      </c>
      <c r="O933" t="s">
        <v>862</v>
      </c>
      <c r="P933" s="1">
        <f>HYPERLINK("https://ec.europa.eu/info/funding-tenders/opportunities/portal/screen/opportunities/topic-details/horizon-cl6-2021-biodiv-01-12", "HORIZON-CL6-2021-BIODIV-01-12")</f>
        <v>0</v>
      </c>
      <c r="Q933" t="s">
        <v>1883</v>
      </c>
    </row>
    <row r="934" spans="1:17">
      <c r="A934">
        <v>44096653</v>
      </c>
      <c r="B934">
        <v>2021</v>
      </c>
      <c r="C934" t="s">
        <v>21</v>
      </c>
      <c r="D934" t="s">
        <v>41</v>
      </c>
      <c r="E934" t="s">
        <v>74</v>
      </c>
      <c r="F934" t="s">
        <v>136</v>
      </c>
      <c r="G934" t="s">
        <v>246</v>
      </c>
      <c r="H934" t="s">
        <v>295</v>
      </c>
      <c r="I934" t="s">
        <v>343</v>
      </c>
      <c r="K934" t="s">
        <v>466</v>
      </c>
      <c r="L934" t="s">
        <v>469</v>
      </c>
      <c r="M934" t="s">
        <v>471</v>
      </c>
      <c r="N934" t="s">
        <v>603</v>
      </c>
      <c r="O934" t="s">
        <v>862</v>
      </c>
      <c r="P934" s="1">
        <f>HYPERLINK("https://ec.europa.eu/info/funding-tenders/opportunities/portal/screen/opportunities/topic-details/horizon-cl6-2021-biodiv-01-13", "HORIZON-CL6-2021-BIODIV-01-13")</f>
        <v>0</v>
      </c>
      <c r="Q934" t="s">
        <v>1884</v>
      </c>
    </row>
    <row r="935" spans="1:17">
      <c r="A935">
        <v>44096699</v>
      </c>
      <c r="B935">
        <v>2021</v>
      </c>
      <c r="C935" t="s">
        <v>21</v>
      </c>
      <c r="D935" t="s">
        <v>41</v>
      </c>
      <c r="E935" t="s">
        <v>74</v>
      </c>
      <c r="F935" t="s">
        <v>136</v>
      </c>
      <c r="G935" t="s">
        <v>246</v>
      </c>
      <c r="H935" t="s">
        <v>295</v>
      </c>
      <c r="I935" t="s">
        <v>343</v>
      </c>
      <c r="K935" t="s">
        <v>466</v>
      </c>
      <c r="L935" t="s">
        <v>469</v>
      </c>
      <c r="M935" t="s">
        <v>473</v>
      </c>
      <c r="N935" t="s">
        <v>603</v>
      </c>
      <c r="O935" t="s">
        <v>862</v>
      </c>
      <c r="P935" s="1">
        <f>HYPERLINK("https://ec.europa.eu/info/funding-tenders/opportunities/portal/screen/opportunities/topic-details/horizon-cl6-2021-biodiv-01-14", "HORIZON-CL6-2021-BIODIV-01-14")</f>
        <v>0</v>
      </c>
      <c r="Q935" t="s">
        <v>1885</v>
      </c>
    </row>
    <row r="936" spans="1:17">
      <c r="A936">
        <v>44096766</v>
      </c>
      <c r="B936">
        <v>2021</v>
      </c>
      <c r="C936" t="s">
        <v>21</v>
      </c>
      <c r="D936" t="s">
        <v>41</v>
      </c>
      <c r="E936" t="s">
        <v>84</v>
      </c>
      <c r="F936" t="s">
        <v>136</v>
      </c>
      <c r="G936" t="s">
        <v>246</v>
      </c>
      <c r="H936" t="s">
        <v>295</v>
      </c>
      <c r="I936" t="s">
        <v>343</v>
      </c>
      <c r="K936" t="s">
        <v>466</v>
      </c>
      <c r="L936" t="s">
        <v>469</v>
      </c>
      <c r="M936" t="s">
        <v>471</v>
      </c>
      <c r="N936" t="s">
        <v>603</v>
      </c>
      <c r="O936" t="s">
        <v>862</v>
      </c>
      <c r="P936" s="1">
        <f>HYPERLINK("https://ec.europa.eu/info/funding-tenders/opportunities/portal/screen/opportunities/topic-details/horizon-cl6-2021-biodiv-01-15", "HORIZON-CL6-2021-BIODIV-01-15")</f>
        <v>0</v>
      </c>
      <c r="Q936" t="s">
        <v>1886</v>
      </c>
    </row>
    <row r="937" spans="1:17">
      <c r="A937">
        <v>44096813</v>
      </c>
      <c r="B937">
        <v>2021</v>
      </c>
      <c r="C937" t="s">
        <v>21</v>
      </c>
      <c r="D937" t="s">
        <v>41</v>
      </c>
      <c r="E937" t="s">
        <v>84</v>
      </c>
      <c r="F937" t="s">
        <v>136</v>
      </c>
      <c r="G937" t="s">
        <v>246</v>
      </c>
      <c r="H937" t="s">
        <v>295</v>
      </c>
      <c r="I937" t="s">
        <v>343</v>
      </c>
      <c r="K937" t="s">
        <v>466</v>
      </c>
      <c r="L937" t="s">
        <v>469</v>
      </c>
      <c r="M937" t="s">
        <v>471</v>
      </c>
      <c r="N937" t="s">
        <v>603</v>
      </c>
      <c r="O937" t="s">
        <v>862</v>
      </c>
      <c r="P937" s="1">
        <f>HYPERLINK("https://ec.europa.eu/info/funding-tenders/opportunities/portal/screen/opportunities/topic-details/horizon-cl6-2021-biodiv-01-16", "HORIZON-CL6-2021-BIODIV-01-16")</f>
        <v>0</v>
      </c>
      <c r="Q937" t="s">
        <v>1887</v>
      </c>
    </row>
    <row r="938" spans="1:17">
      <c r="A938">
        <v>44096868</v>
      </c>
      <c r="B938">
        <v>2021</v>
      </c>
      <c r="C938" t="s">
        <v>21</v>
      </c>
      <c r="D938" t="s">
        <v>41</v>
      </c>
      <c r="E938" t="s">
        <v>84</v>
      </c>
      <c r="F938" t="s">
        <v>136</v>
      </c>
      <c r="G938" t="s">
        <v>246</v>
      </c>
      <c r="H938" t="s">
        <v>295</v>
      </c>
      <c r="I938" t="s">
        <v>343</v>
      </c>
      <c r="K938" t="s">
        <v>466</v>
      </c>
      <c r="L938" t="s">
        <v>469</v>
      </c>
      <c r="M938" t="s">
        <v>471</v>
      </c>
      <c r="N938" t="s">
        <v>603</v>
      </c>
      <c r="O938" t="s">
        <v>862</v>
      </c>
      <c r="P938" s="1">
        <f>HYPERLINK("https://ec.europa.eu/info/funding-tenders/opportunities/portal/screen/opportunities/topic-details/horizon-cl6-2021-biodiv-01-17", "HORIZON-CL6-2021-BIODIV-01-17")</f>
        <v>0</v>
      </c>
      <c r="Q938" t="s">
        <v>1888</v>
      </c>
    </row>
    <row r="939" spans="1:17">
      <c r="A939">
        <v>44091107</v>
      </c>
      <c r="B939">
        <v>2021</v>
      </c>
      <c r="C939" t="s">
        <v>21</v>
      </c>
      <c r="D939" t="s">
        <v>41</v>
      </c>
      <c r="E939" t="s">
        <v>84</v>
      </c>
      <c r="F939" t="s">
        <v>136</v>
      </c>
      <c r="G939" t="s">
        <v>246</v>
      </c>
      <c r="H939" t="s">
        <v>295</v>
      </c>
      <c r="I939" t="s">
        <v>343</v>
      </c>
      <c r="K939" t="s">
        <v>466</v>
      </c>
      <c r="L939" t="s">
        <v>469</v>
      </c>
      <c r="M939" t="s">
        <v>471</v>
      </c>
      <c r="N939" t="s">
        <v>603</v>
      </c>
      <c r="O939" t="s">
        <v>862</v>
      </c>
      <c r="P939" s="1">
        <f>HYPERLINK("https://ec.europa.eu/info/funding-tenders/opportunities/portal/screen/opportunities/topic-details/horizon-cl6-2021-biodiv-01-18", "HORIZON-CL6-2021-BIODIV-01-18")</f>
        <v>0</v>
      </c>
      <c r="Q939" t="s">
        <v>1889</v>
      </c>
    </row>
    <row r="940" spans="1:17">
      <c r="A940">
        <v>44096913</v>
      </c>
      <c r="B940">
        <v>2021</v>
      </c>
      <c r="C940" t="s">
        <v>21</v>
      </c>
      <c r="D940" t="s">
        <v>41</v>
      </c>
      <c r="E940" t="s">
        <v>84</v>
      </c>
      <c r="F940" t="s">
        <v>136</v>
      </c>
      <c r="G940" t="s">
        <v>246</v>
      </c>
      <c r="H940" t="s">
        <v>295</v>
      </c>
      <c r="I940" t="s">
        <v>343</v>
      </c>
      <c r="K940" t="s">
        <v>466</v>
      </c>
      <c r="L940" t="s">
        <v>469</v>
      </c>
      <c r="M940" t="s">
        <v>472</v>
      </c>
      <c r="N940" t="s">
        <v>603</v>
      </c>
      <c r="O940" t="s">
        <v>862</v>
      </c>
      <c r="P940" s="1">
        <f>HYPERLINK("https://ec.europa.eu/info/funding-tenders/opportunities/portal/screen/opportunities/topic-details/horizon-cl6-2021-biodiv-01-19", "HORIZON-CL6-2021-BIODIV-01-19")</f>
        <v>0</v>
      </c>
      <c r="Q940" t="s">
        <v>1890</v>
      </c>
    </row>
    <row r="941" spans="1:17">
      <c r="A941">
        <v>44096941</v>
      </c>
      <c r="B941">
        <v>2021</v>
      </c>
      <c r="C941" t="s">
        <v>21</v>
      </c>
      <c r="D941" t="s">
        <v>41</v>
      </c>
      <c r="E941" t="s">
        <v>84</v>
      </c>
      <c r="F941" t="s">
        <v>136</v>
      </c>
      <c r="G941" t="s">
        <v>246</v>
      </c>
      <c r="H941" t="s">
        <v>295</v>
      </c>
      <c r="I941" t="s">
        <v>343</v>
      </c>
      <c r="K941" t="s">
        <v>466</v>
      </c>
      <c r="L941" t="s">
        <v>469</v>
      </c>
      <c r="M941" t="s">
        <v>472</v>
      </c>
      <c r="N941" t="s">
        <v>603</v>
      </c>
      <c r="O941" t="s">
        <v>862</v>
      </c>
      <c r="P941" s="1">
        <f>HYPERLINK("https://ec.europa.eu/info/funding-tenders/opportunities/portal/screen/opportunities/topic-details/horizon-cl6-2021-biodiv-01-20", "HORIZON-CL6-2021-BIODIV-01-20")</f>
        <v>0</v>
      </c>
      <c r="Q941" t="s">
        <v>1891</v>
      </c>
    </row>
    <row r="942" spans="1:17">
      <c r="A942">
        <v>44096975</v>
      </c>
      <c r="B942">
        <v>2021</v>
      </c>
      <c r="C942" t="s">
        <v>21</v>
      </c>
      <c r="D942" t="s">
        <v>41</v>
      </c>
      <c r="E942" t="s">
        <v>84</v>
      </c>
      <c r="F942" t="s">
        <v>136</v>
      </c>
      <c r="G942" t="s">
        <v>246</v>
      </c>
      <c r="H942" t="s">
        <v>295</v>
      </c>
      <c r="I942" t="s">
        <v>343</v>
      </c>
      <c r="K942" t="s">
        <v>466</v>
      </c>
      <c r="L942" t="s">
        <v>469</v>
      </c>
      <c r="M942" t="s">
        <v>471</v>
      </c>
      <c r="N942" t="s">
        <v>603</v>
      </c>
      <c r="O942" t="s">
        <v>862</v>
      </c>
      <c r="P942" s="1">
        <f>HYPERLINK("https://ec.europa.eu/info/funding-tenders/opportunities/portal/screen/opportunities/topic-details/horizon-cl6-2021-biodiv-01-21", "HORIZON-CL6-2021-BIODIV-01-21")</f>
        <v>0</v>
      </c>
      <c r="Q942" t="s">
        <v>1892</v>
      </c>
    </row>
    <row r="943" spans="1:17">
      <c r="A943">
        <v>43966258</v>
      </c>
      <c r="B943">
        <v>2021</v>
      </c>
      <c r="C943" t="s">
        <v>21</v>
      </c>
      <c r="D943" t="s">
        <v>41</v>
      </c>
      <c r="E943" t="s">
        <v>84</v>
      </c>
      <c r="F943" t="s">
        <v>137</v>
      </c>
      <c r="G943" t="s">
        <v>247</v>
      </c>
      <c r="H943" t="s">
        <v>295</v>
      </c>
      <c r="I943" t="s">
        <v>404</v>
      </c>
      <c r="K943" t="s">
        <v>466</v>
      </c>
      <c r="L943" t="s">
        <v>469</v>
      </c>
      <c r="M943" t="s">
        <v>476</v>
      </c>
      <c r="N943" t="s">
        <v>604</v>
      </c>
      <c r="O943" t="s">
        <v>862</v>
      </c>
      <c r="P943" s="1">
        <f>HYPERLINK("https://ec.europa.eu/info/funding-tenders/opportunities/portal/screen/opportunities/topic-details/horizon-cl6-2021-biodiv-02-01", "HORIZON-CL6-2021-BIODIV-02-01")</f>
        <v>0</v>
      </c>
      <c r="Q943" t="s">
        <v>1893</v>
      </c>
    </row>
    <row r="944" spans="1:17">
      <c r="A944">
        <v>44089026</v>
      </c>
      <c r="B944">
        <v>2021</v>
      </c>
      <c r="C944" t="s">
        <v>21</v>
      </c>
      <c r="D944" t="s">
        <v>41</v>
      </c>
      <c r="E944" t="s">
        <v>85</v>
      </c>
      <c r="F944" t="s">
        <v>138</v>
      </c>
      <c r="G944" t="s">
        <v>246</v>
      </c>
      <c r="H944" t="s">
        <v>295</v>
      </c>
      <c r="I944" t="s">
        <v>343</v>
      </c>
      <c r="K944" t="s">
        <v>466</v>
      </c>
      <c r="L944" t="s">
        <v>469</v>
      </c>
      <c r="M944" t="s">
        <v>473</v>
      </c>
      <c r="N944" t="s">
        <v>605</v>
      </c>
      <c r="O944" t="s">
        <v>863</v>
      </c>
      <c r="P944" s="1">
        <f>HYPERLINK("https://ec.europa.eu/info/funding-tenders/opportunities/portal/screen/opportunities/topic-details/horizon-cl6-2021-circbio-01-01", "HORIZON-CL6-2021-CIRCBIO-01-01")</f>
        <v>0</v>
      </c>
      <c r="Q944" t="s">
        <v>1894</v>
      </c>
    </row>
    <row r="945" spans="1:17">
      <c r="A945">
        <v>44089180</v>
      </c>
      <c r="B945">
        <v>2021</v>
      </c>
      <c r="C945" t="s">
        <v>21</v>
      </c>
      <c r="D945" t="s">
        <v>41</v>
      </c>
      <c r="E945" t="s">
        <v>85</v>
      </c>
      <c r="F945" t="s">
        <v>138</v>
      </c>
      <c r="G945" t="s">
        <v>246</v>
      </c>
      <c r="H945" t="s">
        <v>295</v>
      </c>
      <c r="I945" t="s">
        <v>343</v>
      </c>
      <c r="K945" t="s">
        <v>466</v>
      </c>
      <c r="L945" t="s">
        <v>469</v>
      </c>
      <c r="M945" t="s">
        <v>472</v>
      </c>
      <c r="N945" t="s">
        <v>605</v>
      </c>
      <c r="O945" t="s">
        <v>863</v>
      </c>
      <c r="P945" s="1">
        <f>HYPERLINK("https://ec.europa.eu/info/funding-tenders/opportunities/portal/screen/opportunities/topic-details/horizon-cl6-2021-circbio-01-02", "HORIZON-CL6-2021-CIRCBIO-01-02")</f>
        <v>0</v>
      </c>
      <c r="Q945" t="s">
        <v>1895</v>
      </c>
    </row>
    <row r="946" spans="1:17">
      <c r="A946">
        <v>44089298</v>
      </c>
      <c r="B946">
        <v>2021</v>
      </c>
      <c r="C946" t="s">
        <v>21</v>
      </c>
      <c r="D946" t="s">
        <v>41</v>
      </c>
      <c r="E946" t="s">
        <v>85</v>
      </c>
      <c r="F946" t="s">
        <v>138</v>
      </c>
      <c r="G946" t="s">
        <v>246</v>
      </c>
      <c r="H946" t="s">
        <v>295</v>
      </c>
      <c r="I946" t="s">
        <v>343</v>
      </c>
      <c r="K946" t="s">
        <v>466</v>
      </c>
      <c r="L946" t="s">
        <v>469</v>
      </c>
      <c r="M946" t="s">
        <v>473</v>
      </c>
      <c r="N946" t="s">
        <v>605</v>
      </c>
      <c r="O946" t="s">
        <v>863</v>
      </c>
      <c r="P946" s="1">
        <f>HYPERLINK("https://ec.europa.eu/info/funding-tenders/opportunities/portal/screen/opportunities/topic-details/horizon-cl6-2021-circbio-01-03", "HORIZON-CL6-2021-CIRCBIO-01-03")</f>
        <v>0</v>
      </c>
      <c r="Q946" t="s">
        <v>1896</v>
      </c>
    </row>
    <row r="947" spans="1:17">
      <c r="A947">
        <v>44089669</v>
      </c>
      <c r="B947">
        <v>2021</v>
      </c>
      <c r="C947" t="s">
        <v>21</v>
      </c>
      <c r="D947" t="s">
        <v>41</v>
      </c>
      <c r="E947" t="s">
        <v>85</v>
      </c>
      <c r="F947" t="s">
        <v>138</v>
      </c>
      <c r="G947" t="s">
        <v>246</v>
      </c>
      <c r="H947" t="s">
        <v>295</v>
      </c>
      <c r="I947" t="s">
        <v>343</v>
      </c>
      <c r="K947" t="s">
        <v>466</v>
      </c>
      <c r="L947" t="s">
        <v>469</v>
      </c>
      <c r="M947" t="s">
        <v>473</v>
      </c>
      <c r="N947" t="s">
        <v>605</v>
      </c>
      <c r="O947" t="s">
        <v>863</v>
      </c>
      <c r="P947" s="1">
        <f>HYPERLINK("https://ec.europa.eu/info/funding-tenders/opportunities/portal/screen/opportunities/topic-details/horizon-cl6-2021-circbio-01-04", "HORIZON-CL6-2021-CIRCBIO-01-04")</f>
        <v>0</v>
      </c>
      <c r="Q947" t="s">
        <v>1897</v>
      </c>
    </row>
    <row r="948" spans="1:17">
      <c r="A948">
        <v>44089337</v>
      </c>
      <c r="B948">
        <v>2021</v>
      </c>
      <c r="C948" t="s">
        <v>21</v>
      </c>
      <c r="D948" t="s">
        <v>41</v>
      </c>
      <c r="E948" t="s">
        <v>86</v>
      </c>
      <c r="F948" t="s">
        <v>138</v>
      </c>
      <c r="G948" t="s">
        <v>246</v>
      </c>
      <c r="H948" t="s">
        <v>295</v>
      </c>
      <c r="I948" t="s">
        <v>343</v>
      </c>
      <c r="K948" t="s">
        <v>466</v>
      </c>
      <c r="L948" t="s">
        <v>469</v>
      </c>
      <c r="M948" t="s">
        <v>473</v>
      </c>
      <c r="N948" t="s">
        <v>605</v>
      </c>
      <c r="O948" t="s">
        <v>863</v>
      </c>
      <c r="P948" s="1">
        <f>HYPERLINK("https://ec.europa.eu/info/funding-tenders/opportunities/portal/screen/opportunities/topic-details/horizon-cl6-2021-circbio-01-05", "HORIZON-CL6-2021-CIRCBIO-01-05")</f>
        <v>0</v>
      </c>
      <c r="Q948" t="s">
        <v>1898</v>
      </c>
    </row>
    <row r="949" spans="1:17">
      <c r="A949">
        <v>44089382</v>
      </c>
      <c r="B949">
        <v>2021</v>
      </c>
      <c r="C949" t="s">
        <v>21</v>
      </c>
      <c r="D949" t="s">
        <v>41</v>
      </c>
      <c r="E949" t="s">
        <v>86</v>
      </c>
      <c r="F949" t="s">
        <v>138</v>
      </c>
      <c r="G949" t="s">
        <v>246</v>
      </c>
      <c r="H949" t="s">
        <v>295</v>
      </c>
      <c r="I949" t="s">
        <v>343</v>
      </c>
      <c r="K949" t="s">
        <v>466</v>
      </c>
      <c r="L949" t="s">
        <v>469</v>
      </c>
      <c r="M949" t="s">
        <v>473</v>
      </c>
      <c r="N949" t="s">
        <v>605</v>
      </c>
      <c r="O949" t="s">
        <v>863</v>
      </c>
      <c r="P949" s="1">
        <f>HYPERLINK("https://ec.europa.eu/info/funding-tenders/opportunities/portal/screen/opportunities/topic-details/horizon-cl6-2021-circbio-01-06", "HORIZON-CL6-2021-CIRCBIO-01-06")</f>
        <v>0</v>
      </c>
      <c r="Q949" t="s">
        <v>1899</v>
      </c>
    </row>
    <row r="950" spans="1:17">
      <c r="A950">
        <v>44089428</v>
      </c>
      <c r="B950">
        <v>2021</v>
      </c>
      <c r="C950" t="s">
        <v>21</v>
      </c>
      <c r="D950" t="s">
        <v>41</v>
      </c>
      <c r="E950" t="s">
        <v>86</v>
      </c>
      <c r="F950" t="s">
        <v>138</v>
      </c>
      <c r="G950" t="s">
        <v>246</v>
      </c>
      <c r="H950" t="s">
        <v>295</v>
      </c>
      <c r="I950" t="s">
        <v>343</v>
      </c>
      <c r="K950" t="s">
        <v>466</v>
      </c>
      <c r="L950" t="s">
        <v>469</v>
      </c>
      <c r="M950" t="s">
        <v>473</v>
      </c>
      <c r="N950" t="s">
        <v>605</v>
      </c>
      <c r="O950" t="s">
        <v>863</v>
      </c>
      <c r="P950" s="1">
        <f>HYPERLINK("https://ec.europa.eu/info/funding-tenders/opportunities/portal/screen/opportunities/topic-details/horizon-cl6-2021-circbio-01-07", "HORIZON-CL6-2021-CIRCBIO-01-07")</f>
        <v>0</v>
      </c>
      <c r="Q950" t="s">
        <v>1900</v>
      </c>
    </row>
    <row r="951" spans="1:17">
      <c r="A951">
        <v>44089472</v>
      </c>
      <c r="B951">
        <v>2021</v>
      </c>
      <c r="C951" t="s">
        <v>21</v>
      </c>
      <c r="D951" t="s">
        <v>41</v>
      </c>
      <c r="E951" t="s">
        <v>74</v>
      </c>
      <c r="F951" t="s">
        <v>138</v>
      </c>
      <c r="G951" t="s">
        <v>246</v>
      </c>
      <c r="H951" t="s">
        <v>295</v>
      </c>
      <c r="I951" t="s">
        <v>343</v>
      </c>
      <c r="K951" t="s">
        <v>466</v>
      </c>
      <c r="L951" t="s">
        <v>469</v>
      </c>
      <c r="M951" t="s">
        <v>472</v>
      </c>
      <c r="N951" t="s">
        <v>605</v>
      </c>
      <c r="O951" t="s">
        <v>863</v>
      </c>
      <c r="P951" s="1">
        <f>HYPERLINK("https://ec.europa.eu/info/funding-tenders/opportunities/portal/screen/opportunities/topic-details/horizon-cl6-2021-circbio-01-08", "HORIZON-CL6-2021-CIRCBIO-01-08")</f>
        <v>0</v>
      </c>
      <c r="Q951" t="s">
        <v>1901</v>
      </c>
    </row>
    <row r="952" spans="1:17">
      <c r="A952">
        <v>44089495</v>
      </c>
      <c r="B952">
        <v>2021</v>
      </c>
      <c r="C952" t="s">
        <v>21</v>
      </c>
      <c r="D952" t="s">
        <v>41</v>
      </c>
      <c r="E952" t="s">
        <v>72</v>
      </c>
      <c r="F952" t="s">
        <v>138</v>
      </c>
      <c r="G952" t="s">
        <v>246</v>
      </c>
      <c r="H952" t="s">
        <v>295</v>
      </c>
      <c r="I952" t="s">
        <v>343</v>
      </c>
      <c r="K952" t="s">
        <v>466</v>
      </c>
      <c r="L952" t="s">
        <v>469</v>
      </c>
      <c r="M952" t="s">
        <v>473</v>
      </c>
      <c r="N952" t="s">
        <v>605</v>
      </c>
      <c r="O952" t="s">
        <v>863</v>
      </c>
      <c r="P952" s="1">
        <f>HYPERLINK("https://ec.europa.eu/info/funding-tenders/opportunities/portal/screen/opportunities/topic-details/horizon-cl6-2021-circbio-01-09", "HORIZON-CL6-2021-CIRCBIO-01-09")</f>
        <v>0</v>
      </c>
      <c r="Q952" t="s">
        <v>1902</v>
      </c>
    </row>
    <row r="953" spans="1:17">
      <c r="A953">
        <v>44092998</v>
      </c>
      <c r="B953">
        <v>2021</v>
      </c>
      <c r="C953" t="s">
        <v>21</v>
      </c>
      <c r="D953" t="s">
        <v>41</v>
      </c>
      <c r="E953" t="s">
        <v>85</v>
      </c>
      <c r="F953" t="s">
        <v>139</v>
      </c>
      <c r="G953" t="s">
        <v>247</v>
      </c>
      <c r="H953" t="s">
        <v>295</v>
      </c>
      <c r="I953" t="s">
        <v>343</v>
      </c>
      <c r="K953" t="s">
        <v>466</v>
      </c>
      <c r="L953" t="s">
        <v>469</v>
      </c>
      <c r="M953" t="s">
        <v>471</v>
      </c>
      <c r="N953" t="s">
        <v>606</v>
      </c>
      <c r="O953" t="s">
        <v>864</v>
      </c>
      <c r="P953" s="1">
        <f>HYPERLINK("https://ec.europa.eu/info/funding-tenders/opportunities/portal/screen/opportunities/topic-details/horizon-cl6-2021-climate-01-01", "HORIZON-CL6-2021-CLIMATE-01-01")</f>
        <v>0</v>
      </c>
      <c r="Q953" t="s">
        <v>1903</v>
      </c>
    </row>
    <row r="954" spans="1:17">
      <c r="A954">
        <v>44093037</v>
      </c>
      <c r="B954">
        <v>2021</v>
      </c>
      <c r="C954" t="s">
        <v>21</v>
      </c>
      <c r="D954" t="s">
        <v>41</v>
      </c>
      <c r="E954" t="s">
        <v>85</v>
      </c>
      <c r="F954" t="s">
        <v>139</v>
      </c>
      <c r="G954" t="s">
        <v>247</v>
      </c>
      <c r="H954" t="s">
        <v>295</v>
      </c>
      <c r="I954" t="s">
        <v>343</v>
      </c>
      <c r="K954" t="s">
        <v>466</v>
      </c>
      <c r="L954" t="s">
        <v>469</v>
      </c>
      <c r="M954" t="s">
        <v>476</v>
      </c>
      <c r="N954" t="s">
        <v>606</v>
      </c>
      <c r="O954" t="s">
        <v>864</v>
      </c>
      <c r="P954" s="1">
        <f>HYPERLINK("https://ec.europa.eu/info/funding-tenders/opportunities/portal/screen/opportunities/topic-details/horizon-cl6-2021-climate-01-02", "HORIZON-CL6-2021-CLIMATE-01-02")</f>
        <v>0</v>
      </c>
      <c r="Q954" t="s">
        <v>1904</v>
      </c>
    </row>
    <row r="955" spans="1:17">
      <c r="A955">
        <v>44093080</v>
      </c>
      <c r="B955">
        <v>2021</v>
      </c>
      <c r="C955" t="s">
        <v>21</v>
      </c>
      <c r="D955" t="s">
        <v>41</v>
      </c>
      <c r="E955" t="s">
        <v>72</v>
      </c>
      <c r="F955" t="s">
        <v>139</v>
      </c>
      <c r="G955" t="s">
        <v>247</v>
      </c>
      <c r="H955" t="s">
        <v>295</v>
      </c>
      <c r="I955" t="s">
        <v>343</v>
      </c>
      <c r="K955" t="s">
        <v>466</v>
      </c>
      <c r="L955" t="s">
        <v>469</v>
      </c>
      <c r="M955" t="s">
        <v>471</v>
      </c>
      <c r="N955" t="s">
        <v>606</v>
      </c>
      <c r="O955" t="s">
        <v>864</v>
      </c>
      <c r="P955" s="1">
        <f>HYPERLINK("https://ec.europa.eu/info/funding-tenders/opportunities/portal/screen/opportunities/topic-details/horizon-cl6-2021-climate-01-03", "HORIZON-CL6-2021-CLIMATE-01-03")</f>
        <v>0</v>
      </c>
      <c r="Q955" t="s">
        <v>1905</v>
      </c>
    </row>
    <row r="956" spans="1:17">
      <c r="A956">
        <v>44093126</v>
      </c>
      <c r="B956">
        <v>2021</v>
      </c>
      <c r="C956" t="s">
        <v>21</v>
      </c>
      <c r="D956" t="s">
        <v>41</v>
      </c>
      <c r="E956" t="s">
        <v>74</v>
      </c>
      <c r="F956" t="s">
        <v>139</v>
      </c>
      <c r="G956" t="s">
        <v>247</v>
      </c>
      <c r="H956" t="s">
        <v>295</v>
      </c>
      <c r="I956" t="s">
        <v>343</v>
      </c>
      <c r="K956" t="s">
        <v>466</v>
      </c>
      <c r="L956" t="s">
        <v>469</v>
      </c>
      <c r="M956" t="s">
        <v>472</v>
      </c>
      <c r="N956" t="s">
        <v>606</v>
      </c>
      <c r="O956" t="s">
        <v>864</v>
      </c>
      <c r="P956" s="1">
        <f>HYPERLINK("https://ec.europa.eu/info/funding-tenders/opportunities/portal/screen/opportunities/topic-details/horizon-cl6-2021-climate-01-04", "HORIZON-CL6-2021-CLIMATE-01-04")</f>
        <v>0</v>
      </c>
      <c r="Q956" t="s">
        <v>1906</v>
      </c>
    </row>
    <row r="957" spans="1:17">
      <c r="A957">
        <v>44093166</v>
      </c>
      <c r="B957">
        <v>2021</v>
      </c>
      <c r="C957" t="s">
        <v>21</v>
      </c>
      <c r="D957" t="s">
        <v>41</v>
      </c>
      <c r="E957" t="s">
        <v>74</v>
      </c>
      <c r="F957" t="s">
        <v>139</v>
      </c>
      <c r="G957" t="s">
        <v>247</v>
      </c>
      <c r="H957" t="s">
        <v>295</v>
      </c>
      <c r="I957" t="s">
        <v>343</v>
      </c>
      <c r="K957" t="s">
        <v>466</v>
      </c>
      <c r="L957" t="s">
        <v>469</v>
      </c>
      <c r="M957" t="s">
        <v>471</v>
      </c>
      <c r="N957" t="s">
        <v>606</v>
      </c>
      <c r="O957" t="s">
        <v>864</v>
      </c>
      <c r="P957" s="1">
        <f>HYPERLINK("https://ec.europa.eu/info/funding-tenders/opportunities/portal/screen/opportunities/topic-details/horizon-cl6-2021-climate-01-05", "HORIZON-CL6-2021-CLIMATE-01-05")</f>
        <v>0</v>
      </c>
      <c r="Q957" t="s">
        <v>1907</v>
      </c>
    </row>
    <row r="958" spans="1:17">
      <c r="A958">
        <v>44093207</v>
      </c>
      <c r="B958">
        <v>2021</v>
      </c>
      <c r="C958" t="s">
        <v>21</v>
      </c>
      <c r="D958" t="s">
        <v>41</v>
      </c>
      <c r="E958" t="s">
        <v>74</v>
      </c>
      <c r="F958" t="s">
        <v>139</v>
      </c>
      <c r="G958" t="s">
        <v>247</v>
      </c>
      <c r="H958" t="s">
        <v>295</v>
      </c>
      <c r="I958" t="s">
        <v>343</v>
      </c>
      <c r="K958" t="s">
        <v>466</v>
      </c>
      <c r="L958" t="s">
        <v>469</v>
      </c>
      <c r="M958" t="s">
        <v>471</v>
      </c>
      <c r="N958" t="s">
        <v>606</v>
      </c>
      <c r="O958" t="s">
        <v>864</v>
      </c>
      <c r="P958" s="1">
        <f>HYPERLINK("https://ec.europa.eu/info/funding-tenders/opportunities/portal/screen/opportunities/topic-details/horizon-cl6-2021-climate-01-06", "HORIZON-CL6-2021-CLIMATE-01-06")</f>
        <v>0</v>
      </c>
      <c r="Q958" t="s">
        <v>1908</v>
      </c>
    </row>
    <row r="959" spans="1:17">
      <c r="A959">
        <v>44093243</v>
      </c>
      <c r="B959">
        <v>2021</v>
      </c>
      <c r="C959" t="s">
        <v>21</v>
      </c>
      <c r="D959" t="s">
        <v>41</v>
      </c>
      <c r="E959" t="s">
        <v>74</v>
      </c>
      <c r="F959" t="s">
        <v>139</v>
      </c>
      <c r="G959" t="s">
        <v>247</v>
      </c>
      <c r="H959" t="s">
        <v>295</v>
      </c>
      <c r="I959" t="s">
        <v>343</v>
      </c>
      <c r="K959" t="s">
        <v>466</v>
      </c>
      <c r="L959" t="s">
        <v>469</v>
      </c>
      <c r="M959" t="s">
        <v>472</v>
      </c>
      <c r="N959" t="s">
        <v>606</v>
      </c>
      <c r="O959" t="s">
        <v>864</v>
      </c>
      <c r="P959" s="1">
        <f>HYPERLINK("https://ec.europa.eu/info/funding-tenders/opportunities/portal/screen/opportunities/topic-details/horizon-cl6-2021-climate-01-07", "HORIZON-CL6-2021-CLIMATE-01-07")</f>
        <v>0</v>
      </c>
      <c r="Q959" t="s">
        <v>1909</v>
      </c>
    </row>
    <row r="960" spans="1:17">
      <c r="A960">
        <v>44091203</v>
      </c>
      <c r="B960">
        <v>2021</v>
      </c>
      <c r="C960" t="s">
        <v>21</v>
      </c>
      <c r="D960" t="s">
        <v>41</v>
      </c>
      <c r="E960" t="s">
        <v>74</v>
      </c>
      <c r="F960" t="s">
        <v>139</v>
      </c>
      <c r="G960" t="s">
        <v>247</v>
      </c>
      <c r="H960" t="s">
        <v>295</v>
      </c>
      <c r="I960" t="s">
        <v>343</v>
      </c>
      <c r="K960" t="s">
        <v>466</v>
      </c>
      <c r="L960" t="s">
        <v>469</v>
      </c>
      <c r="M960" t="s">
        <v>471</v>
      </c>
      <c r="N960" t="s">
        <v>606</v>
      </c>
      <c r="O960" t="s">
        <v>864</v>
      </c>
      <c r="P960" s="1">
        <f>HYPERLINK("https://ec.europa.eu/info/funding-tenders/opportunities/portal/screen/opportunities/topic-details/horizon-cl6-2021-climate-01-08", "HORIZON-CL6-2021-CLIMATE-01-08")</f>
        <v>0</v>
      </c>
      <c r="Q960" t="s">
        <v>1910</v>
      </c>
    </row>
    <row r="961" spans="1:17">
      <c r="A961">
        <v>44093288</v>
      </c>
      <c r="B961">
        <v>2021</v>
      </c>
      <c r="C961" t="s">
        <v>21</v>
      </c>
      <c r="D961" t="s">
        <v>41</v>
      </c>
      <c r="E961" t="s">
        <v>74</v>
      </c>
      <c r="F961" t="s">
        <v>139</v>
      </c>
      <c r="G961" t="s">
        <v>247</v>
      </c>
      <c r="H961" t="s">
        <v>295</v>
      </c>
      <c r="I961" t="s">
        <v>343</v>
      </c>
      <c r="K961" t="s">
        <v>466</v>
      </c>
      <c r="L961" t="s">
        <v>469</v>
      </c>
      <c r="M961" t="s">
        <v>471</v>
      </c>
      <c r="N961" t="s">
        <v>606</v>
      </c>
      <c r="O961" t="s">
        <v>864</v>
      </c>
      <c r="P961" s="1">
        <f>HYPERLINK("https://ec.europa.eu/info/funding-tenders/opportunities/portal/screen/opportunities/topic-details/horizon-cl6-2021-climate-01-09", "HORIZON-CL6-2021-CLIMATE-01-09")</f>
        <v>0</v>
      </c>
      <c r="Q961" t="s">
        <v>1911</v>
      </c>
    </row>
    <row r="962" spans="1:17">
      <c r="A962">
        <v>44093314</v>
      </c>
      <c r="B962">
        <v>2021</v>
      </c>
      <c r="C962" t="s">
        <v>21</v>
      </c>
      <c r="D962" t="s">
        <v>41</v>
      </c>
      <c r="E962" t="s">
        <v>74</v>
      </c>
      <c r="F962" t="s">
        <v>139</v>
      </c>
      <c r="G962" t="s">
        <v>247</v>
      </c>
      <c r="H962" t="s">
        <v>295</v>
      </c>
      <c r="I962" t="s">
        <v>343</v>
      </c>
      <c r="K962" t="s">
        <v>466</v>
      </c>
      <c r="L962" t="s">
        <v>469</v>
      </c>
      <c r="M962" t="s">
        <v>471</v>
      </c>
      <c r="N962" t="s">
        <v>606</v>
      </c>
      <c r="O962" t="s">
        <v>864</v>
      </c>
      <c r="P962" s="1">
        <f>HYPERLINK("https://ec.europa.eu/info/funding-tenders/opportunities/portal/screen/opportunities/topic-details/horizon-cl6-2021-climate-01-10", "HORIZON-CL6-2021-CLIMATE-01-10")</f>
        <v>0</v>
      </c>
      <c r="Q962" t="s">
        <v>1912</v>
      </c>
    </row>
    <row r="963" spans="1:17">
      <c r="A963">
        <v>44087997</v>
      </c>
      <c r="B963">
        <v>2021</v>
      </c>
      <c r="C963" t="s">
        <v>21</v>
      </c>
      <c r="D963" t="s">
        <v>41</v>
      </c>
      <c r="E963" t="s">
        <v>74</v>
      </c>
      <c r="F963" t="s">
        <v>140</v>
      </c>
      <c r="G963" t="s">
        <v>246</v>
      </c>
      <c r="H963" t="s">
        <v>295</v>
      </c>
      <c r="I963" t="s">
        <v>343</v>
      </c>
      <c r="K963" t="s">
        <v>466</v>
      </c>
      <c r="L963" t="s">
        <v>469</v>
      </c>
      <c r="M963" t="s">
        <v>471</v>
      </c>
      <c r="N963" t="s">
        <v>607</v>
      </c>
      <c r="O963" t="s">
        <v>865</v>
      </c>
      <c r="P963" s="1">
        <f>HYPERLINK("https://ec.europa.eu/info/funding-tenders/opportunities/portal/screen/opportunities/topic-details/horizon-cl6-2021-communities-01-01", "HORIZON-CL6-2021-COMMUNITIES-01-01")</f>
        <v>0</v>
      </c>
      <c r="Q963" t="s">
        <v>1913</v>
      </c>
    </row>
    <row r="964" spans="1:17">
      <c r="A964">
        <v>44088068</v>
      </c>
      <c r="B964">
        <v>2021</v>
      </c>
      <c r="C964" t="s">
        <v>21</v>
      </c>
      <c r="D964" t="s">
        <v>41</v>
      </c>
      <c r="E964" t="s">
        <v>74</v>
      </c>
      <c r="F964" t="s">
        <v>140</v>
      </c>
      <c r="G964" t="s">
        <v>246</v>
      </c>
      <c r="H964" t="s">
        <v>295</v>
      </c>
      <c r="I964" t="s">
        <v>343</v>
      </c>
      <c r="K964" t="s">
        <v>466</v>
      </c>
      <c r="L964" t="s">
        <v>469</v>
      </c>
      <c r="M964" t="s">
        <v>472</v>
      </c>
      <c r="N964" t="s">
        <v>607</v>
      </c>
      <c r="O964" t="s">
        <v>865</v>
      </c>
      <c r="P964" s="1">
        <f>HYPERLINK("https://ec.europa.eu/info/funding-tenders/opportunities/portal/screen/opportunities/topic-details/horizon-cl6-2021-communities-01-02", "HORIZON-CL6-2021-COMMUNITIES-01-02")</f>
        <v>0</v>
      </c>
      <c r="Q964" t="s">
        <v>1914</v>
      </c>
    </row>
    <row r="965" spans="1:17">
      <c r="A965">
        <v>44088155</v>
      </c>
      <c r="B965">
        <v>2021</v>
      </c>
      <c r="C965" t="s">
        <v>21</v>
      </c>
      <c r="D965" t="s">
        <v>41</v>
      </c>
      <c r="E965" t="s">
        <v>74</v>
      </c>
      <c r="F965" t="s">
        <v>140</v>
      </c>
      <c r="G965" t="s">
        <v>246</v>
      </c>
      <c r="H965" t="s">
        <v>295</v>
      </c>
      <c r="I965" t="s">
        <v>343</v>
      </c>
      <c r="K965" t="s">
        <v>466</v>
      </c>
      <c r="L965" t="s">
        <v>469</v>
      </c>
      <c r="M965" t="s">
        <v>471</v>
      </c>
      <c r="N965" t="s">
        <v>607</v>
      </c>
      <c r="O965" t="s">
        <v>865</v>
      </c>
      <c r="P965" s="1">
        <f>HYPERLINK("https://ec.europa.eu/info/funding-tenders/opportunities/portal/screen/opportunities/topic-details/horizon-cl6-2021-communities-01-03", "HORIZON-CL6-2021-COMMUNITIES-01-03")</f>
        <v>0</v>
      </c>
      <c r="Q965" t="s">
        <v>1915</v>
      </c>
    </row>
    <row r="966" spans="1:17">
      <c r="A966">
        <v>44088195</v>
      </c>
      <c r="B966">
        <v>2021</v>
      </c>
      <c r="C966" t="s">
        <v>21</v>
      </c>
      <c r="D966" t="s">
        <v>41</v>
      </c>
      <c r="E966" t="s">
        <v>72</v>
      </c>
      <c r="F966" t="s">
        <v>140</v>
      </c>
      <c r="G966" t="s">
        <v>246</v>
      </c>
      <c r="H966" t="s">
        <v>295</v>
      </c>
      <c r="I966" t="s">
        <v>343</v>
      </c>
      <c r="K966" t="s">
        <v>466</v>
      </c>
      <c r="L966" t="s">
        <v>469</v>
      </c>
      <c r="M966" t="s">
        <v>471</v>
      </c>
      <c r="N966" t="s">
        <v>607</v>
      </c>
      <c r="O966" t="s">
        <v>865</v>
      </c>
      <c r="P966" s="1">
        <f>HYPERLINK("https://ec.europa.eu/info/funding-tenders/opportunities/portal/screen/opportunities/topic-details/horizon-cl6-2021-communities-01-04", "HORIZON-CL6-2021-COMMUNITIES-01-04")</f>
        <v>0</v>
      </c>
      <c r="Q966" t="s">
        <v>1916</v>
      </c>
    </row>
    <row r="967" spans="1:17">
      <c r="A967">
        <v>44088287</v>
      </c>
      <c r="B967">
        <v>2021</v>
      </c>
      <c r="C967" t="s">
        <v>21</v>
      </c>
      <c r="D967" t="s">
        <v>41</v>
      </c>
      <c r="E967" t="s">
        <v>87</v>
      </c>
      <c r="F967" t="s">
        <v>140</v>
      </c>
      <c r="G967" t="s">
        <v>246</v>
      </c>
      <c r="H967" t="s">
        <v>295</v>
      </c>
      <c r="I967" t="s">
        <v>343</v>
      </c>
      <c r="K967" t="s">
        <v>466</v>
      </c>
      <c r="L967" t="s">
        <v>469</v>
      </c>
      <c r="M967" t="s">
        <v>473</v>
      </c>
      <c r="N967" t="s">
        <v>607</v>
      </c>
      <c r="O967" t="s">
        <v>865</v>
      </c>
      <c r="P967" s="1">
        <f>HYPERLINK("https://ec.europa.eu/info/funding-tenders/opportunities/portal/screen/opportunities/topic-details/horizon-cl6-2021-communities-01-05", "HORIZON-CL6-2021-COMMUNITIES-01-05")</f>
        <v>0</v>
      </c>
      <c r="Q967" t="s">
        <v>1917</v>
      </c>
    </row>
    <row r="968" spans="1:17">
      <c r="A968">
        <v>44088375</v>
      </c>
      <c r="B968">
        <v>2021</v>
      </c>
      <c r="C968" t="s">
        <v>21</v>
      </c>
      <c r="D968" t="s">
        <v>41</v>
      </c>
      <c r="E968" t="s">
        <v>84</v>
      </c>
      <c r="F968" t="s">
        <v>140</v>
      </c>
      <c r="G968" t="s">
        <v>246</v>
      </c>
      <c r="H968" t="s">
        <v>295</v>
      </c>
      <c r="I968" t="s">
        <v>343</v>
      </c>
      <c r="K968" t="s">
        <v>466</v>
      </c>
      <c r="L968" t="s">
        <v>469</v>
      </c>
      <c r="M968" t="s">
        <v>472</v>
      </c>
      <c r="N968" t="s">
        <v>607</v>
      </c>
      <c r="O968" t="s">
        <v>865</v>
      </c>
      <c r="P968" s="1">
        <f>HYPERLINK("https://ec.europa.eu/info/funding-tenders/opportunities/portal/screen/opportunities/topic-details/horizon-cl6-2021-communities-01-06", "HORIZON-CL6-2021-COMMUNITIES-01-06")</f>
        <v>0</v>
      </c>
      <c r="Q968" t="s">
        <v>1918</v>
      </c>
    </row>
    <row r="969" spans="1:17">
      <c r="A969">
        <v>44093922</v>
      </c>
      <c r="B969">
        <v>2021</v>
      </c>
      <c r="C969" t="s">
        <v>21</v>
      </c>
      <c r="D969" t="s">
        <v>41</v>
      </c>
      <c r="E969" t="s">
        <v>74</v>
      </c>
      <c r="F969" t="s">
        <v>141</v>
      </c>
      <c r="G969" t="s">
        <v>246</v>
      </c>
      <c r="H969" t="s">
        <v>295</v>
      </c>
      <c r="I969" t="s">
        <v>343</v>
      </c>
      <c r="K969" t="s">
        <v>466</v>
      </c>
      <c r="L969" t="s">
        <v>469</v>
      </c>
      <c r="M969" t="s">
        <v>471</v>
      </c>
      <c r="N969" t="s">
        <v>608</v>
      </c>
      <c r="O969" t="s">
        <v>866</v>
      </c>
      <c r="P969" s="1">
        <f>HYPERLINK("https://ec.europa.eu/info/funding-tenders/opportunities/portal/screen/opportunities/topic-details/horizon-cl6-2021-farm2fork-01-01", "HORIZON-CL6-2021-FARM2FORK-01-01")</f>
        <v>0</v>
      </c>
      <c r="Q969" t="s">
        <v>1919</v>
      </c>
    </row>
    <row r="970" spans="1:17">
      <c r="A970">
        <v>44093964</v>
      </c>
      <c r="B970">
        <v>2021</v>
      </c>
      <c r="C970" t="s">
        <v>21</v>
      </c>
      <c r="D970" t="s">
        <v>41</v>
      </c>
      <c r="E970" t="s">
        <v>74</v>
      </c>
      <c r="F970" t="s">
        <v>141</v>
      </c>
      <c r="G970" t="s">
        <v>246</v>
      </c>
      <c r="H970" t="s">
        <v>295</v>
      </c>
      <c r="I970" t="s">
        <v>343</v>
      </c>
      <c r="K970" t="s">
        <v>466</v>
      </c>
      <c r="L970" t="s">
        <v>469</v>
      </c>
      <c r="M970" t="s">
        <v>473</v>
      </c>
      <c r="N970" t="s">
        <v>608</v>
      </c>
      <c r="O970" t="s">
        <v>866</v>
      </c>
      <c r="P970" s="1">
        <f>HYPERLINK("https://ec.europa.eu/info/funding-tenders/opportunities/portal/screen/opportunities/topic-details/horizon-cl6-2021-farm2fork-01-02", "HORIZON-CL6-2021-FARM2FORK-01-02")</f>
        <v>0</v>
      </c>
      <c r="Q970" t="s">
        <v>1920</v>
      </c>
    </row>
    <row r="971" spans="1:17">
      <c r="A971">
        <v>44094007</v>
      </c>
      <c r="B971">
        <v>2021</v>
      </c>
      <c r="C971" t="s">
        <v>21</v>
      </c>
      <c r="D971" t="s">
        <v>41</v>
      </c>
      <c r="E971" t="s">
        <v>74</v>
      </c>
      <c r="F971" t="s">
        <v>141</v>
      </c>
      <c r="G971" t="s">
        <v>246</v>
      </c>
      <c r="H971" t="s">
        <v>295</v>
      </c>
      <c r="I971" t="s">
        <v>343</v>
      </c>
      <c r="K971" t="s">
        <v>466</v>
      </c>
      <c r="L971" t="s">
        <v>469</v>
      </c>
      <c r="M971" t="s">
        <v>472</v>
      </c>
      <c r="N971" t="s">
        <v>608</v>
      </c>
      <c r="O971" t="s">
        <v>866</v>
      </c>
      <c r="P971" s="1">
        <f>HYPERLINK("https://ec.europa.eu/info/funding-tenders/opportunities/portal/screen/opportunities/topic-details/horizon-cl6-2021-farm2fork-01-03", "HORIZON-CL6-2021-FARM2FORK-01-03")</f>
        <v>0</v>
      </c>
      <c r="Q971" t="s">
        <v>1921</v>
      </c>
    </row>
    <row r="972" spans="1:17">
      <c r="A972">
        <v>44094043</v>
      </c>
      <c r="B972">
        <v>2021</v>
      </c>
      <c r="C972" t="s">
        <v>21</v>
      </c>
      <c r="D972" t="s">
        <v>41</v>
      </c>
      <c r="E972" t="s">
        <v>74</v>
      </c>
      <c r="F972" t="s">
        <v>141</v>
      </c>
      <c r="G972" t="s">
        <v>246</v>
      </c>
      <c r="H972" t="s">
        <v>295</v>
      </c>
      <c r="I972" t="s">
        <v>343</v>
      </c>
      <c r="K972" t="s">
        <v>466</v>
      </c>
      <c r="L972" t="s">
        <v>469</v>
      </c>
      <c r="M972" t="s">
        <v>471</v>
      </c>
      <c r="N972" t="s">
        <v>608</v>
      </c>
      <c r="O972" t="s">
        <v>866</v>
      </c>
      <c r="P972" s="1">
        <f>HYPERLINK("https://ec.europa.eu/info/funding-tenders/opportunities/portal/screen/opportunities/topic-details/horizon-cl6-2021-farm2fork-01-04", "HORIZON-CL6-2021-FARM2FORK-01-04")</f>
        <v>0</v>
      </c>
      <c r="Q972" t="s">
        <v>1922</v>
      </c>
    </row>
    <row r="973" spans="1:17">
      <c r="A973">
        <v>44094096</v>
      </c>
      <c r="B973">
        <v>2021</v>
      </c>
      <c r="C973" t="s">
        <v>21</v>
      </c>
      <c r="D973" t="s">
        <v>41</v>
      </c>
      <c r="E973" t="s">
        <v>74</v>
      </c>
      <c r="F973" t="s">
        <v>141</v>
      </c>
      <c r="G973" t="s">
        <v>246</v>
      </c>
      <c r="H973" t="s">
        <v>295</v>
      </c>
      <c r="I973" t="s">
        <v>343</v>
      </c>
      <c r="K973" t="s">
        <v>466</v>
      </c>
      <c r="L973" t="s">
        <v>469</v>
      </c>
      <c r="M973" t="s">
        <v>471</v>
      </c>
      <c r="N973" t="s">
        <v>608</v>
      </c>
      <c r="O973" t="s">
        <v>866</v>
      </c>
      <c r="P973" s="1">
        <f>HYPERLINK("https://ec.europa.eu/info/funding-tenders/opportunities/portal/screen/opportunities/topic-details/horizon-cl6-2021-farm2fork-01-05", "HORIZON-CL6-2021-FARM2FORK-01-05")</f>
        <v>0</v>
      </c>
      <c r="Q973" t="s">
        <v>1923</v>
      </c>
    </row>
    <row r="974" spans="1:17">
      <c r="A974">
        <v>44094128</v>
      </c>
      <c r="B974">
        <v>2021</v>
      </c>
      <c r="C974" t="s">
        <v>21</v>
      </c>
      <c r="D974" t="s">
        <v>41</v>
      </c>
      <c r="E974" t="s">
        <v>74</v>
      </c>
      <c r="F974" t="s">
        <v>141</v>
      </c>
      <c r="G974" t="s">
        <v>246</v>
      </c>
      <c r="H974" t="s">
        <v>295</v>
      </c>
      <c r="I974" t="s">
        <v>343</v>
      </c>
      <c r="K974" t="s">
        <v>466</v>
      </c>
      <c r="L974" t="s">
        <v>469</v>
      </c>
      <c r="M974" t="s">
        <v>473</v>
      </c>
      <c r="N974" t="s">
        <v>608</v>
      </c>
      <c r="O974" t="s">
        <v>866</v>
      </c>
      <c r="P974" s="1">
        <f>HYPERLINK("https://ec.europa.eu/info/funding-tenders/opportunities/portal/screen/opportunities/topic-details/horizon-cl6-2021-farm2fork-01-06", "HORIZON-CL6-2021-FARM2FORK-01-06")</f>
        <v>0</v>
      </c>
      <c r="Q974" t="s">
        <v>1924</v>
      </c>
    </row>
    <row r="975" spans="1:17">
      <c r="A975">
        <v>44094166</v>
      </c>
      <c r="B975">
        <v>2021</v>
      </c>
      <c r="C975" t="s">
        <v>21</v>
      </c>
      <c r="D975" t="s">
        <v>41</v>
      </c>
      <c r="E975" t="s">
        <v>74</v>
      </c>
      <c r="F975" t="s">
        <v>141</v>
      </c>
      <c r="G975" t="s">
        <v>246</v>
      </c>
      <c r="H975" t="s">
        <v>295</v>
      </c>
      <c r="I975" t="s">
        <v>343</v>
      </c>
      <c r="K975" t="s">
        <v>466</v>
      </c>
      <c r="L975" t="s">
        <v>469</v>
      </c>
      <c r="M975" t="s">
        <v>472</v>
      </c>
      <c r="N975" t="s">
        <v>608</v>
      </c>
      <c r="O975" t="s">
        <v>866</v>
      </c>
      <c r="P975" s="1">
        <f>HYPERLINK("https://ec.europa.eu/info/funding-tenders/opportunities/portal/screen/opportunities/topic-details/horizon-cl6-2021-farm2fork-01-07", "HORIZON-CL6-2021-FARM2FORK-01-07")</f>
        <v>0</v>
      </c>
      <c r="Q975" t="s">
        <v>1925</v>
      </c>
    </row>
    <row r="976" spans="1:17">
      <c r="A976">
        <v>44094196</v>
      </c>
      <c r="B976">
        <v>2021</v>
      </c>
      <c r="C976" t="s">
        <v>21</v>
      </c>
      <c r="D976" t="s">
        <v>41</v>
      </c>
      <c r="E976" t="s">
        <v>74</v>
      </c>
      <c r="F976" t="s">
        <v>141</v>
      </c>
      <c r="G976" t="s">
        <v>246</v>
      </c>
      <c r="H976" t="s">
        <v>295</v>
      </c>
      <c r="I976" t="s">
        <v>343</v>
      </c>
      <c r="K976" t="s">
        <v>466</v>
      </c>
      <c r="L976" t="s">
        <v>469</v>
      </c>
      <c r="M976" t="s">
        <v>471</v>
      </c>
      <c r="N976" t="s">
        <v>608</v>
      </c>
      <c r="O976" t="s">
        <v>866</v>
      </c>
      <c r="P976" s="1">
        <f>HYPERLINK("https://ec.europa.eu/info/funding-tenders/opportunities/portal/screen/opportunities/topic-details/horizon-cl6-2021-farm2fork-01-08", "HORIZON-CL6-2021-FARM2FORK-01-08")</f>
        <v>0</v>
      </c>
      <c r="Q976" t="s">
        <v>1926</v>
      </c>
    </row>
    <row r="977" spans="1:17">
      <c r="A977">
        <v>44095184</v>
      </c>
      <c r="B977">
        <v>2021</v>
      </c>
      <c r="C977" t="s">
        <v>21</v>
      </c>
      <c r="D977" t="s">
        <v>41</v>
      </c>
      <c r="E977" t="s">
        <v>74</v>
      </c>
      <c r="F977" t="s">
        <v>141</v>
      </c>
      <c r="G977" t="s">
        <v>246</v>
      </c>
      <c r="H977" t="s">
        <v>295</v>
      </c>
      <c r="I977" t="s">
        <v>343</v>
      </c>
      <c r="K977" t="s">
        <v>466</v>
      </c>
      <c r="L977" t="s">
        <v>469</v>
      </c>
      <c r="M977" t="s">
        <v>471</v>
      </c>
      <c r="N977" t="s">
        <v>608</v>
      </c>
      <c r="O977" t="s">
        <v>866</v>
      </c>
      <c r="P977" s="1">
        <f>HYPERLINK("https://ec.europa.eu/info/funding-tenders/opportunities/portal/screen/opportunities/topic-details/horizon-cl6-2021-farm2fork-01-09", "HORIZON-CL6-2021-FARM2FORK-01-09")</f>
        <v>0</v>
      </c>
      <c r="Q977" t="s">
        <v>1927</v>
      </c>
    </row>
    <row r="978" spans="1:17">
      <c r="A978">
        <v>44094311</v>
      </c>
      <c r="B978">
        <v>2021</v>
      </c>
      <c r="C978" t="s">
        <v>21</v>
      </c>
      <c r="D978" t="s">
        <v>41</v>
      </c>
      <c r="E978" t="s">
        <v>72</v>
      </c>
      <c r="F978" t="s">
        <v>141</v>
      </c>
      <c r="G978" t="s">
        <v>246</v>
      </c>
      <c r="H978" t="s">
        <v>295</v>
      </c>
      <c r="I978" t="s">
        <v>343</v>
      </c>
      <c r="K978" t="s">
        <v>466</v>
      </c>
      <c r="L978" t="s">
        <v>469</v>
      </c>
      <c r="M978" t="s">
        <v>473</v>
      </c>
      <c r="N978" t="s">
        <v>608</v>
      </c>
      <c r="O978" t="s">
        <v>866</v>
      </c>
      <c r="P978" s="1">
        <f>HYPERLINK("https://ec.europa.eu/info/funding-tenders/opportunities/portal/screen/opportunities/topic-details/horizon-cl6-2021-farm2fork-01-10", "HORIZON-CL6-2021-FARM2FORK-01-10")</f>
        <v>0</v>
      </c>
      <c r="Q978" t="s">
        <v>1928</v>
      </c>
    </row>
    <row r="979" spans="1:17">
      <c r="A979">
        <v>44094852</v>
      </c>
      <c r="B979">
        <v>2021</v>
      </c>
      <c r="C979" t="s">
        <v>21</v>
      </c>
      <c r="D979" t="s">
        <v>41</v>
      </c>
      <c r="E979" t="s">
        <v>72</v>
      </c>
      <c r="F979" t="s">
        <v>141</v>
      </c>
      <c r="G979" t="s">
        <v>246</v>
      </c>
      <c r="H979" t="s">
        <v>295</v>
      </c>
      <c r="I979" t="s">
        <v>343</v>
      </c>
      <c r="K979" t="s">
        <v>466</v>
      </c>
      <c r="L979" t="s">
        <v>469</v>
      </c>
      <c r="M979" t="s">
        <v>473</v>
      </c>
      <c r="N979" t="s">
        <v>608</v>
      </c>
      <c r="O979" t="s">
        <v>866</v>
      </c>
      <c r="P979" s="1">
        <f>HYPERLINK("https://ec.europa.eu/info/funding-tenders/opportunities/portal/screen/opportunities/topic-details/horizon-cl6-2021-farm2fork-01-11", "HORIZON-CL6-2021-FARM2FORK-01-11")</f>
        <v>0</v>
      </c>
      <c r="Q979" t="s">
        <v>1929</v>
      </c>
    </row>
    <row r="980" spans="1:17">
      <c r="A980">
        <v>44094373</v>
      </c>
      <c r="B980">
        <v>2021</v>
      </c>
      <c r="C980" t="s">
        <v>21</v>
      </c>
      <c r="D980" t="s">
        <v>41</v>
      </c>
      <c r="E980" t="s">
        <v>87</v>
      </c>
      <c r="F980" t="s">
        <v>141</v>
      </c>
      <c r="G980" t="s">
        <v>246</v>
      </c>
      <c r="H980" t="s">
        <v>295</v>
      </c>
      <c r="I980" t="s">
        <v>343</v>
      </c>
      <c r="K980" t="s">
        <v>466</v>
      </c>
      <c r="L980" t="s">
        <v>469</v>
      </c>
      <c r="M980" t="s">
        <v>471</v>
      </c>
      <c r="N980" t="s">
        <v>608</v>
      </c>
      <c r="O980" t="s">
        <v>866</v>
      </c>
      <c r="P980" s="1">
        <f>HYPERLINK("https://ec.europa.eu/info/funding-tenders/opportunities/portal/screen/opportunities/topic-details/horizon-cl6-2021-farm2fork-01-12", "HORIZON-CL6-2021-FARM2FORK-01-12")</f>
        <v>0</v>
      </c>
      <c r="Q980" t="s">
        <v>1930</v>
      </c>
    </row>
    <row r="981" spans="1:17">
      <c r="A981">
        <v>44094438</v>
      </c>
      <c r="B981">
        <v>2021</v>
      </c>
      <c r="C981" t="s">
        <v>21</v>
      </c>
      <c r="D981" t="s">
        <v>41</v>
      </c>
      <c r="E981" t="s">
        <v>87</v>
      </c>
      <c r="F981" t="s">
        <v>141</v>
      </c>
      <c r="G981" t="s">
        <v>246</v>
      </c>
      <c r="H981" t="s">
        <v>295</v>
      </c>
      <c r="I981" t="s">
        <v>343</v>
      </c>
      <c r="K981" t="s">
        <v>466</v>
      </c>
      <c r="L981" t="s">
        <v>469</v>
      </c>
      <c r="M981" t="s">
        <v>471</v>
      </c>
      <c r="N981" t="s">
        <v>608</v>
      </c>
      <c r="O981" t="s">
        <v>866</v>
      </c>
      <c r="P981" s="1">
        <f>HYPERLINK("https://ec.europa.eu/info/funding-tenders/opportunities/portal/screen/opportunities/topic-details/horizon-cl6-2021-farm2fork-01-13", "HORIZON-CL6-2021-FARM2FORK-01-13")</f>
        <v>0</v>
      </c>
      <c r="Q981" t="s">
        <v>1931</v>
      </c>
    </row>
    <row r="982" spans="1:17">
      <c r="A982">
        <v>44094517</v>
      </c>
      <c r="B982">
        <v>2021</v>
      </c>
      <c r="C982" t="s">
        <v>21</v>
      </c>
      <c r="D982" t="s">
        <v>41</v>
      </c>
      <c r="E982" t="s">
        <v>87</v>
      </c>
      <c r="F982" t="s">
        <v>141</v>
      </c>
      <c r="G982" t="s">
        <v>246</v>
      </c>
      <c r="H982" t="s">
        <v>295</v>
      </c>
      <c r="I982" t="s">
        <v>343</v>
      </c>
      <c r="K982" t="s">
        <v>466</v>
      </c>
      <c r="L982" t="s">
        <v>469</v>
      </c>
      <c r="M982" t="s">
        <v>471</v>
      </c>
      <c r="N982" t="s">
        <v>608</v>
      </c>
      <c r="O982" t="s">
        <v>866</v>
      </c>
      <c r="P982" s="1">
        <f>HYPERLINK("https://ec.europa.eu/info/funding-tenders/opportunities/portal/screen/opportunities/topic-details/horizon-cl6-2021-farm2fork-01-14", "HORIZON-CL6-2021-FARM2FORK-01-14")</f>
        <v>0</v>
      </c>
      <c r="Q982" t="s">
        <v>1932</v>
      </c>
    </row>
    <row r="983" spans="1:17">
      <c r="A983">
        <v>44094625</v>
      </c>
      <c r="B983">
        <v>2021</v>
      </c>
      <c r="C983" t="s">
        <v>21</v>
      </c>
      <c r="D983" t="s">
        <v>41</v>
      </c>
      <c r="E983" t="s">
        <v>87</v>
      </c>
      <c r="F983" t="s">
        <v>141</v>
      </c>
      <c r="G983" t="s">
        <v>246</v>
      </c>
      <c r="H983" t="s">
        <v>295</v>
      </c>
      <c r="I983" t="s">
        <v>343</v>
      </c>
      <c r="K983" t="s">
        <v>466</v>
      </c>
      <c r="L983" t="s">
        <v>469</v>
      </c>
      <c r="M983" t="s">
        <v>471</v>
      </c>
      <c r="N983" t="s">
        <v>608</v>
      </c>
      <c r="O983" t="s">
        <v>866</v>
      </c>
      <c r="P983" s="1">
        <f>HYPERLINK("https://ec.europa.eu/info/funding-tenders/opportunities/portal/screen/opportunities/topic-details/horizon-cl6-2021-farm2fork-01-15", "HORIZON-CL6-2021-FARM2FORK-01-15")</f>
        <v>0</v>
      </c>
      <c r="Q983" t="s">
        <v>1933</v>
      </c>
    </row>
    <row r="984" spans="1:17">
      <c r="A984">
        <v>44094676</v>
      </c>
      <c r="B984">
        <v>2021</v>
      </c>
      <c r="C984" t="s">
        <v>21</v>
      </c>
      <c r="D984" t="s">
        <v>41</v>
      </c>
      <c r="E984" t="s">
        <v>87</v>
      </c>
      <c r="F984" t="s">
        <v>141</v>
      </c>
      <c r="G984" t="s">
        <v>246</v>
      </c>
      <c r="H984" t="s">
        <v>295</v>
      </c>
      <c r="I984" t="s">
        <v>343</v>
      </c>
      <c r="K984" t="s">
        <v>466</v>
      </c>
      <c r="L984" t="s">
        <v>469</v>
      </c>
      <c r="M984" t="s">
        <v>471</v>
      </c>
      <c r="N984" t="s">
        <v>608</v>
      </c>
      <c r="O984" t="s">
        <v>866</v>
      </c>
      <c r="P984" s="1">
        <f>HYPERLINK("https://ec.europa.eu/info/funding-tenders/opportunities/portal/screen/opportunities/topic-details/horizon-cl6-2021-farm2fork-01-16", "HORIZON-CL6-2021-FARM2FORK-01-16")</f>
        <v>0</v>
      </c>
      <c r="Q984" t="s">
        <v>1934</v>
      </c>
    </row>
    <row r="985" spans="1:17">
      <c r="A985">
        <v>44094729</v>
      </c>
      <c r="B985">
        <v>2021</v>
      </c>
      <c r="C985" t="s">
        <v>21</v>
      </c>
      <c r="D985" t="s">
        <v>41</v>
      </c>
      <c r="E985" t="s">
        <v>87</v>
      </c>
      <c r="F985" t="s">
        <v>141</v>
      </c>
      <c r="G985" t="s">
        <v>246</v>
      </c>
      <c r="H985" t="s">
        <v>295</v>
      </c>
      <c r="I985" t="s">
        <v>343</v>
      </c>
      <c r="K985" t="s">
        <v>466</v>
      </c>
      <c r="L985" t="s">
        <v>469</v>
      </c>
      <c r="M985" t="s">
        <v>473</v>
      </c>
      <c r="N985" t="s">
        <v>608</v>
      </c>
      <c r="O985" t="s">
        <v>866</v>
      </c>
      <c r="P985" s="1">
        <f>HYPERLINK("https://ec.europa.eu/info/funding-tenders/opportunities/portal/screen/opportunities/topic-details/horizon-cl6-2021-farm2fork-01-17", "HORIZON-CL6-2021-FARM2FORK-01-17")</f>
        <v>0</v>
      </c>
      <c r="Q985" t="s">
        <v>1935</v>
      </c>
    </row>
    <row r="986" spans="1:17">
      <c r="A986">
        <v>44094784</v>
      </c>
      <c r="B986">
        <v>2021</v>
      </c>
      <c r="C986" t="s">
        <v>21</v>
      </c>
      <c r="D986" t="s">
        <v>41</v>
      </c>
      <c r="E986" t="s">
        <v>74</v>
      </c>
      <c r="F986" t="s">
        <v>141</v>
      </c>
      <c r="G986" t="s">
        <v>246</v>
      </c>
      <c r="H986" t="s">
        <v>295</v>
      </c>
      <c r="I986" t="s">
        <v>343</v>
      </c>
      <c r="K986" t="s">
        <v>466</v>
      </c>
      <c r="L986" t="s">
        <v>469</v>
      </c>
      <c r="M986" t="s">
        <v>471</v>
      </c>
      <c r="N986" t="s">
        <v>608</v>
      </c>
      <c r="O986" t="s">
        <v>866</v>
      </c>
      <c r="P986" s="1">
        <f>HYPERLINK("https://ec.europa.eu/info/funding-tenders/opportunities/portal/screen/opportunities/topic-details/horizon-cl6-2021-farm2fork-01-18", "HORIZON-CL6-2021-FARM2FORK-01-18")</f>
        <v>0</v>
      </c>
      <c r="Q986" t="s">
        <v>1936</v>
      </c>
    </row>
    <row r="987" spans="1:17">
      <c r="A987">
        <v>44094808</v>
      </c>
      <c r="B987">
        <v>2021</v>
      </c>
      <c r="C987" t="s">
        <v>21</v>
      </c>
      <c r="D987" t="s">
        <v>41</v>
      </c>
      <c r="E987" t="s">
        <v>74</v>
      </c>
      <c r="F987" t="s">
        <v>141</v>
      </c>
      <c r="G987" t="s">
        <v>246</v>
      </c>
      <c r="H987" t="s">
        <v>295</v>
      </c>
      <c r="I987" t="s">
        <v>343</v>
      </c>
      <c r="K987" t="s">
        <v>466</v>
      </c>
      <c r="L987" t="s">
        <v>469</v>
      </c>
      <c r="M987" t="s">
        <v>471</v>
      </c>
      <c r="N987" t="s">
        <v>608</v>
      </c>
      <c r="O987" t="s">
        <v>866</v>
      </c>
      <c r="P987" s="1">
        <f>HYPERLINK("https://ec.europa.eu/info/funding-tenders/opportunities/portal/screen/opportunities/topic-details/horizon-cl6-2021-farm2fork-01-19", "HORIZON-CL6-2021-FARM2FORK-01-19")</f>
        <v>0</v>
      </c>
      <c r="Q987" t="s">
        <v>1937</v>
      </c>
    </row>
    <row r="988" spans="1:17">
      <c r="A988">
        <v>44091255</v>
      </c>
      <c r="B988">
        <v>2021</v>
      </c>
      <c r="C988" t="s">
        <v>21</v>
      </c>
      <c r="D988" t="s">
        <v>41</v>
      </c>
      <c r="E988" t="s">
        <v>84</v>
      </c>
      <c r="F988" t="s">
        <v>142</v>
      </c>
      <c r="G988" t="s">
        <v>246</v>
      </c>
      <c r="H988" t="s">
        <v>295</v>
      </c>
      <c r="I988" t="s">
        <v>343</v>
      </c>
      <c r="K988" t="s">
        <v>466</v>
      </c>
      <c r="L988" t="s">
        <v>469</v>
      </c>
      <c r="M988" t="s">
        <v>472</v>
      </c>
      <c r="N988" t="s">
        <v>609</v>
      </c>
      <c r="O988" t="s">
        <v>867</v>
      </c>
      <c r="P988" s="1">
        <f>HYPERLINK("https://ec.europa.eu/info/funding-tenders/opportunities/portal/screen/opportunities/topic-details/horizon-cl6-2021-governance-01-01", "HORIZON-CL6-2021-GOVERNANCE-01-01")</f>
        <v>0</v>
      </c>
      <c r="Q988" t="s">
        <v>1938</v>
      </c>
    </row>
    <row r="989" spans="1:17">
      <c r="A989">
        <v>44091285</v>
      </c>
      <c r="B989">
        <v>2021</v>
      </c>
      <c r="C989" t="s">
        <v>21</v>
      </c>
      <c r="D989" t="s">
        <v>41</v>
      </c>
      <c r="E989" t="s">
        <v>87</v>
      </c>
      <c r="F989" t="s">
        <v>142</v>
      </c>
      <c r="G989" t="s">
        <v>246</v>
      </c>
      <c r="H989" t="s">
        <v>295</v>
      </c>
      <c r="I989" t="s">
        <v>343</v>
      </c>
      <c r="K989" t="s">
        <v>466</v>
      </c>
      <c r="L989" t="s">
        <v>469</v>
      </c>
      <c r="M989" t="s">
        <v>471</v>
      </c>
      <c r="N989" t="s">
        <v>609</v>
      </c>
      <c r="O989" t="s">
        <v>867</v>
      </c>
      <c r="P989" s="1">
        <f>HYPERLINK("https://ec.europa.eu/info/funding-tenders/opportunities/portal/screen/opportunities/topic-details/horizon-cl6-2021-governance-01-02", "HORIZON-CL6-2021-GOVERNANCE-01-02")</f>
        <v>0</v>
      </c>
      <c r="Q989" t="s">
        <v>1939</v>
      </c>
    </row>
    <row r="990" spans="1:17">
      <c r="A990">
        <v>44091343</v>
      </c>
      <c r="B990">
        <v>2021</v>
      </c>
      <c r="C990" t="s">
        <v>21</v>
      </c>
      <c r="D990" t="s">
        <v>41</v>
      </c>
      <c r="E990" t="s">
        <v>87</v>
      </c>
      <c r="F990" t="s">
        <v>142</v>
      </c>
      <c r="G990" t="s">
        <v>246</v>
      </c>
      <c r="H990" t="s">
        <v>295</v>
      </c>
      <c r="I990" t="s">
        <v>343</v>
      </c>
      <c r="K990" t="s">
        <v>466</v>
      </c>
      <c r="L990" t="s">
        <v>469</v>
      </c>
      <c r="M990" t="s">
        <v>472</v>
      </c>
      <c r="N990" t="s">
        <v>609</v>
      </c>
      <c r="O990" t="s">
        <v>867</v>
      </c>
      <c r="P990" s="1">
        <f>HYPERLINK("https://ec.europa.eu/info/funding-tenders/opportunities/portal/screen/opportunities/topic-details/horizon-cl6-2021-governance-01-03", "HORIZON-CL6-2021-GOVERNANCE-01-03")</f>
        <v>0</v>
      </c>
      <c r="Q990" t="s">
        <v>1940</v>
      </c>
    </row>
    <row r="991" spans="1:17">
      <c r="A991">
        <v>44091384</v>
      </c>
      <c r="B991">
        <v>2021</v>
      </c>
      <c r="C991" t="s">
        <v>21</v>
      </c>
      <c r="D991" t="s">
        <v>41</v>
      </c>
      <c r="E991" t="s">
        <v>87</v>
      </c>
      <c r="F991" t="s">
        <v>142</v>
      </c>
      <c r="G991" t="s">
        <v>246</v>
      </c>
      <c r="H991" t="s">
        <v>295</v>
      </c>
      <c r="I991" t="s">
        <v>343</v>
      </c>
      <c r="K991" t="s">
        <v>466</v>
      </c>
      <c r="L991" t="s">
        <v>469</v>
      </c>
      <c r="M991" t="s">
        <v>472</v>
      </c>
      <c r="N991" t="s">
        <v>609</v>
      </c>
      <c r="O991" t="s">
        <v>867</v>
      </c>
      <c r="P991" s="1">
        <f>HYPERLINK("https://ec.europa.eu/info/funding-tenders/opportunities/portal/screen/opportunities/topic-details/horizon-cl6-2021-governance-01-04", "HORIZON-CL6-2021-GOVERNANCE-01-04")</f>
        <v>0</v>
      </c>
      <c r="Q991" t="s">
        <v>1941</v>
      </c>
    </row>
    <row r="992" spans="1:17">
      <c r="A992">
        <v>44091423</v>
      </c>
      <c r="B992">
        <v>2021</v>
      </c>
      <c r="C992" t="s">
        <v>21</v>
      </c>
      <c r="D992" t="s">
        <v>41</v>
      </c>
      <c r="E992" t="s">
        <v>74</v>
      </c>
      <c r="F992" t="s">
        <v>142</v>
      </c>
      <c r="G992" t="s">
        <v>246</v>
      </c>
      <c r="H992" t="s">
        <v>295</v>
      </c>
      <c r="I992" t="s">
        <v>343</v>
      </c>
      <c r="K992" t="s">
        <v>466</v>
      </c>
      <c r="L992" t="s">
        <v>469</v>
      </c>
      <c r="M992" t="s">
        <v>472</v>
      </c>
      <c r="N992" t="s">
        <v>609</v>
      </c>
      <c r="O992" t="s">
        <v>867</v>
      </c>
      <c r="P992" s="1">
        <f>HYPERLINK("https://ec.europa.eu/info/funding-tenders/opportunities/portal/screen/opportunities/topic-details/horizon-cl6-2021-governance-01-05", "HORIZON-CL6-2021-GOVERNANCE-01-05")</f>
        <v>0</v>
      </c>
      <c r="Q992" t="s">
        <v>1942</v>
      </c>
    </row>
    <row r="993" spans="1:17">
      <c r="A993">
        <v>44091468</v>
      </c>
      <c r="B993">
        <v>2021</v>
      </c>
      <c r="C993" t="s">
        <v>21</v>
      </c>
      <c r="D993" t="s">
        <v>41</v>
      </c>
      <c r="E993" t="s">
        <v>72</v>
      </c>
      <c r="F993" t="s">
        <v>142</v>
      </c>
      <c r="G993" t="s">
        <v>246</v>
      </c>
      <c r="H993" t="s">
        <v>295</v>
      </c>
      <c r="I993" t="s">
        <v>343</v>
      </c>
      <c r="K993" t="s">
        <v>466</v>
      </c>
      <c r="L993" t="s">
        <v>469</v>
      </c>
      <c r="M993" t="s">
        <v>471</v>
      </c>
      <c r="N993" t="s">
        <v>609</v>
      </c>
      <c r="O993" t="s">
        <v>867</v>
      </c>
      <c r="P993" s="1">
        <f>HYPERLINK("https://ec.europa.eu/info/funding-tenders/opportunities/portal/screen/opportunities/topic-details/horizon-cl6-2021-governance-01-06", "HORIZON-CL6-2021-GOVERNANCE-01-06")</f>
        <v>0</v>
      </c>
      <c r="Q993" t="s">
        <v>1943</v>
      </c>
    </row>
    <row r="994" spans="1:17">
      <c r="A994">
        <v>44091504</v>
      </c>
      <c r="B994">
        <v>2021</v>
      </c>
      <c r="C994" t="s">
        <v>21</v>
      </c>
      <c r="D994" t="s">
        <v>41</v>
      </c>
      <c r="E994" t="s">
        <v>86</v>
      </c>
      <c r="F994" t="s">
        <v>142</v>
      </c>
      <c r="G994" t="s">
        <v>246</v>
      </c>
      <c r="H994" t="s">
        <v>295</v>
      </c>
      <c r="I994" t="s">
        <v>343</v>
      </c>
      <c r="K994" t="s">
        <v>466</v>
      </c>
      <c r="L994" t="s">
        <v>469</v>
      </c>
      <c r="M994" t="s">
        <v>472</v>
      </c>
      <c r="N994" t="s">
        <v>609</v>
      </c>
      <c r="O994" t="s">
        <v>867</v>
      </c>
      <c r="P994" s="1">
        <f>HYPERLINK("https://ec.europa.eu/info/funding-tenders/opportunities/portal/screen/opportunities/topic-details/horizon-cl6-2021-governance-01-07", "HORIZON-CL6-2021-GOVERNANCE-01-07")</f>
        <v>0</v>
      </c>
      <c r="Q994" t="s">
        <v>1944</v>
      </c>
    </row>
    <row r="995" spans="1:17">
      <c r="A995">
        <v>44091548</v>
      </c>
      <c r="B995">
        <v>2021</v>
      </c>
      <c r="C995" t="s">
        <v>21</v>
      </c>
      <c r="D995" t="s">
        <v>41</v>
      </c>
      <c r="E995" t="s">
        <v>86</v>
      </c>
      <c r="F995" t="s">
        <v>142</v>
      </c>
      <c r="G995" t="s">
        <v>246</v>
      </c>
      <c r="H995" t="s">
        <v>295</v>
      </c>
      <c r="I995" t="s">
        <v>343</v>
      </c>
      <c r="K995" t="s">
        <v>466</v>
      </c>
      <c r="L995" t="s">
        <v>469</v>
      </c>
      <c r="M995" t="s">
        <v>472</v>
      </c>
      <c r="N995" t="s">
        <v>609</v>
      </c>
      <c r="O995" t="s">
        <v>867</v>
      </c>
      <c r="P995" s="1">
        <f>HYPERLINK("https://ec.europa.eu/info/funding-tenders/opportunities/portal/screen/opportunities/topic-details/horizon-cl6-2021-governance-01-08", "HORIZON-CL6-2021-GOVERNANCE-01-08")</f>
        <v>0</v>
      </c>
      <c r="Q995" t="s">
        <v>1945</v>
      </c>
    </row>
    <row r="996" spans="1:17">
      <c r="A996">
        <v>44091596</v>
      </c>
      <c r="B996">
        <v>2021</v>
      </c>
      <c r="C996" t="s">
        <v>21</v>
      </c>
      <c r="D996" t="s">
        <v>41</v>
      </c>
      <c r="E996" t="s">
        <v>86</v>
      </c>
      <c r="F996" t="s">
        <v>142</v>
      </c>
      <c r="G996" t="s">
        <v>246</v>
      </c>
      <c r="H996" t="s">
        <v>295</v>
      </c>
      <c r="I996" t="s">
        <v>343</v>
      </c>
      <c r="K996" t="s">
        <v>466</v>
      </c>
      <c r="L996" t="s">
        <v>469</v>
      </c>
      <c r="M996" t="s">
        <v>472</v>
      </c>
      <c r="N996" t="s">
        <v>609</v>
      </c>
      <c r="O996" t="s">
        <v>867</v>
      </c>
      <c r="P996" s="1">
        <f>HYPERLINK("https://ec.europa.eu/info/funding-tenders/opportunities/portal/screen/opportunities/topic-details/horizon-cl6-2021-governance-01-09", "HORIZON-CL6-2021-GOVERNANCE-01-09")</f>
        <v>0</v>
      </c>
      <c r="Q996" t="s">
        <v>1946</v>
      </c>
    </row>
    <row r="997" spans="1:17">
      <c r="A997">
        <v>44091647</v>
      </c>
      <c r="B997">
        <v>2021</v>
      </c>
      <c r="C997" t="s">
        <v>21</v>
      </c>
      <c r="D997" t="s">
        <v>41</v>
      </c>
      <c r="E997" t="s">
        <v>86</v>
      </c>
      <c r="F997" t="s">
        <v>142</v>
      </c>
      <c r="G997" t="s">
        <v>246</v>
      </c>
      <c r="H997" t="s">
        <v>295</v>
      </c>
      <c r="I997" t="s">
        <v>343</v>
      </c>
      <c r="K997" t="s">
        <v>466</v>
      </c>
      <c r="L997" t="s">
        <v>469</v>
      </c>
      <c r="M997" t="s">
        <v>472</v>
      </c>
      <c r="N997" t="s">
        <v>609</v>
      </c>
      <c r="O997" t="s">
        <v>867</v>
      </c>
      <c r="P997" s="1">
        <f>HYPERLINK("https://ec.europa.eu/info/funding-tenders/opportunities/portal/screen/opportunities/topic-details/horizon-cl6-2021-governance-01-10", "HORIZON-CL6-2021-GOVERNANCE-01-10")</f>
        <v>0</v>
      </c>
      <c r="Q997" t="s">
        <v>1947</v>
      </c>
    </row>
    <row r="998" spans="1:17">
      <c r="A998">
        <v>44091697</v>
      </c>
      <c r="B998">
        <v>2021</v>
      </c>
      <c r="C998" t="s">
        <v>21</v>
      </c>
      <c r="D998" t="s">
        <v>41</v>
      </c>
      <c r="E998" t="s">
        <v>86</v>
      </c>
      <c r="F998" t="s">
        <v>142</v>
      </c>
      <c r="G998" t="s">
        <v>246</v>
      </c>
      <c r="H998" t="s">
        <v>295</v>
      </c>
      <c r="I998" t="s">
        <v>343</v>
      </c>
      <c r="K998" t="s">
        <v>466</v>
      </c>
      <c r="L998" t="s">
        <v>469</v>
      </c>
      <c r="M998" t="s">
        <v>472</v>
      </c>
      <c r="N998" t="s">
        <v>609</v>
      </c>
      <c r="O998" t="s">
        <v>867</v>
      </c>
      <c r="P998" s="1">
        <f>HYPERLINK("https://ec.europa.eu/info/funding-tenders/opportunities/portal/screen/opportunities/topic-details/horizon-cl6-2021-governance-01-11", "HORIZON-CL6-2021-GOVERNANCE-01-11")</f>
        <v>0</v>
      </c>
      <c r="Q998" t="s">
        <v>1948</v>
      </c>
    </row>
    <row r="999" spans="1:17">
      <c r="A999">
        <v>44091740</v>
      </c>
      <c r="B999">
        <v>2021</v>
      </c>
      <c r="C999" t="s">
        <v>21</v>
      </c>
      <c r="D999" t="s">
        <v>41</v>
      </c>
      <c r="E999" t="s">
        <v>74</v>
      </c>
      <c r="F999" t="s">
        <v>142</v>
      </c>
      <c r="G999" t="s">
        <v>246</v>
      </c>
      <c r="H999" t="s">
        <v>295</v>
      </c>
      <c r="I999" t="s">
        <v>343</v>
      </c>
      <c r="K999" t="s">
        <v>466</v>
      </c>
      <c r="L999" t="s">
        <v>469</v>
      </c>
      <c r="M999" t="s">
        <v>471</v>
      </c>
      <c r="N999" t="s">
        <v>609</v>
      </c>
      <c r="O999" t="s">
        <v>867</v>
      </c>
      <c r="P999" s="1">
        <f>HYPERLINK("https://ec.europa.eu/info/funding-tenders/opportunities/portal/screen/opportunities/topic-details/horizon-cl6-2021-governance-01-12", "HORIZON-CL6-2021-GOVERNANCE-01-12")</f>
        <v>0</v>
      </c>
      <c r="Q999" t="s">
        <v>1949</v>
      </c>
    </row>
    <row r="1000" spans="1:17">
      <c r="A1000">
        <v>44091791</v>
      </c>
      <c r="B1000">
        <v>2021</v>
      </c>
      <c r="C1000" t="s">
        <v>21</v>
      </c>
      <c r="D1000" t="s">
        <v>41</v>
      </c>
      <c r="E1000" t="s">
        <v>74</v>
      </c>
      <c r="F1000" t="s">
        <v>142</v>
      </c>
      <c r="G1000" t="s">
        <v>246</v>
      </c>
      <c r="H1000" t="s">
        <v>295</v>
      </c>
      <c r="I1000" t="s">
        <v>343</v>
      </c>
      <c r="K1000" t="s">
        <v>466</v>
      </c>
      <c r="L1000" t="s">
        <v>469</v>
      </c>
      <c r="M1000" t="s">
        <v>471</v>
      </c>
      <c r="N1000" t="s">
        <v>609</v>
      </c>
      <c r="O1000" t="s">
        <v>867</v>
      </c>
      <c r="P1000" s="1">
        <f>HYPERLINK("https://ec.europa.eu/info/funding-tenders/opportunities/portal/screen/opportunities/topic-details/horizon-cl6-2021-governance-01-13", "HORIZON-CL6-2021-GOVERNANCE-01-13")</f>
        <v>0</v>
      </c>
      <c r="Q1000" t="s">
        <v>1950</v>
      </c>
    </row>
    <row r="1001" spans="1:17">
      <c r="A1001">
        <v>44091831</v>
      </c>
      <c r="B1001">
        <v>2021</v>
      </c>
      <c r="C1001" t="s">
        <v>21</v>
      </c>
      <c r="D1001" t="s">
        <v>41</v>
      </c>
      <c r="E1001" t="s">
        <v>73</v>
      </c>
      <c r="F1001" t="s">
        <v>142</v>
      </c>
      <c r="G1001" t="s">
        <v>246</v>
      </c>
      <c r="H1001" t="s">
        <v>295</v>
      </c>
      <c r="I1001" t="s">
        <v>343</v>
      </c>
      <c r="K1001" t="s">
        <v>466</v>
      </c>
      <c r="L1001" t="s">
        <v>469</v>
      </c>
      <c r="M1001" t="s">
        <v>471</v>
      </c>
      <c r="N1001" t="s">
        <v>609</v>
      </c>
      <c r="O1001" t="s">
        <v>867</v>
      </c>
      <c r="P1001" s="1">
        <f>HYPERLINK("https://ec.europa.eu/info/funding-tenders/opportunities/portal/screen/opportunities/topic-details/horizon-cl6-2021-governance-01-14", "HORIZON-CL6-2021-GOVERNANCE-01-14")</f>
        <v>0</v>
      </c>
      <c r="Q1001" t="s">
        <v>1951</v>
      </c>
    </row>
    <row r="1002" spans="1:17">
      <c r="A1002">
        <v>44091882</v>
      </c>
      <c r="B1002">
        <v>2021</v>
      </c>
      <c r="C1002" t="s">
        <v>21</v>
      </c>
      <c r="D1002" t="s">
        <v>41</v>
      </c>
      <c r="E1002" t="s">
        <v>73</v>
      </c>
      <c r="F1002" t="s">
        <v>142</v>
      </c>
      <c r="G1002" t="s">
        <v>246</v>
      </c>
      <c r="H1002" t="s">
        <v>295</v>
      </c>
      <c r="I1002" t="s">
        <v>343</v>
      </c>
      <c r="K1002" t="s">
        <v>466</v>
      </c>
      <c r="L1002" t="s">
        <v>469</v>
      </c>
      <c r="M1002" t="s">
        <v>472</v>
      </c>
      <c r="N1002" t="s">
        <v>609</v>
      </c>
      <c r="O1002" t="s">
        <v>867</v>
      </c>
      <c r="P1002" s="1">
        <f>HYPERLINK("https://ec.europa.eu/info/funding-tenders/opportunities/portal/screen/opportunities/topic-details/horizon-cl6-2021-governance-01-15", "HORIZON-CL6-2021-GOVERNANCE-01-15")</f>
        <v>0</v>
      </c>
      <c r="Q1002" t="s">
        <v>1952</v>
      </c>
    </row>
    <row r="1003" spans="1:17">
      <c r="A1003">
        <v>44091927</v>
      </c>
      <c r="B1003">
        <v>2021</v>
      </c>
      <c r="C1003" t="s">
        <v>21</v>
      </c>
      <c r="D1003" t="s">
        <v>41</v>
      </c>
      <c r="E1003" t="s">
        <v>73</v>
      </c>
      <c r="F1003" t="s">
        <v>142</v>
      </c>
      <c r="G1003" t="s">
        <v>246</v>
      </c>
      <c r="H1003" t="s">
        <v>295</v>
      </c>
      <c r="I1003" t="s">
        <v>343</v>
      </c>
      <c r="K1003" t="s">
        <v>466</v>
      </c>
      <c r="L1003" t="s">
        <v>469</v>
      </c>
      <c r="M1003" t="s">
        <v>473</v>
      </c>
      <c r="N1003" t="s">
        <v>609</v>
      </c>
      <c r="O1003" t="s">
        <v>867</v>
      </c>
      <c r="P1003" s="1">
        <f>HYPERLINK("https://ec.europa.eu/info/funding-tenders/opportunities/portal/screen/opportunities/topic-details/horizon-cl6-2021-governance-01-16", "HORIZON-CL6-2021-GOVERNANCE-01-16")</f>
        <v>0</v>
      </c>
      <c r="Q1003" t="s">
        <v>1953</v>
      </c>
    </row>
    <row r="1004" spans="1:17">
      <c r="A1004">
        <v>44091974</v>
      </c>
      <c r="B1004">
        <v>2021</v>
      </c>
      <c r="C1004" t="s">
        <v>21</v>
      </c>
      <c r="D1004" t="s">
        <v>41</v>
      </c>
      <c r="E1004" t="s">
        <v>73</v>
      </c>
      <c r="F1004" t="s">
        <v>142</v>
      </c>
      <c r="G1004" t="s">
        <v>246</v>
      </c>
      <c r="H1004" t="s">
        <v>295</v>
      </c>
      <c r="I1004" t="s">
        <v>343</v>
      </c>
      <c r="K1004" t="s">
        <v>466</v>
      </c>
      <c r="L1004" t="s">
        <v>469</v>
      </c>
      <c r="M1004" t="s">
        <v>473</v>
      </c>
      <c r="N1004" t="s">
        <v>609</v>
      </c>
      <c r="O1004" t="s">
        <v>867</v>
      </c>
      <c r="P1004" s="1">
        <f>HYPERLINK("https://ec.europa.eu/info/funding-tenders/opportunities/portal/screen/opportunities/topic-details/horizon-cl6-2021-governance-01-17", "HORIZON-CL6-2021-GOVERNANCE-01-17")</f>
        <v>0</v>
      </c>
      <c r="Q1004" t="s">
        <v>1954</v>
      </c>
    </row>
    <row r="1005" spans="1:17">
      <c r="A1005">
        <v>44092029</v>
      </c>
      <c r="B1005">
        <v>2021</v>
      </c>
      <c r="C1005" t="s">
        <v>21</v>
      </c>
      <c r="D1005" t="s">
        <v>41</v>
      </c>
      <c r="E1005" t="s">
        <v>87</v>
      </c>
      <c r="F1005" t="s">
        <v>142</v>
      </c>
      <c r="G1005" t="s">
        <v>246</v>
      </c>
      <c r="H1005" t="s">
        <v>295</v>
      </c>
      <c r="I1005" t="s">
        <v>343</v>
      </c>
      <c r="K1005" t="s">
        <v>466</v>
      </c>
      <c r="L1005" t="s">
        <v>469</v>
      </c>
      <c r="M1005" t="s">
        <v>471</v>
      </c>
      <c r="N1005" t="s">
        <v>609</v>
      </c>
      <c r="O1005" t="s">
        <v>867</v>
      </c>
      <c r="P1005" s="1">
        <f>HYPERLINK("https://ec.europa.eu/info/funding-tenders/opportunities/portal/screen/opportunities/topic-details/horizon-cl6-2021-governance-01-18", "HORIZON-CL6-2021-GOVERNANCE-01-18")</f>
        <v>0</v>
      </c>
      <c r="Q1005" t="s">
        <v>1955</v>
      </c>
    </row>
    <row r="1006" spans="1:17">
      <c r="A1006">
        <v>44089971</v>
      </c>
      <c r="B1006">
        <v>2021</v>
      </c>
      <c r="C1006" t="s">
        <v>21</v>
      </c>
      <c r="D1006" t="s">
        <v>41</v>
      </c>
      <c r="E1006" t="s">
        <v>74</v>
      </c>
      <c r="F1006" t="s">
        <v>142</v>
      </c>
      <c r="G1006" t="s">
        <v>246</v>
      </c>
      <c r="H1006" t="s">
        <v>295</v>
      </c>
      <c r="I1006" t="s">
        <v>343</v>
      </c>
      <c r="K1006" t="s">
        <v>466</v>
      </c>
      <c r="L1006" t="s">
        <v>469</v>
      </c>
      <c r="M1006" t="s">
        <v>471</v>
      </c>
      <c r="N1006" t="s">
        <v>609</v>
      </c>
      <c r="O1006" t="s">
        <v>867</v>
      </c>
      <c r="P1006" s="1">
        <f>HYPERLINK("https://ec.europa.eu/info/funding-tenders/opportunities/portal/screen/opportunities/topic-details/horizon-cl6-2021-governance-01-19", "HORIZON-CL6-2021-GOVERNANCE-01-19")</f>
        <v>0</v>
      </c>
      <c r="Q1006" t="s">
        <v>1956</v>
      </c>
    </row>
    <row r="1007" spans="1:17">
      <c r="A1007">
        <v>44090010</v>
      </c>
      <c r="B1007">
        <v>2021</v>
      </c>
      <c r="C1007" t="s">
        <v>21</v>
      </c>
      <c r="D1007" t="s">
        <v>41</v>
      </c>
      <c r="E1007" t="s">
        <v>74</v>
      </c>
      <c r="F1007" t="s">
        <v>142</v>
      </c>
      <c r="G1007" t="s">
        <v>246</v>
      </c>
      <c r="H1007" t="s">
        <v>295</v>
      </c>
      <c r="I1007" t="s">
        <v>343</v>
      </c>
      <c r="K1007" t="s">
        <v>466</v>
      </c>
      <c r="L1007" t="s">
        <v>469</v>
      </c>
      <c r="M1007" t="s">
        <v>471</v>
      </c>
      <c r="N1007" t="s">
        <v>609</v>
      </c>
      <c r="O1007" t="s">
        <v>867</v>
      </c>
      <c r="P1007" s="1">
        <f>HYPERLINK("https://ec.europa.eu/info/funding-tenders/opportunities/portal/screen/opportunities/topic-details/horizon-cl6-2021-governance-01-20", "HORIZON-CL6-2021-GOVERNANCE-01-20")</f>
        <v>0</v>
      </c>
      <c r="Q1007" t="s">
        <v>1957</v>
      </c>
    </row>
    <row r="1008" spans="1:17">
      <c r="A1008">
        <v>44090161</v>
      </c>
      <c r="B1008">
        <v>2021</v>
      </c>
      <c r="C1008" t="s">
        <v>21</v>
      </c>
      <c r="D1008" t="s">
        <v>41</v>
      </c>
      <c r="E1008" t="s">
        <v>74</v>
      </c>
      <c r="F1008" t="s">
        <v>142</v>
      </c>
      <c r="G1008" t="s">
        <v>246</v>
      </c>
      <c r="H1008" t="s">
        <v>295</v>
      </c>
      <c r="I1008" t="s">
        <v>343</v>
      </c>
      <c r="K1008" t="s">
        <v>466</v>
      </c>
      <c r="L1008" t="s">
        <v>469</v>
      </c>
      <c r="M1008" t="s">
        <v>471</v>
      </c>
      <c r="N1008" t="s">
        <v>609</v>
      </c>
      <c r="O1008" t="s">
        <v>867</v>
      </c>
      <c r="P1008" s="1">
        <f>HYPERLINK("https://ec.europa.eu/info/funding-tenders/opportunities/portal/screen/opportunities/topic-details/horizon-cl6-2021-governance-01-21", "HORIZON-CL6-2021-GOVERNANCE-01-21")</f>
        <v>0</v>
      </c>
      <c r="Q1008" t="s">
        <v>1958</v>
      </c>
    </row>
    <row r="1009" spans="1:17">
      <c r="A1009">
        <v>44090195</v>
      </c>
      <c r="B1009">
        <v>2021</v>
      </c>
      <c r="C1009" t="s">
        <v>21</v>
      </c>
      <c r="D1009" t="s">
        <v>41</v>
      </c>
      <c r="E1009" t="s">
        <v>74</v>
      </c>
      <c r="F1009" t="s">
        <v>142</v>
      </c>
      <c r="G1009" t="s">
        <v>246</v>
      </c>
      <c r="H1009" t="s">
        <v>295</v>
      </c>
      <c r="I1009" t="s">
        <v>343</v>
      </c>
      <c r="K1009" t="s">
        <v>466</v>
      </c>
      <c r="L1009" t="s">
        <v>469</v>
      </c>
      <c r="M1009" t="s">
        <v>471</v>
      </c>
      <c r="N1009" t="s">
        <v>609</v>
      </c>
      <c r="O1009" t="s">
        <v>867</v>
      </c>
      <c r="P1009" s="1">
        <f>HYPERLINK("https://ec.europa.eu/info/funding-tenders/opportunities/portal/screen/opportunities/topic-details/horizon-cl6-2021-governance-01-22", "HORIZON-CL6-2021-GOVERNANCE-01-22")</f>
        <v>0</v>
      </c>
      <c r="Q1009" t="s">
        <v>1959</v>
      </c>
    </row>
    <row r="1010" spans="1:17">
      <c r="A1010">
        <v>44090043</v>
      </c>
      <c r="B1010">
        <v>2021</v>
      </c>
      <c r="C1010" t="s">
        <v>21</v>
      </c>
      <c r="D1010" t="s">
        <v>41</v>
      </c>
      <c r="E1010" t="s">
        <v>74</v>
      </c>
      <c r="F1010" t="s">
        <v>142</v>
      </c>
      <c r="G1010" t="s">
        <v>246</v>
      </c>
      <c r="H1010" t="s">
        <v>295</v>
      </c>
      <c r="I1010" t="s">
        <v>343</v>
      </c>
      <c r="K1010" t="s">
        <v>466</v>
      </c>
      <c r="L1010" t="s">
        <v>469</v>
      </c>
      <c r="M1010" t="s">
        <v>472</v>
      </c>
      <c r="N1010" t="s">
        <v>609</v>
      </c>
      <c r="O1010" t="s">
        <v>867</v>
      </c>
      <c r="P1010" s="1">
        <f>HYPERLINK("https://ec.europa.eu/info/funding-tenders/opportunities/portal/screen/opportunities/topic-details/horizon-cl6-2021-governance-01-23", "HORIZON-CL6-2021-GOVERNANCE-01-23")</f>
        <v>0</v>
      </c>
      <c r="Q1010" t="s">
        <v>1960</v>
      </c>
    </row>
    <row r="1011" spans="1:17">
      <c r="A1011">
        <v>44090064</v>
      </c>
      <c r="B1011">
        <v>2021</v>
      </c>
      <c r="C1011" t="s">
        <v>21</v>
      </c>
      <c r="D1011" t="s">
        <v>41</v>
      </c>
      <c r="E1011" t="s">
        <v>74</v>
      </c>
      <c r="F1011" t="s">
        <v>142</v>
      </c>
      <c r="G1011" t="s">
        <v>246</v>
      </c>
      <c r="H1011" t="s">
        <v>295</v>
      </c>
      <c r="I1011" t="s">
        <v>343</v>
      </c>
      <c r="K1011" t="s">
        <v>466</v>
      </c>
      <c r="L1011" t="s">
        <v>469</v>
      </c>
      <c r="M1011" t="s">
        <v>471</v>
      </c>
      <c r="N1011" t="s">
        <v>609</v>
      </c>
      <c r="O1011" t="s">
        <v>867</v>
      </c>
      <c r="P1011" s="1">
        <f>HYPERLINK("https://ec.europa.eu/info/funding-tenders/opportunities/portal/screen/opportunities/topic-details/horizon-cl6-2021-governance-01-24", "HORIZON-CL6-2021-GOVERNANCE-01-24")</f>
        <v>0</v>
      </c>
      <c r="Q1011" t="s">
        <v>1961</v>
      </c>
    </row>
    <row r="1012" spans="1:17">
      <c r="A1012">
        <v>44090085</v>
      </c>
      <c r="B1012">
        <v>2021</v>
      </c>
      <c r="C1012" t="s">
        <v>21</v>
      </c>
      <c r="D1012" t="s">
        <v>41</v>
      </c>
      <c r="E1012" t="s">
        <v>74</v>
      </c>
      <c r="F1012" t="s">
        <v>142</v>
      </c>
      <c r="G1012" t="s">
        <v>246</v>
      </c>
      <c r="H1012" t="s">
        <v>295</v>
      </c>
      <c r="I1012" t="s">
        <v>343</v>
      </c>
      <c r="K1012" t="s">
        <v>466</v>
      </c>
      <c r="L1012" t="s">
        <v>469</v>
      </c>
      <c r="M1012" t="s">
        <v>472</v>
      </c>
      <c r="N1012" t="s">
        <v>609</v>
      </c>
      <c r="O1012" t="s">
        <v>867</v>
      </c>
      <c r="P1012" s="1">
        <f>HYPERLINK("https://ec.europa.eu/info/funding-tenders/opportunities/portal/screen/opportunities/topic-details/horizon-cl6-2021-governance-01-25", "HORIZON-CL6-2021-GOVERNANCE-01-25")</f>
        <v>0</v>
      </c>
      <c r="Q1012" t="s">
        <v>1962</v>
      </c>
    </row>
    <row r="1013" spans="1:17">
      <c r="A1013">
        <v>44090105</v>
      </c>
      <c r="B1013">
        <v>2021</v>
      </c>
      <c r="C1013" t="s">
        <v>21</v>
      </c>
      <c r="D1013" t="s">
        <v>41</v>
      </c>
      <c r="E1013" t="s">
        <v>74</v>
      </c>
      <c r="F1013" t="s">
        <v>142</v>
      </c>
      <c r="G1013" t="s">
        <v>246</v>
      </c>
      <c r="H1013" t="s">
        <v>295</v>
      </c>
      <c r="I1013" t="s">
        <v>343</v>
      </c>
      <c r="K1013" t="s">
        <v>466</v>
      </c>
      <c r="L1013" t="s">
        <v>469</v>
      </c>
      <c r="M1013" t="s">
        <v>472</v>
      </c>
      <c r="N1013" t="s">
        <v>609</v>
      </c>
      <c r="O1013" t="s">
        <v>867</v>
      </c>
      <c r="P1013" s="1">
        <f>HYPERLINK("https://ec.europa.eu/info/funding-tenders/opportunities/portal/screen/opportunities/topic-details/horizon-cl6-2021-governance-01-26", "HORIZON-CL6-2021-GOVERNANCE-01-26")</f>
        <v>0</v>
      </c>
      <c r="Q1013" t="s">
        <v>1963</v>
      </c>
    </row>
    <row r="1014" spans="1:17">
      <c r="A1014">
        <v>44089916</v>
      </c>
      <c r="B1014">
        <v>2021</v>
      </c>
      <c r="C1014" t="s">
        <v>21</v>
      </c>
      <c r="D1014" t="s">
        <v>41</v>
      </c>
      <c r="E1014" t="s">
        <v>74</v>
      </c>
      <c r="F1014" t="s">
        <v>142</v>
      </c>
      <c r="G1014" t="s">
        <v>246</v>
      </c>
      <c r="H1014" t="s">
        <v>295</v>
      </c>
      <c r="I1014" t="s">
        <v>343</v>
      </c>
      <c r="K1014" t="s">
        <v>466</v>
      </c>
      <c r="L1014" t="s">
        <v>469</v>
      </c>
      <c r="M1014" t="s">
        <v>472</v>
      </c>
      <c r="N1014" t="s">
        <v>609</v>
      </c>
      <c r="O1014" t="s">
        <v>867</v>
      </c>
      <c r="P1014" s="1">
        <f>HYPERLINK("https://ec.europa.eu/info/funding-tenders/opportunities/portal/screen/opportunities/topic-details/horizon-cl6-2021-governance-01-27", "HORIZON-CL6-2021-GOVERNANCE-01-27")</f>
        <v>0</v>
      </c>
      <c r="Q1014" t="s">
        <v>1964</v>
      </c>
    </row>
    <row r="1015" spans="1:17">
      <c r="A1015">
        <v>44097020</v>
      </c>
      <c r="B1015">
        <v>2021</v>
      </c>
      <c r="C1015" t="s">
        <v>21</v>
      </c>
      <c r="D1015" t="s">
        <v>41</v>
      </c>
      <c r="E1015" t="s">
        <v>74</v>
      </c>
      <c r="F1015" t="s">
        <v>142</v>
      </c>
      <c r="G1015" t="s">
        <v>246</v>
      </c>
      <c r="H1015" t="s">
        <v>295</v>
      </c>
      <c r="I1015" t="s">
        <v>343</v>
      </c>
      <c r="K1015" t="s">
        <v>466</v>
      </c>
      <c r="L1015" t="s">
        <v>469</v>
      </c>
      <c r="M1015" t="s">
        <v>472</v>
      </c>
      <c r="N1015" t="s">
        <v>609</v>
      </c>
      <c r="O1015" t="s">
        <v>867</v>
      </c>
      <c r="P1015" s="1">
        <f>HYPERLINK("https://ec.europa.eu/info/funding-tenders/opportunities/portal/screen/opportunities/topic-details/horizon-cl6-2021-governance-01-28", "HORIZON-CL6-2021-GOVERNANCE-01-28")</f>
        <v>0</v>
      </c>
      <c r="Q1015" t="s">
        <v>1965</v>
      </c>
    </row>
    <row r="1016" spans="1:17">
      <c r="A1016">
        <v>44092337</v>
      </c>
      <c r="B1016">
        <v>2021</v>
      </c>
      <c r="C1016" t="s">
        <v>21</v>
      </c>
      <c r="D1016" t="s">
        <v>41</v>
      </c>
      <c r="E1016" t="s">
        <v>85</v>
      </c>
      <c r="F1016" t="s">
        <v>143</v>
      </c>
      <c r="G1016" t="s">
        <v>246</v>
      </c>
      <c r="H1016" t="s">
        <v>295</v>
      </c>
      <c r="I1016" t="s">
        <v>343</v>
      </c>
      <c r="K1016" t="s">
        <v>466</v>
      </c>
      <c r="L1016" t="s">
        <v>469</v>
      </c>
      <c r="M1016" t="s">
        <v>472</v>
      </c>
      <c r="N1016" t="s">
        <v>610</v>
      </c>
      <c r="O1016" t="s">
        <v>868</v>
      </c>
      <c r="P1016" s="1">
        <f>HYPERLINK("https://ec.europa.eu/info/funding-tenders/opportunities/portal/screen/opportunities/topic-details/horizon-cl6-2021-zeropollution-01-01", "HORIZON-CL6-2021-ZEROPOLLUTION-01-01")</f>
        <v>0</v>
      </c>
      <c r="Q1016" t="s">
        <v>1966</v>
      </c>
    </row>
    <row r="1017" spans="1:17">
      <c r="A1017">
        <v>44091182</v>
      </c>
      <c r="B1017">
        <v>2021</v>
      </c>
      <c r="C1017" t="s">
        <v>21</v>
      </c>
      <c r="D1017" t="s">
        <v>41</v>
      </c>
      <c r="E1017" t="s">
        <v>74</v>
      </c>
      <c r="F1017" t="s">
        <v>143</v>
      </c>
      <c r="G1017" t="s">
        <v>246</v>
      </c>
      <c r="H1017" t="s">
        <v>295</v>
      </c>
      <c r="I1017" t="s">
        <v>343</v>
      </c>
      <c r="K1017" t="s">
        <v>466</v>
      </c>
      <c r="L1017" t="s">
        <v>469</v>
      </c>
      <c r="M1017" t="s">
        <v>471</v>
      </c>
      <c r="N1017" t="s">
        <v>610</v>
      </c>
      <c r="O1017" t="s">
        <v>868</v>
      </c>
      <c r="P1017" s="1">
        <f>HYPERLINK("https://ec.europa.eu/info/funding-tenders/opportunities/portal/screen/opportunities/topic-details/horizon-cl6-2021-zeropollution-01-02", "HORIZON-CL6-2021-ZEROPOLLUTION-01-02")</f>
        <v>0</v>
      </c>
      <c r="Q1017" t="s">
        <v>1967</v>
      </c>
    </row>
    <row r="1018" spans="1:17">
      <c r="A1018">
        <v>44092385</v>
      </c>
      <c r="B1018">
        <v>2021</v>
      </c>
      <c r="C1018" t="s">
        <v>21</v>
      </c>
      <c r="D1018" t="s">
        <v>41</v>
      </c>
      <c r="E1018" t="s">
        <v>85</v>
      </c>
      <c r="F1018" t="s">
        <v>143</v>
      </c>
      <c r="G1018" t="s">
        <v>246</v>
      </c>
      <c r="H1018" t="s">
        <v>295</v>
      </c>
      <c r="I1018" t="s">
        <v>343</v>
      </c>
      <c r="K1018" t="s">
        <v>466</v>
      </c>
      <c r="L1018" t="s">
        <v>469</v>
      </c>
      <c r="M1018" t="s">
        <v>471</v>
      </c>
      <c r="N1018" t="s">
        <v>610</v>
      </c>
      <c r="O1018" t="s">
        <v>868</v>
      </c>
      <c r="P1018" s="1">
        <f>HYPERLINK("https://ec.europa.eu/info/funding-tenders/opportunities/portal/screen/opportunities/topic-details/horizon-cl6-2021-zeropollution-01-03", "HORIZON-CL6-2021-ZEROPOLLUTION-01-03")</f>
        <v>0</v>
      </c>
      <c r="Q1018" t="s">
        <v>1968</v>
      </c>
    </row>
    <row r="1019" spans="1:17">
      <c r="A1019">
        <v>44092469</v>
      </c>
      <c r="B1019">
        <v>2021</v>
      </c>
      <c r="C1019" t="s">
        <v>21</v>
      </c>
      <c r="D1019" t="s">
        <v>41</v>
      </c>
      <c r="E1019" t="s">
        <v>72</v>
      </c>
      <c r="F1019" t="s">
        <v>143</v>
      </c>
      <c r="G1019" t="s">
        <v>246</v>
      </c>
      <c r="H1019" t="s">
        <v>295</v>
      </c>
      <c r="I1019" t="s">
        <v>343</v>
      </c>
      <c r="K1019" t="s">
        <v>466</v>
      </c>
      <c r="L1019" t="s">
        <v>469</v>
      </c>
      <c r="M1019" t="s">
        <v>472</v>
      </c>
      <c r="N1019" t="s">
        <v>610</v>
      </c>
      <c r="O1019" t="s">
        <v>868</v>
      </c>
      <c r="P1019" s="1">
        <f>HYPERLINK("https://ec.europa.eu/info/funding-tenders/opportunities/portal/screen/opportunities/topic-details/horizon-cl6-2021-zeropollution-01-04", "HORIZON-CL6-2021-ZEROPOLLUTION-01-04")</f>
        <v>0</v>
      </c>
      <c r="Q1019" t="s">
        <v>1969</v>
      </c>
    </row>
    <row r="1020" spans="1:17">
      <c r="A1020">
        <v>44092516</v>
      </c>
      <c r="B1020">
        <v>2021</v>
      </c>
      <c r="C1020" t="s">
        <v>21</v>
      </c>
      <c r="D1020" t="s">
        <v>41</v>
      </c>
      <c r="E1020" t="s">
        <v>86</v>
      </c>
      <c r="F1020" t="s">
        <v>143</v>
      </c>
      <c r="G1020" t="s">
        <v>246</v>
      </c>
      <c r="H1020" t="s">
        <v>295</v>
      </c>
      <c r="I1020" t="s">
        <v>343</v>
      </c>
      <c r="K1020" t="s">
        <v>466</v>
      </c>
      <c r="L1020" t="s">
        <v>469</v>
      </c>
      <c r="M1020" t="s">
        <v>473</v>
      </c>
      <c r="N1020" t="s">
        <v>610</v>
      </c>
      <c r="O1020" t="s">
        <v>868</v>
      </c>
      <c r="P1020" s="1">
        <f>HYPERLINK("https://ec.europa.eu/info/funding-tenders/opportunities/portal/screen/opportunities/topic-details/horizon-cl6-2021-zeropollution-01-05", "HORIZON-CL6-2021-ZEROPOLLUTION-01-05")</f>
        <v>0</v>
      </c>
      <c r="Q1020" t="s">
        <v>1970</v>
      </c>
    </row>
    <row r="1021" spans="1:17">
      <c r="A1021">
        <v>44092561</v>
      </c>
      <c r="B1021">
        <v>2021</v>
      </c>
      <c r="C1021" t="s">
        <v>21</v>
      </c>
      <c r="D1021" t="s">
        <v>41</v>
      </c>
      <c r="E1021" t="s">
        <v>86</v>
      </c>
      <c r="F1021" t="s">
        <v>143</v>
      </c>
      <c r="G1021" t="s">
        <v>246</v>
      </c>
      <c r="H1021" t="s">
        <v>295</v>
      </c>
      <c r="I1021" t="s">
        <v>343</v>
      </c>
      <c r="K1021" t="s">
        <v>466</v>
      </c>
      <c r="L1021" t="s">
        <v>469</v>
      </c>
      <c r="M1021" t="s">
        <v>471</v>
      </c>
      <c r="N1021" t="s">
        <v>610</v>
      </c>
      <c r="O1021" t="s">
        <v>868</v>
      </c>
      <c r="P1021" s="1">
        <f>HYPERLINK("https://ec.europa.eu/info/funding-tenders/opportunities/portal/screen/opportunities/topic-details/horizon-cl6-2021-zeropollution-01-06", "HORIZON-CL6-2021-ZEROPOLLUTION-01-06")</f>
        <v>0</v>
      </c>
      <c r="Q1021" t="s">
        <v>1971</v>
      </c>
    </row>
    <row r="1022" spans="1:17">
      <c r="A1022">
        <v>44092621</v>
      </c>
      <c r="B1022">
        <v>2021</v>
      </c>
      <c r="C1022" t="s">
        <v>21</v>
      </c>
      <c r="D1022" t="s">
        <v>41</v>
      </c>
      <c r="E1022" t="s">
        <v>86</v>
      </c>
      <c r="F1022" t="s">
        <v>143</v>
      </c>
      <c r="G1022" t="s">
        <v>246</v>
      </c>
      <c r="H1022" t="s">
        <v>295</v>
      </c>
      <c r="I1022" t="s">
        <v>343</v>
      </c>
      <c r="K1022" t="s">
        <v>466</v>
      </c>
      <c r="L1022" t="s">
        <v>469</v>
      </c>
      <c r="M1022" t="s">
        <v>472</v>
      </c>
      <c r="N1022" t="s">
        <v>610</v>
      </c>
      <c r="O1022" t="s">
        <v>868</v>
      </c>
      <c r="P1022" s="1">
        <f>HYPERLINK("https://ec.europa.eu/info/funding-tenders/opportunities/portal/screen/opportunities/topic-details/horizon-cl6-2021-zeropollution-01-07", "HORIZON-CL6-2021-ZEROPOLLUTION-01-07")</f>
        <v>0</v>
      </c>
      <c r="Q1022" t="s">
        <v>1972</v>
      </c>
    </row>
    <row r="1023" spans="1:17">
      <c r="A1023">
        <v>44092671</v>
      </c>
      <c r="B1023">
        <v>2021</v>
      </c>
      <c r="C1023" t="s">
        <v>21</v>
      </c>
      <c r="D1023" t="s">
        <v>41</v>
      </c>
      <c r="E1023" t="s">
        <v>86</v>
      </c>
      <c r="F1023" t="s">
        <v>143</v>
      </c>
      <c r="G1023" t="s">
        <v>246</v>
      </c>
      <c r="H1023" t="s">
        <v>295</v>
      </c>
      <c r="I1023" t="s">
        <v>343</v>
      </c>
      <c r="K1023" t="s">
        <v>466</v>
      </c>
      <c r="L1023" t="s">
        <v>469</v>
      </c>
      <c r="M1023" t="s">
        <v>471</v>
      </c>
      <c r="N1023" t="s">
        <v>610</v>
      </c>
      <c r="O1023" t="s">
        <v>868</v>
      </c>
      <c r="P1023" s="1">
        <f>HYPERLINK("https://ec.europa.eu/info/funding-tenders/opportunities/portal/screen/opportunities/topic-details/horizon-cl6-2021-zeropollution-01-08", "HORIZON-CL6-2021-ZEROPOLLUTION-01-08")</f>
        <v>0</v>
      </c>
      <c r="Q1023" t="s">
        <v>1973</v>
      </c>
    </row>
    <row r="1024" spans="1:17">
      <c r="A1024">
        <v>44092715</v>
      </c>
      <c r="B1024">
        <v>2021</v>
      </c>
      <c r="C1024" t="s">
        <v>21</v>
      </c>
      <c r="D1024" t="s">
        <v>41</v>
      </c>
      <c r="E1024" t="s">
        <v>85</v>
      </c>
      <c r="F1024" t="s">
        <v>143</v>
      </c>
      <c r="G1024" t="s">
        <v>246</v>
      </c>
      <c r="H1024" t="s">
        <v>295</v>
      </c>
      <c r="I1024" t="s">
        <v>343</v>
      </c>
      <c r="K1024" t="s">
        <v>466</v>
      </c>
      <c r="L1024" t="s">
        <v>469</v>
      </c>
      <c r="M1024" t="s">
        <v>472</v>
      </c>
      <c r="N1024" t="s">
        <v>610</v>
      </c>
      <c r="O1024" t="s">
        <v>868</v>
      </c>
      <c r="P1024" s="1">
        <f>HYPERLINK("https://ec.europa.eu/info/funding-tenders/opportunities/portal/screen/opportunities/topic-details/horizon-cl6-2021-zeropollution-01-09", "HORIZON-CL6-2021-ZEROPOLLUTION-01-09")</f>
        <v>0</v>
      </c>
      <c r="Q1024" t="s">
        <v>1974</v>
      </c>
    </row>
    <row r="1025" spans="1:17">
      <c r="A1025">
        <v>44089937</v>
      </c>
      <c r="B1025">
        <v>2021</v>
      </c>
      <c r="C1025" t="s">
        <v>21</v>
      </c>
      <c r="D1025" t="s">
        <v>41</v>
      </c>
      <c r="E1025" t="s">
        <v>86</v>
      </c>
      <c r="F1025" t="s">
        <v>143</v>
      </c>
      <c r="G1025" t="s">
        <v>246</v>
      </c>
      <c r="H1025" t="s">
        <v>295</v>
      </c>
      <c r="I1025" t="s">
        <v>343</v>
      </c>
      <c r="K1025" t="s">
        <v>466</v>
      </c>
      <c r="L1025" t="s">
        <v>469</v>
      </c>
      <c r="M1025" t="s">
        <v>471</v>
      </c>
      <c r="N1025" t="s">
        <v>610</v>
      </c>
      <c r="O1025" t="s">
        <v>868</v>
      </c>
      <c r="P1025" s="1">
        <f>HYPERLINK("https://ec.europa.eu/info/funding-tenders/opportunities/portal/screen/opportunities/topic-details/horizon-cl6-2021-zeropollution-01-10", "HORIZON-CL6-2021-ZEROPOLLUTION-01-10")</f>
        <v>0</v>
      </c>
      <c r="Q1025" t="s">
        <v>1975</v>
      </c>
    </row>
    <row r="1026" spans="1:17">
      <c r="A1026">
        <v>44090724</v>
      </c>
      <c r="B1026">
        <v>2022</v>
      </c>
      <c r="C1026" t="s">
        <v>21</v>
      </c>
      <c r="D1026" t="s">
        <v>41</v>
      </c>
      <c r="E1026" t="s">
        <v>72</v>
      </c>
      <c r="F1026" t="s">
        <v>136</v>
      </c>
      <c r="G1026" t="s">
        <v>247</v>
      </c>
      <c r="H1026" t="s">
        <v>328</v>
      </c>
      <c r="I1026" t="s">
        <v>405</v>
      </c>
      <c r="K1026" t="s">
        <v>466</v>
      </c>
      <c r="L1026" t="s">
        <v>469</v>
      </c>
      <c r="M1026" t="s">
        <v>471</v>
      </c>
      <c r="N1026" t="s">
        <v>611</v>
      </c>
      <c r="O1026" t="s">
        <v>862</v>
      </c>
      <c r="P1026" s="1">
        <f>HYPERLINK("https://ec.europa.eu/info/funding-tenders/opportunities/portal/screen/opportunities/topic-details/horizon-cl6-2022-biodiv-01-01", "HORIZON-CL6-2022-BIODIV-01-01")</f>
        <v>0</v>
      </c>
      <c r="Q1026" t="s">
        <v>1976</v>
      </c>
    </row>
    <row r="1027" spans="1:17">
      <c r="A1027">
        <v>44090797</v>
      </c>
      <c r="B1027">
        <v>2022</v>
      </c>
      <c r="C1027" t="s">
        <v>21</v>
      </c>
      <c r="D1027" t="s">
        <v>41</v>
      </c>
      <c r="E1027" t="s">
        <v>84</v>
      </c>
      <c r="F1027" t="s">
        <v>136</v>
      </c>
      <c r="G1027" t="s">
        <v>247</v>
      </c>
      <c r="H1027" t="s">
        <v>328</v>
      </c>
      <c r="I1027" t="s">
        <v>405</v>
      </c>
      <c r="K1027" t="s">
        <v>466</v>
      </c>
      <c r="L1027" t="s">
        <v>469</v>
      </c>
      <c r="M1027" t="s">
        <v>473</v>
      </c>
      <c r="N1027" t="s">
        <v>611</v>
      </c>
      <c r="O1027" t="s">
        <v>862</v>
      </c>
      <c r="P1027" s="1">
        <f>HYPERLINK("https://ec.europa.eu/info/funding-tenders/opportunities/portal/screen/opportunities/topic-details/horizon-cl6-2022-biodiv-01-02", "HORIZON-CL6-2022-BIODIV-01-02")</f>
        <v>0</v>
      </c>
      <c r="Q1027" t="s">
        <v>1977</v>
      </c>
    </row>
    <row r="1028" spans="1:17">
      <c r="A1028">
        <v>44090843</v>
      </c>
      <c r="B1028">
        <v>2022</v>
      </c>
      <c r="C1028" t="s">
        <v>21</v>
      </c>
      <c r="D1028" t="s">
        <v>41</v>
      </c>
      <c r="E1028" t="s">
        <v>84</v>
      </c>
      <c r="F1028" t="s">
        <v>136</v>
      </c>
      <c r="G1028" t="s">
        <v>247</v>
      </c>
      <c r="H1028" t="s">
        <v>328</v>
      </c>
      <c r="I1028" t="s">
        <v>405</v>
      </c>
      <c r="K1028" t="s">
        <v>466</v>
      </c>
      <c r="L1028" t="s">
        <v>469</v>
      </c>
      <c r="M1028" t="s">
        <v>472</v>
      </c>
      <c r="N1028" t="s">
        <v>611</v>
      </c>
      <c r="O1028" t="s">
        <v>862</v>
      </c>
      <c r="P1028" s="1">
        <f>HYPERLINK("https://ec.europa.eu/info/funding-tenders/opportunities/portal/screen/opportunities/topic-details/horizon-cl6-2022-biodiv-01-03", "HORIZON-CL6-2022-BIODIV-01-03")</f>
        <v>0</v>
      </c>
      <c r="Q1028" t="s">
        <v>1978</v>
      </c>
    </row>
    <row r="1029" spans="1:17">
      <c r="A1029">
        <v>44090914</v>
      </c>
      <c r="B1029">
        <v>2022</v>
      </c>
      <c r="C1029" t="s">
        <v>21</v>
      </c>
      <c r="D1029" t="s">
        <v>41</v>
      </c>
      <c r="E1029" t="s">
        <v>84</v>
      </c>
      <c r="F1029" t="s">
        <v>136</v>
      </c>
      <c r="G1029" t="s">
        <v>247</v>
      </c>
      <c r="H1029" t="s">
        <v>328</v>
      </c>
      <c r="I1029" t="s">
        <v>405</v>
      </c>
      <c r="K1029" t="s">
        <v>466</v>
      </c>
      <c r="L1029" t="s">
        <v>469</v>
      </c>
      <c r="M1029" t="s">
        <v>473</v>
      </c>
      <c r="N1029" t="s">
        <v>611</v>
      </c>
      <c r="O1029" t="s">
        <v>862</v>
      </c>
      <c r="P1029" s="1">
        <f>HYPERLINK("https://ec.europa.eu/info/funding-tenders/opportunities/portal/screen/opportunities/topic-details/horizon-cl6-2022-biodiv-01-04", "HORIZON-CL6-2022-BIODIV-01-04")</f>
        <v>0</v>
      </c>
      <c r="Q1029" t="s">
        <v>1979</v>
      </c>
    </row>
    <row r="1030" spans="1:17">
      <c r="A1030">
        <v>44090968</v>
      </c>
      <c r="B1030">
        <v>2022</v>
      </c>
      <c r="C1030" t="s">
        <v>21</v>
      </c>
      <c r="D1030" t="s">
        <v>41</v>
      </c>
      <c r="E1030" t="s">
        <v>74</v>
      </c>
      <c r="F1030" t="s">
        <v>136</v>
      </c>
      <c r="G1030" t="s">
        <v>247</v>
      </c>
      <c r="H1030" t="s">
        <v>328</v>
      </c>
      <c r="I1030" t="s">
        <v>405</v>
      </c>
      <c r="K1030" t="s">
        <v>466</v>
      </c>
      <c r="L1030" t="s">
        <v>469</v>
      </c>
      <c r="M1030" t="s">
        <v>471</v>
      </c>
      <c r="N1030" t="s">
        <v>611</v>
      </c>
      <c r="O1030" t="s">
        <v>862</v>
      </c>
      <c r="P1030" s="1">
        <f>HYPERLINK("https://ec.europa.eu/info/funding-tenders/opportunities/portal/screen/opportunities/topic-details/horizon-cl6-2022-biodiv-01-05", "HORIZON-CL6-2022-BIODIV-01-05")</f>
        <v>0</v>
      </c>
      <c r="Q1030" t="s">
        <v>1980</v>
      </c>
    </row>
    <row r="1031" spans="1:17">
      <c r="A1031">
        <v>44091013</v>
      </c>
      <c r="B1031">
        <v>2022</v>
      </c>
      <c r="C1031" t="s">
        <v>21</v>
      </c>
      <c r="D1031" t="s">
        <v>41</v>
      </c>
      <c r="E1031" t="s">
        <v>74</v>
      </c>
      <c r="F1031" t="s">
        <v>136</v>
      </c>
      <c r="G1031" t="s">
        <v>247</v>
      </c>
      <c r="H1031" t="s">
        <v>328</v>
      </c>
      <c r="I1031" t="s">
        <v>405</v>
      </c>
      <c r="K1031" t="s">
        <v>466</v>
      </c>
      <c r="L1031" t="s">
        <v>469</v>
      </c>
      <c r="M1031" t="s">
        <v>471</v>
      </c>
      <c r="N1031" t="s">
        <v>611</v>
      </c>
      <c r="O1031" t="s">
        <v>862</v>
      </c>
      <c r="P1031" s="1">
        <f>HYPERLINK("https://ec.europa.eu/info/funding-tenders/opportunities/portal/screen/opportunities/topic-details/horizon-cl6-2022-biodiv-01-06", "HORIZON-CL6-2022-BIODIV-01-06")</f>
        <v>0</v>
      </c>
      <c r="Q1031" t="s">
        <v>1981</v>
      </c>
    </row>
    <row r="1032" spans="1:17">
      <c r="A1032">
        <v>44096741</v>
      </c>
      <c r="B1032">
        <v>2022</v>
      </c>
      <c r="C1032" t="s">
        <v>21</v>
      </c>
      <c r="D1032" t="s">
        <v>41</v>
      </c>
      <c r="E1032" t="s">
        <v>74</v>
      </c>
      <c r="F1032" t="s">
        <v>136</v>
      </c>
      <c r="G1032" t="s">
        <v>247</v>
      </c>
      <c r="H1032" t="s">
        <v>328</v>
      </c>
      <c r="I1032" t="s">
        <v>405</v>
      </c>
      <c r="K1032" t="s">
        <v>466</v>
      </c>
      <c r="L1032" t="s">
        <v>469</v>
      </c>
      <c r="M1032" t="s">
        <v>471</v>
      </c>
      <c r="N1032" t="s">
        <v>611</v>
      </c>
      <c r="O1032" t="s">
        <v>862</v>
      </c>
      <c r="P1032" s="1">
        <f>HYPERLINK("https://ec.europa.eu/info/funding-tenders/opportunities/portal/screen/opportunities/topic-details/horizon-cl6-2022-biodiv-01-07", "HORIZON-CL6-2022-BIODIV-01-07")</f>
        <v>0</v>
      </c>
      <c r="Q1032" t="s">
        <v>1982</v>
      </c>
    </row>
    <row r="1033" spans="1:17">
      <c r="A1033">
        <v>44091041</v>
      </c>
      <c r="B1033">
        <v>2022</v>
      </c>
      <c r="C1033" t="s">
        <v>21</v>
      </c>
      <c r="D1033" t="s">
        <v>41</v>
      </c>
      <c r="E1033" t="s">
        <v>84</v>
      </c>
      <c r="F1033" t="s">
        <v>136</v>
      </c>
      <c r="G1033" t="s">
        <v>247</v>
      </c>
      <c r="H1033" t="s">
        <v>328</v>
      </c>
      <c r="I1033" t="s">
        <v>405</v>
      </c>
      <c r="K1033" t="s">
        <v>466</v>
      </c>
      <c r="L1033" t="s">
        <v>469</v>
      </c>
      <c r="M1033" t="s">
        <v>471</v>
      </c>
      <c r="N1033" t="s">
        <v>611</v>
      </c>
      <c r="O1033" t="s">
        <v>862</v>
      </c>
      <c r="P1033" s="1">
        <f>HYPERLINK("https://ec.europa.eu/info/funding-tenders/opportunities/portal/screen/opportunities/topic-details/horizon-cl6-2022-biodiv-01-08", "HORIZON-CL6-2022-BIODIV-01-08")</f>
        <v>0</v>
      </c>
      <c r="Q1033" t="s">
        <v>1983</v>
      </c>
    </row>
    <row r="1034" spans="1:17">
      <c r="A1034">
        <v>44091075</v>
      </c>
      <c r="B1034">
        <v>2022</v>
      </c>
      <c r="C1034" t="s">
        <v>21</v>
      </c>
      <c r="D1034" t="s">
        <v>41</v>
      </c>
      <c r="E1034" t="s">
        <v>84</v>
      </c>
      <c r="F1034" t="s">
        <v>136</v>
      </c>
      <c r="G1034" t="s">
        <v>247</v>
      </c>
      <c r="H1034" t="s">
        <v>328</v>
      </c>
      <c r="I1034" t="s">
        <v>405</v>
      </c>
      <c r="K1034" t="s">
        <v>466</v>
      </c>
      <c r="L1034" t="s">
        <v>469</v>
      </c>
      <c r="M1034" t="s">
        <v>471</v>
      </c>
      <c r="N1034" t="s">
        <v>611</v>
      </c>
      <c r="O1034" t="s">
        <v>862</v>
      </c>
      <c r="P1034" s="1">
        <f>HYPERLINK("https://ec.europa.eu/info/funding-tenders/opportunities/portal/screen/opportunities/topic-details/horizon-cl6-2022-biodiv-01-09", "HORIZON-CL6-2022-BIODIV-01-09")</f>
        <v>0</v>
      </c>
      <c r="Q1034" t="s">
        <v>1984</v>
      </c>
    </row>
    <row r="1035" spans="1:17">
      <c r="A1035">
        <v>44091148</v>
      </c>
      <c r="B1035">
        <v>2022</v>
      </c>
      <c r="C1035" t="s">
        <v>21</v>
      </c>
      <c r="D1035" t="s">
        <v>41</v>
      </c>
      <c r="E1035" t="s">
        <v>84</v>
      </c>
      <c r="F1035" t="s">
        <v>136</v>
      </c>
      <c r="G1035" t="s">
        <v>247</v>
      </c>
      <c r="H1035" t="s">
        <v>328</v>
      </c>
      <c r="I1035" t="s">
        <v>405</v>
      </c>
      <c r="K1035" t="s">
        <v>466</v>
      </c>
      <c r="L1035" t="s">
        <v>469</v>
      </c>
      <c r="M1035" t="s">
        <v>472</v>
      </c>
      <c r="N1035" t="s">
        <v>611</v>
      </c>
      <c r="O1035" t="s">
        <v>862</v>
      </c>
      <c r="P1035" s="1">
        <f>HYPERLINK("https://ec.europa.eu/info/funding-tenders/opportunities/portal/screen/opportunities/topic-details/horizon-cl6-2022-biodiv-01-10", "HORIZON-CL6-2022-BIODIV-01-10")</f>
        <v>0</v>
      </c>
      <c r="Q1035" t="s">
        <v>1985</v>
      </c>
    </row>
    <row r="1036" spans="1:17">
      <c r="A1036">
        <v>44090609</v>
      </c>
      <c r="B1036">
        <v>2022</v>
      </c>
      <c r="C1036" t="s">
        <v>21</v>
      </c>
      <c r="D1036" t="s">
        <v>41</v>
      </c>
      <c r="E1036" t="s">
        <v>84</v>
      </c>
      <c r="F1036" t="s">
        <v>144</v>
      </c>
      <c r="G1036" t="s">
        <v>247</v>
      </c>
      <c r="H1036" t="s">
        <v>328</v>
      </c>
      <c r="I1036" t="s">
        <v>405</v>
      </c>
      <c r="J1036" t="s">
        <v>461</v>
      </c>
      <c r="K1036" t="s">
        <v>466</v>
      </c>
      <c r="L1036" t="s">
        <v>470</v>
      </c>
      <c r="M1036" t="s">
        <v>473</v>
      </c>
      <c r="N1036" t="s">
        <v>612</v>
      </c>
      <c r="O1036" t="s">
        <v>862</v>
      </c>
      <c r="P1036" s="1">
        <f>HYPERLINK("https://ec.europa.eu/info/funding-tenders/opportunities/portal/screen/opportunities/topic-details/horizon-cl6-2022-biodiv-02-01-two-stage", "HORIZON-CL6-2022-BIODIV-02-01-two-stage")</f>
        <v>0</v>
      </c>
      <c r="Q1036" t="s">
        <v>1986</v>
      </c>
    </row>
    <row r="1037" spans="1:17">
      <c r="A1037">
        <v>44090650</v>
      </c>
      <c r="B1037">
        <v>2022</v>
      </c>
      <c r="C1037" t="s">
        <v>21</v>
      </c>
      <c r="D1037" t="s">
        <v>41</v>
      </c>
      <c r="E1037" t="s">
        <v>74</v>
      </c>
      <c r="F1037" t="s">
        <v>144</v>
      </c>
      <c r="G1037" t="s">
        <v>247</v>
      </c>
      <c r="H1037" t="s">
        <v>328</v>
      </c>
      <c r="I1037" t="s">
        <v>405</v>
      </c>
      <c r="J1037" t="s">
        <v>461</v>
      </c>
      <c r="K1037" t="s">
        <v>466</v>
      </c>
      <c r="L1037" t="s">
        <v>470</v>
      </c>
      <c r="M1037" t="s">
        <v>473</v>
      </c>
      <c r="N1037" t="s">
        <v>612</v>
      </c>
      <c r="O1037" t="s">
        <v>862</v>
      </c>
      <c r="P1037" s="1">
        <f>HYPERLINK("https://ec.europa.eu/info/funding-tenders/opportunities/portal/screen/opportunities/topic-details/horizon-cl6-2022-biodiv-02-02-two-stage", "HORIZON-CL6-2022-BIODIV-02-02-two-stage")</f>
        <v>0</v>
      </c>
      <c r="Q1037" t="s">
        <v>1987</v>
      </c>
    </row>
    <row r="1038" spans="1:17">
      <c r="A1038">
        <v>44090694</v>
      </c>
      <c r="B1038">
        <v>2022</v>
      </c>
      <c r="C1038" t="s">
        <v>21</v>
      </c>
      <c r="D1038" t="s">
        <v>41</v>
      </c>
      <c r="E1038" t="s">
        <v>74</v>
      </c>
      <c r="F1038" t="s">
        <v>144</v>
      </c>
      <c r="G1038" t="s">
        <v>247</v>
      </c>
      <c r="H1038" t="s">
        <v>328</v>
      </c>
      <c r="I1038" t="s">
        <v>405</v>
      </c>
      <c r="J1038" t="s">
        <v>461</v>
      </c>
      <c r="K1038" t="s">
        <v>466</v>
      </c>
      <c r="L1038" t="s">
        <v>470</v>
      </c>
      <c r="M1038" t="s">
        <v>471</v>
      </c>
      <c r="N1038" t="s">
        <v>612</v>
      </c>
      <c r="O1038" t="s">
        <v>862</v>
      </c>
      <c r="P1038" s="1">
        <f>HYPERLINK("https://ec.europa.eu/info/funding-tenders/opportunities/portal/screen/opportunities/topic-details/horizon-cl6-2022-biodiv-02-03-two-stage", "HORIZON-CL6-2022-BIODIV-02-03-two-stage")</f>
        <v>0</v>
      </c>
      <c r="Q1038" t="s">
        <v>1988</v>
      </c>
    </row>
    <row r="1039" spans="1:17">
      <c r="A1039">
        <v>44089543</v>
      </c>
      <c r="B1039">
        <v>2022</v>
      </c>
      <c r="C1039" t="s">
        <v>21</v>
      </c>
      <c r="D1039" t="s">
        <v>41</v>
      </c>
      <c r="E1039" t="s">
        <v>85</v>
      </c>
      <c r="F1039" t="s">
        <v>138</v>
      </c>
      <c r="G1039" t="s">
        <v>246</v>
      </c>
      <c r="H1039" t="s">
        <v>328</v>
      </c>
      <c r="I1039" t="s">
        <v>405</v>
      </c>
      <c r="K1039" t="s">
        <v>466</v>
      </c>
      <c r="L1039" t="s">
        <v>469</v>
      </c>
      <c r="M1039" t="s">
        <v>472</v>
      </c>
      <c r="N1039" t="s">
        <v>613</v>
      </c>
      <c r="O1039" t="s">
        <v>863</v>
      </c>
      <c r="P1039" s="1">
        <f>HYPERLINK("https://ec.europa.eu/info/funding-tenders/opportunities/portal/screen/opportunities/topic-details/horizon-cl6-2022-circbio-01-01", "HORIZON-CL6-2022-CIRCBIO-01-01")</f>
        <v>0</v>
      </c>
      <c r="Q1039" t="s">
        <v>1895</v>
      </c>
    </row>
    <row r="1040" spans="1:17">
      <c r="A1040">
        <v>44089745</v>
      </c>
      <c r="B1040">
        <v>2022</v>
      </c>
      <c r="C1040" t="s">
        <v>21</v>
      </c>
      <c r="D1040" t="s">
        <v>41</v>
      </c>
      <c r="E1040" t="s">
        <v>86</v>
      </c>
      <c r="F1040" t="s">
        <v>138</v>
      </c>
      <c r="G1040" t="s">
        <v>246</v>
      </c>
      <c r="H1040" t="s">
        <v>328</v>
      </c>
      <c r="I1040" t="s">
        <v>405</v>
      </c>
      <c r="K1040" t="s">
        <v>466</v>
      </c>
      <c r="L1040" t="s">
        <v>469</v>
      </c>
      <c r="M1040" t="s">
        <v>473</v>
      </c>
      <c r="N1040" t="s">
        <v>613</v>
      </c>
      <c r="O1040" t="s">
        <v>863</v>
      </c>
      <c r="P1040" s="1">
        <f>HYPERLINK("https://ec.europa.eu/info/funding-tenders/opportunities/portal/screen/opportunities/topic-details/horizon-cl6-2022-circbio-01-02", "HORIZON-CL6-2022-CIRCBIO-01-02")</f>
        <v>0</v>
      </c>
      <c r="Q1040" t="s">
        <v>1989</v>
      </c>
    </row>
    <row r="1041" spans="1:17">
      <c r="A1041">
        <v>44093543</v>
      </c>
      <c r="B1041">
        <v>2022</v>
      </c>
      <c r="C1041" t="s">
        <v>21</v>
      </c>
      <c r="D1041" t="s">
        <v>41</v>
      </c>
      <c r="E1041" t="s">
        <v>86</v>
      </c>
      <c r="F1041" t="s">
        <v>138</v>
      </c>
      <c r="G1041" t="s">
        <v>246</v>
      </c>
      <c r="H1041" t="s">
        <v>328</v>
      </c>
      <c r="I1041" t="s">
        <v>405</v>
      </c>
      <c r="K1041" t="s">
        <v>466</v>
      </c>
      <c r="L1041" t="s">
        <v>469</v>
      </c>
      <c r="M1041" t="s">
        <v>472</v>
      </c>
      <c r="N1041" t="s">
        <v>613</v>
      </c>
      <c r="O1041" t="s">
        <v>863</v>
      </c>
      <c r="P1041" s="1">
        <f>HYPERLINK("https://ec.europa.eu/info/funding-tenders/opportunities/portal/screen/opportunities/topic-details/horizon-cl6-2022-circbio-01-03", "HORIZON-CL6-2022-CIRCBIO-01-03")</f>
        <v>0</v>
      </c>
      <c r="Q1041" t="s">
        <v>1990</v>
      </c>
    </row>
    <row r="1042" spans="1:17">
      <c r="A1042">
        <v>44093674</v>
      </c>
      <c r="B1042">
        <v>2022</v>
      </c>
      <c r="C1042" t="s">
        <v>21</v>
      </c>
      <c r="D1042" t="s">
        <v>41</v>
      </c>
      <c r="E1042" t="s">
        <v>74</v>
      </c>
      <c r="F1042" t="s">
        <v>138</v>
      </c>
      <c r="G1042" t="s">
        <v>246</v>
      </c>
      <c r="H1042" t="s">
        <v>328</v>
      </c>
      <c r="I1042" t="s">
        <v>405</v>
      </c>
      <c r="K1042" t="s">
        <v>466</v>
      </c>
      <c r="L1042" t="s">
        <v>469</v>
      </c>
      <c r="M1042" t="s">
        <v>473</v>
      </c>
      <c r="N1042" t="s">
        <v>613</v>
      </c>
      <c r="O1042" t="s">
        <v>863</v>
      </c>
      <c r="P1042" s="1">
        <f>HYPERLINK("https://ec.europa.eu/info/funding-tenders/opportunities/portal/screen/opportunities/topic-details/horizon-cl6-2022-circbio-01-04", "HORIZON-CL6-2022-CIRCBIO-01-04")</f>
        <v>0</v>
      </c>
      <c r="Q1042" t="s">
        <v>1991</v>
      </c>
    </row>
    <row r="1043" spans="1:17">
      <c r="A1043">
        <v>44093696</v>
      </c>
      <c r="B1043">
        <v>2022</v>
      </c>
      <c r="C1043" t="s">
        <v>21</v>
      </c>
      <c r="D1043" t="s">
        <v>41</v>
      </c>
      <c r="E1043" t="s">
        <v>74</v>
      </c>
      <c r="F1043" t="s">
        <v>138</v>
      </c>
      <c r="G1043" t="s">
        <v>246</v>
      </c>
      <c r="H1043" t="s">
        <v>328</v>
      </c>
      <c r="I1043" t="s">
        <v>405</v>
      </c>
      <c r="K1043" t="s">
        <v>466</v>
      </c>
      <c r="L1043" t="s">
        <v>469</v>
      </c>
      <c r="M1043" t="s">
        <v>471</v>
      </c>
      <c r="N1043" t="s">
        <v>613</v>
      </c>
      <c r="O1043" t="s">
        <v>863</v>
      </c>
      <c r="P1043" s="1">
        <f>HYPERLINK("https://ec.europa.eu/info/funding-tenders/opportunities/portal/screen/opportunities/topic-details/horizon-cl6-2022-circbio-01-05", "HORIZON-CL6-2022-CIRCBIO-01-05")</f>
        <v>0</v>
      </c>
      <c r="Q1043" t="s">
        <v>1992</v>
      </c>
    </row>
    <row r="1044" spans="1:17">
      <c r="A1044">
        <v>44093749</v>
      </c>
      <c r="B1044">
        <v>2022</v>
      </c>
      <c r="C1044" t="s">
        <v>21</v>
      </c>
      <c r="D1044" t="s">
        <v>41</v>
      </c>
      <c r="E1044" t="s">
        <v>74</v>
      </c>
      <c r="F1044" t="s">
        <v>138</v>
      </c>
      <c r="G1044" t="s">
        <v>246</v>
      </c>
      <c r="H1044" t="s">
        <v>328</v>
      </c>
      <c r="I1044" t="s">
        <v>405</v>
      </c>
      <c r="K1044" t="s">
        <v>466</v>
      </c>
      <c r="L1044" t="s">
        <v>469</v>
      </c>
      <c r="M1044" t="s">
        <v>471</v>
      </c>
      <c r="N1044" t="s">
        <v>613</v>
      </c>
      <c r="O1044" t="s">
        <v>863</v>
      </c>
      <c r="P1044" s="1">
        <f>HYPERLINK("https://ec.europa.eu/info/funding-tenders/opportunities/portal/screen/opportunities/topic-details/horizon-cl6-2022-circbio-01-06", "HORIZON-CL6-2022-CIRCBIO-01-06")</f>
        <v>0</v>
      </c>
      <c r="Q1044" t="s">
        <v>1993</v>
      </c>
    </row>
    <row r="1045" spans="1:17">
      <c r="A1045">
        <v>44093775</v>
      </c>
      <c r="B1045">
        <v>2022</v>
      </c>
      <c r="C1045" t="s">
        <v>21</v>
      </c>
      <c r="D1045" t="s">
        <v>41</v>
      </c>
      <c r="E1045" t="s">
        <v>72</v>
      </c>
      <c r="F1045" t="s">
        <v>138</v>
      </c>
      <c r="G1045" t="s">
        <v>246</v>
      </c>
      <c r="H1045" t="s">
        <v>328</v>
      </c>
      <c r="I1045" t="s">
        <v>405</v>
      </c>
      <c r="K1045" t="s">
        <v>466</v>
      </c>
      <c r="L1045" t="s">
        <v>469</v>
      </c>
      <c r="M1045" t="s">
        <v>471</v>
      </c>
      <c r="N1045" t="s">
        <v>613</v>
      </c>
      <c r="O1045" t="s">
        <v>863</v>
      </c>
      <c r="P1045" s="1">
        <f>HYPERLINK("https://ec.europa.eu/info/funding-tenders/opportunities/portal/screen/opportunities/topic-details/horizon-cl6-2022-circbio-01-07", "HORIZON-CL6-2022-CIRCBIO-01-07")</f>
        <v>0</v>
      </c>
      <c r="Q1045" t="s">
        <v>1994</v>
      </c>
    </row>
    <row r="1046" spans="1:17">
      <c r="A1046">
        <v>44089711</v>
      </c>
      <c r="B1046">
        <v>2022</v>
      </c>
      <c r="C1046" t="s">
        <v>21</v>
      </c>
      <c r="D1046" t="s">
        <v>41</v>
      </c>
      <c r="E1046" t="s">
        <v>85</v>
      </c>
      <c r="F1046" t="s">
        <v>145</v>
      </c>
      <c r="G1046" t="s">
        <v>247</v>
      </c>
      <c r="H1046" t="s">
        <v>328</v>
      </c>
      <c r="I1046" t="s">
        <v>405</v>
      </c>
      <c r="J1046" t="s">
        <v>461</v>
      </c>
      <c r="K1046" t="s">
        <v>466</v>
      </c>
      <c r="L1046" t="s">
        <v>470</v>
      </c>
      <c r="M1046" t="s">
        <v>473</v>
      </c>
      <c r="N1046" t="s">
        <v>614</v>
      </c>
      <c r="O1046" t="s">
        <v>863</v>
      </c>
      <c r="P1046" s="1">
        <f>HYPERLINK("https://ec.europa.eu/info/funding-tenders/opportunities/portal/screen/opportunities/topic-details/horizon-cl6-2022-circbio-02-01-two-stage", "HORIZON-CL6-2022-CIRCBIO-02-01-two-stage")</f>
        <v>0</v>
      </c>
      <c r="Q1046" t="s">
        <v>1995</v>
      </c>
    </row>
    <row r="1047" spans="1:17">
      <c r="A1047">
        <v>44089804</v>
      </c>
      <c r="B1047">
        <v>2022</v>
      </c>
      <c r="C1047" t="s">
        <v>21</v>
      </c>
      <c r="D1047" t="s">
        <v>41</v>
      </c>
      <c r="E1047" t="s">
        <v>86</v>
      </c>
      <c r="F1047" t="s">
        <v>145</v>
      </c>
      <c r="G1047" t="s">
        <v>247</v>
      </c>
      <c r="H1047" t="s">
        <v>328</v>
      </c>
      <c r="I1047" t="s">
        <v>405</v>
      </c>
      <c r="J1047" t="s">
        <v>461</v>
      </c>
      <c r="K1047" t="s">
        <v>466</v>
      </c>
      <c r="L1047" t="s">
        <v>470</v>
      </c>
      <c r="M1047" t="s">
        <v>471</v>
      </c>
      <c r="N1047" t="s">
        <v>614</v>
      </c>
      <c r="O1047" t="s">
        <v>863</v>
      </c>
      <c r="P1047" s="1">
        <f>HYPERLINK("https://ec.europa.eu/info/funding-tenders/opportunities/portal/screen/opportunities/topic-details/horizon-cl6-2022-circbio-02-02-two-stage", "HORIZON-CL6-2022-CIRCBIO-02-02-two-stage")</f>
        <v>0</v>
      </c>
      <c r="Q1047" t="s">
        <v>1996</v>
      </c>
    </row>
    <row r="1048" spans="1:17">
      <c r="A1048">
        <v>44089854</v>
      </c>
      <c r="B1048">
        <v>2022</v>
      </c>
      <c r="C1048" t="s">
        <v>21</v>
      </c>
      <c r="D1048" t="s">
        <v>41</v>
      </c>
      <c r="E1048" t="s">
        <v>86</v>
      </c>
      <c r="F1048" t="s">
        <v>145</v>
      </c>
      <c r="G1048" t="s">
        <v>247</v>
      </c>
      <c r="H1048" t="s">
        <v>328</v>
      </c>
      <c r="I1048" t="s">
        <v>405</v>
      </c>
      <c r="J1048" t="s">
        <v>461</v>
      </c>
      <c r="K1048" t="s">
        <v>466</v>
      </c>
      <c r="L1048" t="s">
        <v>470</v>
      </c>
      <c r="M1048" t="s">
        <v>473</v>
      </c>
      <c r="N1048" t="s">
        <v>614</v>
      </c>
      <c r="O1048" t="s">
        <v>863</v>
      </c>
      <c r="P1048" s="1">
        <f>HYPERLINK("https://ec.europa.eu/info/funding-tenders/opportunities/portal/screen/opportunities/topic-details/horizon-cl6-2022-circbio-02-03-two-stage", "HORIZON-CL6-2022-CIRCBIO-02-03-two-stage")</f>
        <v>0</v>
      </c>
      <c r="Q1048" t="s">
        <v>1997</v>
      </c>
    </row>
    <row r="1049" spans="1:17">
      <c r="A1049">
        <v>44093597</v>
      </c>
      <c r="B1049">
        <v>2022</v>
      </c>
      <c r="C1049" t="s">
        <v>21</v>
      </c>
      <c r="D1049" t="s">
        <v>41</v>
      </c>
      <c r="E1049" t="s">
        <v>86</v>
      </c>
      <c r="F1049" t="s">
        <v>145</v>
      </c>
      <c r="G1049" t="s">
        <v>247</v>
      </c>
      <c r="H1049" t="s">
        <v>328</v>
      </c>
      <c r="I1049" t="s">
        <v>405</v>
      </c>
      <c r="J1049" t="s">
        <v>461</v>
      </c>
      <c r="K1049" t="s">
        <v>466</v>
      </c>
      <c r="L1049" t="s">
        <v>470</v>
      </c>
      <c r="M1049" t="s">
        <v>471</v>
      </c>
      <c r="N1049" t="s">
        <v>614</v>
      </c>
      <c r="O1049" t="s">
        <v>863</v>
      </c>
      <c r="P1049" s="1">
        <f>HYPERLINK("https://ec.europa.eu/info/funding-tenders/opportunities/portal/screen/opportunities/topic-details/horizon-cl6-2022-circbio-02-04-two-stage", "HORIZON-CL6-2022-CIRCBIO-02-04-two-stage")</f>
        <v>0</v>
      </c>
      <c r="Q1049" t="s">
        <v>1998</v>
      </c>
    </row>
    <row r="1050" spans="1:17">
      <c r="A1050">
        <v>44093642</v>
      </c>
      <c r="B1050">
        <v>2022</v>
      </c>
      <c r="C1050" t="s">
        <v>21</v>
      </c>
      <c r="D1050" t="s">
        <v>41</v>
      </c>
      <c r="E1050" t="s">
        <v>86</v>
      </c>
      <c r="F1050" t="s">
        <v>145</v>
      </c>
      <c r="G1050" t="s">
        <v>247</v>
      </c>
      <c r="H1050" t="s">
        <v>328</v>
      </c>
      <c r="I1050" t="s">
        <v>405</v>
      </c>
      <c r="J1050" t="s">
        <v>461</v>
      </c>
      <c r="K1050" t="s">
        <v>466</v>
      </c>
      <c r="L1050" t="s">
        <v>470</v>
      </c>
      <c r="M1050" t="s">
        <v>471</v>
      </c>
      <c r="N1050" t="s">
        <v>614</v>
      </c>
      <c r="O1050" t="s">
        <v>863</v>
      </c>
      <c r="P1050" s="1">
        <f>HYPERLINK("https://ec.europa.eu/info/funding-tenders/opportunities/portal/screen/opportunities/topic-details/horizon-cl6-2022-circbio-02-05-two-stage", "HORIZON-CL6-2022-CIRCBIO-02-05-two-stage")</f>
        <v>0</v>
      </c>
      <c r="Q1050" t="s">
        <v>1999</v>
      </c>
    </row>
    <row r="1051" spans="1:17">
      <c r="A1051">
        <v>44093725</v>
      </c>
      <c r="B1051">
        <v>2022</v>
      </c>
      <c r="C1051" t="s">
        <v>21</v>
      </c>
      <c r="D1051" t="s">
        <v>41</v>
      </c>
      <c r="E1051" t="s">
        <v>74</v>
      </c>
      <c r="F1051" t="s">
        <v>145</v>
      </c>
      <c r="G1051" t="s">
        <v>247</v>
      </c>
      <c r="H1051" t="s">
        <v>328</v>
      </c>
      <c r="I1051" t="s">
        <v>405</v>
      </c>
      <c r="J1051" t="s">
        <v>461</v>
      </c>
      <c r="K1051" t="s">
        <v>466</v>
      </c>
      <c r="L1051" t="s">
        <v>470</v>
      </c>
      <c r="M1051" t="s">
        <v>473</v>
      </c>
      <c r="N1051" t="s">
        <v>614</v>
      </c>
      <c r="O1051" t="s">
        <v>863</v>
      </c>
      <c r="P1051" s="1">
        <f>HYPERLINK("https://ec.europa.eu/info/funding-tenders/opportunities/portal/screen/opportunities/topic-details/horizon-cl6-2022-circbio-02-06-two-stage", "HORIZON-CL6-2022-CIRCBIO-02-06-two-stage")</f>
        <v>0</v>
      </c>
      <c r="Q1051" t="s">
        <v>2000</v>
      </c>
    </row>
    <row r="1052" spans="1:17">
      <c r="A1052">
        <v>44093347</v>
      </c>
      <c r="B1052">
        <v>2022</v>
      </c>
      <c r="C1052" t="s">
        <v>21</v>
      </c>
      <c r="D1052" t="s">
        <v>41</v>
      </c>
      <c r="E1052" t="s">
        <v>85</v>
      </c>
      <c r="F1052" t="s">
        <v>139</v>
      </c>
      <c r="G1052" t="s">
        <v>247</v>
      </c>
      <c r="H1052" t="s">
        <v>328</v>
      </c>
      <c r="I1052" t="s">
        <v>393</v>
      </c>
      <c r="K1052" t="s">
        <v>466</v>
      </c>
      <c r="L1052" t="s">
        <v>469</v>
      </c>
      <c r="M1052" t="s">
        <v>473</v>
      </c>
      <c r="N1052" t="s">
        <v>615</v>
      </c>
      <c r="O1052" t="s">
        <v>864</v>
      </c>
      <c r="P1052" s="1">
        <f>HYPERLINK("https://ec.europa.eu/info/funding-tenders/opportunities/portal/screen/opportunities/topic-details/horizon-cl6-2022-climate-01-01", "HORIZON-CL6-2022-CLIMATE-01-01")</f>
        <v>0</v>
      </c>
      <c r="Q1052" t="s">
        <v>2001</v>
      </c>
    </row>
    <row r="1053" spans="1:17">
      <c r="A1053">
        <v>44093386</v>
      </c>
      <c r="B1053">
        <v>2022</v>
      </c>
      <c r="C1053" t="s">
        <v>21</v>
      </c>
      <c r="D1053" t="s">
        <v>41</v>
      </c>
      <c r="E1053" t="s">
        <v>72</v>
      </c>
      <c r="F1053" t="s">
        <v>139</v>
      </c>
      <c r="G1053" t="s">
        <v>247</v>
      </c>
      <c r="H1053" t="s">
        <v>328</v>
      </c>
      <c r="I1053" t="s">
        <v>393</v>
      </c>
      <c r="K1053" t="s">
        <v>466</v>
      </c>
      <c r="L1053" t="s">
        <v>469</v>
      </c>
      <c r="M1053" t="s">
        <v>471</v>
      </c>
      <c r="N1053" t="s">
        <v>615</v>
      </c>
      <c r="O1053" t="s">
        <v>864</v>
      </c>
      <c r="P1053" s="1">
        <f>HYPERLINK("https://ec.europa.eu/info/funding-tenders/opportunities/portal/screen/opportunities/topic-details/horizon-cl6-2022-climate-01-02", "HORIZON-CL6-2022-CLIMATE-01-02")</f>
        <v>0</v>
      </c>
      <c r="Q1053" t="s">
        <v>2002</v>
      </c>
    </row>
    <row r="1054" spans="1:17">
      <c r="A1054">
        <v>44093443</v>
      </c>
      <c r="B1054">
        <v>2022</v>
      </c>
      <c r="C1054" t="s">
        <v>21</v>
      </c>
      <c r="D1054" t="s">
        <v>41</v>
      </c>
      <c r="E1054" t="s">
        <v>74</v>
      </c>
      <c r="F1054" t="s">
        <v>139</v>
      </c>
      <c r="G1054" t="s">
        <v>247</v>
      </c>
      <c r="H1054" t="s">
        <v>328</v>
      </c>
      <c r="I1054" t="s">
        <v>393</v>
      </c>
      <c r="K1054" t="s">
        <v>466</v>
      </c>
      <c r="L1054" t="s">
        <v>469</v>
      </c>
      <c r="M1054" t="s">
        <v>472</v>
      </c>
      <c r="N1054" t="s">
        <v>615</v>
      </c>
      <c r="O1054" t="s">
        <v>864</v>
      </c>
      <c r="P1054" s="1">
        <f>HYPERLINK("https://ec.europa.eu/info/funding-tenders/opportunities/portal/screen/opportunities/topic-details/horizon-cl6-2022-climate-01-03", "HORIZON-CL6-2022-CLIMATE-01-03")</f>
        <v>0</v>
      </c>
      <c r="Q1054" t="s">
        <v>2003</v>
      </c>
    </row>
    <row r="1055" spans="1:17">
      <c r="A1055">
        <v>44093478</v>
      </c>
      <c r="B1055">
        <v>2022</v>
      </c>
      <c r="C1055" t="s">
        <v>21</v>
      </c>
      <c r="D1055" t="s">
        <v>41</v>
      </c>
      <c r="E1055" t="s">
        <v>74</v>
      </c>
      <c r="F1055" t="s">
        <v>139</v>
      </c>
      <c r="G1055" t="s">
        <v>247</v>
      </c>
      <c r="H1055" t="s">
        <v>328</v>
      </c>
      <c r="I1055" t="s">
        <v>393</v>
      </c>
      <c r="K1055" t="s">
        <v>466</v>
      </c>
      <c r="L1055" t="s">
        <v>469</v>
      </c>
      <c r="M1055" t="s">
        <v>471</v>
      </c>
      <c r="N1055" t="s">
        <v>615</v>
      </c>
      <c r="O1055" t="s">
        <v>864</v>
      </c>
      <c r="P1055" s="1">
        <f>HYPERLINK("https://ec.europa.eu/info/funding-tenders/opportunities/portal/screen/opportunities/topic-details/horizon-cl6-2022-climate-01-04", "HORIZON-CL6-2022-CLIMATE-01-04")</f>
        <v>0</v>
      </c>
      <c r="Q1055" t="s">
        <v>2004</v>
      </c>
    </row>
    <row r="1056" spans="1:17">
      <c r="A1056">
        <v>44093514</v>
      </c>
      <c r="B1056">
        <v>2022</v>
      </c>
      <c r="C1056" t="s">
        <v>21</v>
      </c>
      <c r="D1056" t="s">
        <v>41</v>
      </c>
      <c r="E1056" t="s">
        <v>74</v>
      </c>
      <c r="F1056" t="s">
        <v>139</v>
      </c>
      <c r="G1056" t="s">
        <v>247</v>
      </c>
      <c r="H1056" t="s">
        <v>328</v>
      </c>
      <c r="I1056" t="s">
        <v>393</v>
      </c>
      <c r="K1056" t="s">
        <v>466</v>
      </c>
      <c r="L1056" t="s">
        <v>469</v>
      </c>
      <c r="M1056" t="s">
        <v>471</v>
      </c>
      <c r="N1056" t="s">
        <v>615</v>
      </c>
      <c r="O1056" t="s">
        <v>864</v>
      </c>
      <c r="P1056" s="1">
        <f>HYPERLINK("https://ec.europa.eu/info/funding-tenders/opportunities/portal/screen/opportunities/topic-details/horizon-cl6-2022-climate-01-05", "HORIZON-CL6-2022-CLIMATE-01-05")</f>
        <v>0</v>
      </c>
      <c r="Q1056" t="s">
        <v>2005</v>
      </c>
    </row>
    <row r="1057" spans="1:17">
      <c r="A1057">
        <v>44088537</v>
      </c>
      <c r="B1057">
        <v>2022</v>
      </c>
      <c r="C1057" t="s">
        <v>21</v>
      </c>
      <c r="D1057" t="s">
        <v>41</v>
      </c>
      <c r="E1057" t="s">
        <v>74</v>
      </c>
      <c r="F1057" t="s">
        <v>140</v>
      </c>
      <c r="G1057" t="s">
        <v>247</v>
      </c>
      <c r="H1057" t="s">
        <v>328</v>
      </c>
      <c r="I1057" t="s">
        <v>393</v>
      </c>
      <c r="K1057" t="s">
        <v>466</v>
      </c>
      <c r="L1057" t="s">
        <v>469</v>
      </c>
      <c r="M1057" t="s">
        <v>471</v>
      </c>
      <c r="N1057" t="s">
        <v>616</v>
      </c>
      <c r="O1057" t="s">
        <v>865</v>
      </c>
      <c r="P1057" s="1">
        <f>HYPERLINK("https://ec.europa.eu/info/funding-tenders/opportunities/portal/screen/opportunities/topic-details/horizon-cl6-2022-communities-01-01", "HORIZON-CL6-2022-COMMUNITIES-01-01")</f>
        <v>0</v>
      </c>
      <c r="Q1057" t="s">
        <v>2006</v>
      </c>
    </row>
    <row r="1058" spans="1:17">
      <c r="A1058">
        <v>44088612</v>
      </c>
      <c r="B1058">
        <v>2022</v>
      </c>
      <c r="C1058" t="s">
        <v>21</v>
      </c>
      <c r="D1058" t="s">
        <v>41</v>
      </c>
      <c r="E1058" t="s">
        <v>74</v>
      </c>
      <c r="F1058" t="s">
        <v>140</v>
      </c>
      <c r="G1058" t="s">
        <v>247</v>
      </c>
      <c r="H1058" t="s">
        <v>328</v>
      </c>
      <c r="I1058" t="s">
        <v>393</v>
      </c>
      <c r="K1058" t="s">
        <v>466</v>
      </c>
      <c r="L1058" t="s">
        <v>469</v>
      </c>
      <c r="M1058" t="s">
        <v>471</v>
      </c>
      <c r="N1058" t="s">
        <v>616</v>
      </c>
      <c r="O1058" t="s">
        <v>865</v>
      </c>
      <c r="P1058" s="1">
        <f>HYPERLINK("https://ec.europa.eu/info/funding-tenders/opportunities/portal/screen/opportunities/topic-details/horizon-cl6-2022-communities-01-02", "HORIZON-CL6-2022-COMMUNITIES-01-02")</f>
        <v>0</v>
      </c>
      <c r="Q1058" t="s">
        <v>2007</v>
      </c>
    </row>
    <row r="1059" spans="1:17">
      <c r="A1059">
        <v>44088687</v>
      </c>
      <c r="B1059">
        <v>2022</v>
      </c>
      <c r="C1059" t="s">
        <v>21</v>
      </c>
      <c r="D1059" t="s">
        <v>41</v>
      </c>
      <c r="E1059" t="s">
        <v>72</v>
      </c>
      <c r="F1059" t="s">
        <v>140</v>
      </c>
      <c r="G1059" t="s">
        <v>247</v>
      </c>
      <c r="H1059" t="s">
        <v>328</v>
      </c>
      <c r="I1059" t="s">
        <v>393</v>
      </c>
      <c r="K1059" t="s">
        <v>466</v>
      </c>
      <c r="L1059" t="s">
        <v>469</v>
      </c>
      <c r="M1059" t="s">
        <v>473</v>
      </c>
      <c r="N1059" t="s">
        <v>616</v>
      </c>
      <c r="O1059" t="s">
        <v>865</v>
      </c>
      <c r="P1059" s="1">
        <f>HYPERLINK("https://ec.europa.eu/info/funding-tenders/opportunities/portal/screen/opportunities/topic-details/horizon-cl6-2022-communities-01-03", "HORIZON-CL6-2022-COMMUNITIES-01-03")</f>
        <v>0</v>
      </c>
      <c r="Q1059" t="s">
        <v>2008</v>
      </c>
    </row>
    <row r="1060" spans="1:17">
      <c r="A1060">
        <v>44088758</v>
      </c>
      <c r="B1060">
        <v>2022</v>
      </c>
      <c r="C1060" t="s">
        <v>21</v>
      </c>
      <c r="D1060" t="s">
        <v>41</v>
      </c>
      <c r="E1060" t="s">
        <v>87</v>
      </c>
      <c r="F1060" t="s">
        <v>140</v>
      </c>
      <c r="G1060" t="s">
        <v>247</v>
      </c>
      <c r="H1060" t="s">
        <v>328</v>
      </c>
      <c r="I1060" t="s">
        <v>393</v>
      </c>
      <c r="K1060" t="s">
        <v>466</v>
      </c>
      <c r="L1060" t="s">
        <v>469</v>
      </c>
      <c r="M1060" t="s">
        <v>473</v>
      </c>
      <c r="N1060" t="s">
        <v>616</v>
      </c>
      <c r="O1060" t="s">
        <v>865</v>
      </c>
      <c r="P1060" s="1">
        <f>HYPERLINK("https://ec.europa.eu/info/funding-tenders/opportunities/portal/screen/opportunities/topic-details/horizon-cl6-2022-communities-01-04", "HORIZON-CL6-2022-COMMUNITIES-01-04")</f>
        <v>0</v>
      </c>
      <c r="Q1060" t="s">
        <v>2009</v>
      </c>
    </row>
    <row r="1061" spans="1:17">
      <c r="A1061">
        <v>44088913</v>
      </c>
      <c r="B1061">
        <v>2022</v>
      </c>
      <c r="C1061" t="s">
        <v>21</v>
      </c>
      <c r="D1061" t="s">
        <v>41</v>
      </c>
      <c r="E1061" t="s">
        <v>84</v>
      </c>
      <c r="F1061" t="s">
        <v>140</v>
      </c>
      <c r="G1061" t="s">
        <v>247</v>
      </c>
      <c r="H1061" t="s">
        <v>328</v>
      </c>
      <c r="I1061" t="s">
        <v>393</v>
      </c>
      <c r="K1061" t="s">
        <v>466</v>
      </c>
      <c r="L1061" t="s">
        <v>469</v>
      </c>
      <c r="M1061" t="s">
        <v>471</v>
      </c>
      <c r="N1061" t="s">
        <v>616</v>
      </c>
      <c r="O1061" t="s">
        <v>865</v>
      </c>
      <c r="P1061" s="1">
        <f>HYPERLINK("https://ec.europa.eu/info/funding-tenders/opportunities/portal/screen/opportunities/topic-details/horizon-cl6-2022-communities-01-05", "HORIZON-CL6-2022-COMMUNITIES-01-05")</f>
        <v>0</v>
      </c>
      <c r="Q1061" t="s">
        <v>2010</v>
      </c>
    </row>
    <row r="1062" spans="1:17">
      <c r="A1062">
        <v>44088443</v>
      </c>
      <c r="B1062">
        <v>2022</v>
      </c>
      <c r="C1062" t="s">
        <v>21</v>
      </c>
      <c r="D1062" t="s">
        <v>41</v>
      </c>
      <c r="E1062" t="s">
        <v>74</v>
      </c>
      <c r="F1062" t="s">
        <v>146</v>
      </c>
      <c r="G1062" t="s">
        <v>247</v>
      </c>
      <c r="H1062" t="s">
        <v>328</v>
      </c>
      <c r="I1062" t="s">
        <v>393</v>
      </c>
      <c r="J1062" t="s">
        <v>321</v>
      </c>
      <c r="K1062" t="s">
        <v>466</v>
      </c>
      <c r="L1062" t="s">
        <v>470</v>
      </c>
      <c r="M1062" t="s">
        <v>473</v>
      </c>
      <c r="N1062" t="s">
        <v>617</v>
      </c>
      <c r="O1062" t="s">
        <v>865</v>
      </c>
      <c r="P1062" s="1">
        <f>HYPERLINK("https://ec.europa.eu/info/funding-tenders/opportunities/portal/screen/opportunities/topic-details/horizon-cl6-2022-communities-02-01-two-stage", "HORIZON-CL6-2022-COMMUNITIES-02-01-two-stage")</f>
        <v>0</v>
      </c>
      <c r="Q1062" t="s">
        <v>2011</v>
      </c>
    </row>
    <row r="1063" spans="1:17">
      <c r="A1063">
        <v>44088851</v>
      </c>
      <c r="B1063">
        <v>2022</v>
      </c>
      <c r="C1063" t="s">
        <v>21</v>
      </c>
      <c r="D1063" t="s">
        <v>41</v>
      </c>
      <c r="E1063" t="s">
        <v>84</v>
      </c>
      <c r="F1063" t="s">
        <v>146</v>
      </c>
      <c r="G1063" t="s">
        <v>247</v>
      </c>
      <c r="H1063" t="s">
        <v>328</v>
      </c>
      <c r="I1063" t="s">
        <v>393</v>
      </c>
      <c r="J1063" t="s">
        <v>321</v>
      </c>
      <c r="K1063" t="s">
        <v>466</v>
      </c>
      <c r="L1063" t="s">
        <v>470</v>
      </c>
      <c r="M1063" t="s">
        <v>471</v>
      </c>
      <c r="N1063" t="s">
        <v>617</v>
      </c>
      <c r="O1063" t="s">
        <v>865</v>
      </c>
      <c r="P1063" s="1">
        <f>HYPERLINK("https://ec.europa.eu/info/funding-tenders/opportunities/portal/screen/opportunities/topic-details/horizon-cl6-2022-communities-02-02-two-stage", "HORIZON-CL6-2022-COMMUNITIES-02-02-two-stage")</f>
        <v>0</v>
      </c>
      <c r="Q1063" t="s">
        <v>2012</v>
      </c>
    </row>
    <row r="1064" spans="1:17">
      <c r="A1064">
        <v>44095012</v>
      </c>
      <c r="B1064">
        <v>2022</v>
      </c>
      <c r="C1064" t="s">
        <v>21</v>
      </c>
      <c r="D1064" t="s">
        <v>41</v>
      </c>
      <c r="E1064" t="s">
        <v>74</v>
      </c>
      <c r="F1064" t="s">
        <v>141</v>
      </c>
      <c r="G1064" t="s">
        <v>247</v>
      </c>
      <c r="H1064" t="s">
        <v>328</v>
      </c>
      <c r="I1064" t="s">
        <v>393</v>
      </c>
      <c r="K1064" t="s">
        <v>466</v>
      </c>
      <c r="L1064" t="s">
        <v>469</v>
      </c>
      <c r="M1064" t="s">
        <v>471</v>
      </c>
      <c r="N1064" t="s">
        <v>618</v>
      </c>
      <c r="O1064" t="s">
        <v>866</v>
      </c>
      <c r="P1064" s="1">
        <f>HYPERLINK("https://ec.europa.eu/info/funding-tenders/opportunities/portal/screen/opportunities/topic-details/horizon-cl6-2022-farm2fork-01-01", "HORIZON-CL6-2022-FARM2FORK-01-01")</f>
        <v>0</v>
      </c>
      <c r="Q1064" t="s">
        <v>2013</v>
      </c>
    </row>
    <row r="1065" spans="1:17">
      <c r="A1065">
        <v>44095046</v>
      </c>
      <c r="B1065">
        <v>2022</v>
      </c>
      <c r="C1065" t="s">
        <v>21</v>
      </c>
      <c r="D1065" t="s">
        <v>41</v>
      </c>
      <c r="E1065" t="s">
        <v>74</v>
      </c>
      <c r="F1065" t="s">
        <v>141</v>
      </c>
      <c r="G1065" t="s">
        <v>247</v>
      </c>
      <c r="H1065" t="s">
        <v>328</v>
      </c>
      <c r="I1065" t="s">
        <v>393</v>
      </c>
      <c r="K1065" t="s">
        <v>466</v>
      </c>
      <c r="L1065" t="s">
        <v>469</v>
      </c>
      <c r="M1065" t="s">
        <v>471</v>
      </c>
      <c r="N1065" t="s">
        <v>618</v>
      </c>
      <c r="O1065" t="s">
        <v>866</v>
      </c>
      <c r="P1065" s="1">
        <f>HYPERLINK("https://ec.europa.eu/info/funding-tenders/opportunities/portal/screen/opportunities/topic-details/horizon-cl6-2022-farm2fork-01-02", "HORIZON-CL6-2022-FARM2FORK-01-02")</f>
        <v>0</v>
      </c>
      <c r="Q1065" t="s">
        <v>2014</v>
      </c>
    </row>
    <row r="1066" spans="1:17">
      <c r="A1066">
        <v>44095118</v>
      </c>
      <c r="B1066">
        <v>2022</v>
      </c>
      <c r="C1066" t="s">
        <v>21</v>
      </c>
      <c r="D1066" t="s">
        <v>41</v>
      </c>
      <c r="E1066" t="s">
        <v>74</v>
      </c>
      <c r="F1066" t="s">
        <v>141</v>
      </c>
      <c r="G1066" t="s">
        <v>247</v>
      </c>
      <c r="H1066" t="s">
        <v>328</v>
      </c>
      <c r="I1066" t="s">
        <v>393</v>
      </c>
      <c r="K1066" t="s">
        <v>466</v>
      </c>
      <c r="L1066" t="s">
        <v>469</v>
      </c>
      <c r="M1066" t="s">
        <v>471</v>
      </c>
      <c r="N1066" t="s">
        <v>618</v>
      </c>
      <c r="O1066" t="s">
        <v>866</v>
      </c>
      <c r="P1066" s="1">
        <f>HYPERLINK("https://ec.europa.eu/info/funding-tenders/opportunities/portal/screen/opportunities/topic-details/horizon-cl6-2022-farm2fork-01-03", "HORIZON-CL6-2022-FARM2FORK-01-03")</f>
        <v>0</v>
      </c>
      <c r="Q1066" t="s">
        <v>2015</v>
      </c>
    </row>
    <row r="1067" spans="1:17">
      <c r="A1067">
        <v>44095230</v>
      </c>
      <c r="B1067">
        <v>2022</v>
      </c>
      <c r="C1067" t="s">
        <v>21</v>
      </c>
      <c r="D1067" t="s">
        <v>41</v>
      </c>
      <c r="E1067" t="s">
        <v>74</v>
      </c>
      <c r="F1067" t="s">
        <v>141</v>
      </c>
      <c r="G1067" t="s">
        <v>247</v>
      </c>
      <c r="H1067" t="s">
        <v>328</v>
      </c>
      <c r="I1067" t="s">
        <v>393</v>
      </c>
      <c r="K1067" t="s">
        <v>466</v>
      </c>
      <c r="L1067" t="s">
        <v>469</v>
      </c>
      <c r="M1067" t="s">
        <v>473</v>
      </c>
      <c r="N1067" t="s">
        <v>618</v>
      </c>
      <c r="O1067" t="s">
        <v>866</v>
      </c>
      <c r="P1067" s="1">
        <f>HYPERLINK("https://ec.europa.eu/info/funding-tenders/opportunities/portal/screen/opportunities/topic-details/horizon-cl6-2022-farm2fork-01-04", "HORIZON-CL6-2022-FARM2FORK-01-04")</f>
        <v>0</v>
      </c>
      <c r="Q1067" t="s">
        <v>2016</v>
      </c>
    </row>
    <row r="1068" spans="1:17">
      <c r="A1068">
        <v>44095282</v>
      </c>
      <c r="B1068">
        <v>2022</v>
      </c>
      <c r="C1068" t="s">
        <v>21</v>
      </c>
      <c r="D1068" t="s">
        <v>41</v>
      </c>
      <c r="E1068" t="s">
        <v>72</v>
      </c>
      <c r="F1068" t="s">
        <v>141</v>
      </c>
      <c r="G1068" t="s">
        <v>247</v>
      </c>
      <c r="H1068" t="s">
        <v>328</v>
      </c>
      <c r="I1068" t="s">
        <v>393</v>
      </c>
      <c r="K1068" t="s">
        <v>466</v>
      </c>
      <c r="L1068" t="s">
        <v>469</v>
      </c>
      <c r="M1068" t="s">
        <v>471</v>
      </c>
      <c r="N1068" t="s">
        <v>618</v>
      </c>
      <c r="O1068" t="s">
        <v>866</v>
      </c>
      <c r="P1068" s="1">
        <f>HYPERLINK("https://ec.europa.eu/info/funding-tenders/opportunities/portal/screen/opportunities/topic-details/horizon-cl6-2022-farm2fork-01-05", "HORIZON-CL6-2022-FARM2FORK-01-05")</f>
        <v>0</v>
      </c>
      <c r="Q1068" t="s">
        <v>2017</v>
      </c>
    </row>
    <row r="1069" spans="1:17">
      <c r="A1069">
        <v>44095344</v>
      </c>
      <c r="B1069">
        <v>2022</v>
      </c>
      <c r="C1069" t="s">
        <v>21</v>
      </c>
      <c r="D1069" t="s">
        <v>41</v>
      </c>
      <c r="E1069" t="s">
        <v>72</v>
      </c>
      <c r="F1069" t="s">
        <v>141</v>
      </c>
      <c r="G1069" t="s">
        <v>247</v>
      </c>
      <c r="H1069" t="s">
        <v>328</v>
      </c>
      <c r="I1069" t="s">
        <v>393</v>
      </c>
      <c r="K1069" t="s">
        <v>466</v>
      </c>
      <c r="L1069" t="s">
        <v>469</v>
      </c>
      <c r="M1069" t="s">
        <v>471</v>
      </c>
      <c r="N1069" t="s">
        <v>618</v>
      </c>
      <c r="O1069" t="s">
        <v>866</v>
      </c>
      <c r="P1069" s="1">
        <f>HYPERLINK("https://ec.europa.eu/info/funding-tenders/opportunities/portal/screen/opportunities/topic-details/horizon-cl6-2022-farm2fork-01-06", "HORIZON-CL6-2022-FARM2FORK-01-06")</f>
        <v>0</v>
      </c>
      <c r="Q1069" t="s">
        <v>2018</v>
      </c>
    </row>
    <row r="1070" spans="1:17">
      <c r="A1070">
        <v>44093826</v>
      </c>
      <c r="B1070">
        <v>2022</v>
      </c>
      <c r="C1070" t="s">
        <v>21</v>
      </c>
      <c r="D1070" t="s">
        <v>41</v>
      </c>
      <c r="E1070" t="s">
        <v>87</v>
      </c>
      <c r="F1070" t="s">
        <v>141</v>
      </c>
      <c r="G1070" t="s">
        <v>247</v>
      </c>
      <c r="H1070" t="s">
        <v>328</v>
      </c>
      <c r="I1070" t="s">
        <v>393</v>
      </c>
      <c r="K1070" t="s">
        <v>466</v>
      </c>
      <c r="L1070" t="s">
        <v>469</v>
      </c>
      <c r="M1070" t="s">
        <v>473</v>
      </c>
      <c r="N1070" t="s">
        <v>618</v>
      </c>
      <c r="O1070" t="s">
        <v>866</v>
      </c>
      <c r="P1070" s="1">
        <f>HYPERLINK("https://ec.europa.eu/info/funding-tenders/opportunities/portal/screen/opportunities/topic-details/horizon-cl6-2022-farm2fork-01-07", "HORIZON-CL6-2022-FARM2FORK-01-07")</f>
        <v>0</v>
      </c>
      <c r="Q1070" t="s">
        <v>2019</v>
      </c>
    </row>
    <row r="1071" spans="1:17">
      <c r="A1071">
        <v>44095398</v>
      </c>
      <c r="B1071">
        <v>2022</v>
      </c>
      <c r="C1071" t="s">
        <v>21</v>
      </c>
      <c r="D1071" t="s">
        <v>41</v>
      </c>
      <c r="E1071" t="s">
        <v>74</v>
      </c>
      <c r="F1071" t="s">
        <v>141</v>
      </c>
      <c r="G1071" t="s">
        <v>247</v>
      </c>
      <c r="H1071" t="s">
        <v>328</v>
      </c>
      <c r="I1071" t="s">
        <v>393</v>
      </c>
      <c r="K1071" t="s">
        <v>466</v>
      </c>
      <c r="L1071" t="s">
        <v>469</v>
      </c>
      <c r="M1071" t="s">
        <v>471</v>
      </c>
      <c r="N1071" t="s">
        <v>618</v>
      </c>
      <c r="O1071" t="s">
        <v>866</v>
      </c>
      <c r="P1071" s="1">
        <f>HYPERLINK("https://ec.europa.eu/info/funding-tenders/opportunities/portal/screen/opportunities/topic-details/horizon-cl6-2022-farm2fork-01-08", "HORIZON-CL6-2022-FARM2FORK-01-08")</f>
        <v>0</v>
      </c>
      <c r="Q1071" t="s">
        <v>2020</v>
      </c>
    </row>
    <row r="1072" spans="1:17">
      <c r="A1072">
        <v>44095472</v>
      </c>
      <c r="B1072">
        <v>2022</v>
      </c>
      <c r="C1072" t="s">
        <v>21</v>
      </c>
      <c r="D1072" t="s">
        <v>41</v>
      </c>
      <c r="E1072" t="s">
        <v>87</v>
      </c>
      <c r="F1072" t="s">
        <v>141</v>
      </c>
      <c r="G1072" t="s">
        <v>247</v>
      </c>
      <c r="H1072" t="s">
        <v>328</v>
      </c>
      <c r="I1072" t="s">
        <v>393</v>
      </c>
      <c r="K1072" t="s">
        <v>466</v>
      </c>
      <c r="L1072" t="s">
        <v>469</v>
      </c>
      <c r="M1072" t="s">
        <v>471</v>
      </c>
      <c r="N1072" t="s">
        <v>618</v>
      </c>
      <c r="O1072" t="s">
        <v>866</v>
      </c>
      <c r="P1072" s="1">
        <f>HYPERLINK("https://ec.europa.eu/info/funding-tenders/opportunities/portal/screen/opportunities/topic-details/horizon-cl6-2022-farm2fork-01-09", "HORIZON-CL6-2022-FARM2FORK-01-09")</f>
        <v>0</v>
      </c>
      <c r="Q1072" t="s">
        <v>2021</v>
      </c>
    </row>
    <row r="1073" spans="1:17">
      <c r="A1073">
        <v>44095568</v>
      </c>
      <c r="B1073">
        <v>2022</v>
      </c>
      <c r="C1073" t="s">
        <v>21</v>
      </c>
      <c r="D1073" t="s">
        <v>41</v>
      </c>
      <c r="E1073" t="s">
        <v>87</v>
      </c>
      <c r="F1073" t="s">
        <v>141</v>
      </c>
      <c r="G1073" t="s">
        <v>247</v>
      </c>
      <c r="H1073" t="s">
        <v>328</v>
      </c>
      <c r="I1073" t="s">
        <v>393</v>
      </c>
      <c r="K1073" t="s">
        <v>466</v>
      </c>
      <c r="L1073" t="s">
        <v>469</v>
      </c>
      <c r="M1073" t="s">
        <v>471</v>
      </c>
      <c r="N1073" t="s">
        <v>618</v>
      </c>
      <c r="O1073" t="s">
        <v>866</v>
      </c>
      <c r="P1073" s="1">
        <f>HYPERLINK("https://ec.europa.eu/info/funding-tenders/opportunities/portal/screen/opportunities/topic-details/horizon-cl6-2022-farm2fork-01-10", "HORIZON-CL6-2022-FARM2FORK-01-10")</f>
        <v>0</v>
      </c>
      <c r="Q1073" t="s">
        <v>2022</v>
      </c>
    </row>
    <row r="1074" spans="1:17">
      <c r="A1074">
        <v>44095616</v>
      </c>
      <c r="B1074">
        <v>2022</v>
      </c>
      <c r="C1074" t="s">
        <v>21</v>
      </c>
      <c r="D1074" t="s">
        <v>41</v>
      </c>
      <c r="E1074" t="s">
        <v>87</v>
      </c>
      <c r="F1074" t="s">
        <v>141</v>
      </c>
      <c r="G1074" t="s">
        <v>247</v>
      </c>
      <c r="H1074" t="s">
        <v>328</v>
      </c>
      <c r="I1074" t="s">
        <v>393</v>
      </c>
      <c r="K1074" t="s">
        <v>466</v>
      </c>
      <c r="L1074" t="s">
        <v>469</v>
      </c>
      <c r="M1074" t="s">
        <v>471</v>
      </c>
      <c r="N1074" t="s">
        <v>618</v>
      </c>
      <c r="O1074" t="s">
        <v>866</v>
      </c>
      <c r="P1074" s="1">
        <f>HYPERLINK("https://ec.europa.eu/info/funding-tenders/opportunities/portal/screen/opportunities/topic-details/horizon-cl6-2022-farm2fork-01-11", "HORIZON-CL6-2022-FARM2FORK-01-11")</f>
        <v>0</v>
      </c>
      <c r="Q1074" t="s">
        <v>2023</v>
      </c>
    </row>
    <row r="1075" spans="1:17">
      <c r="A1075">
        <v>44095684</v>
      </c>
      <c r="B1075">
        <v>2022</v>
      </c>
      <c r="C1075" t="s">
        <v>21</v>
      </c>
      <c r="D1075" t="s">
        <v>41</v>
      </c>
      <c r="E1075" t="s">
        <v>74</v>
      </c>
      <c r="F1075" t="s">
        <v>141</v>
      </c>
      <c r="G1075" t="s">
        <v>247</v>
      </c>
      <c r="H1075" t="s">
        <v>328</v>
      </c>
      <c r="I1075" t="s">
        <v>393</v>
      </c>
      <c r="K1075" t="s">
        <v>466</v>
      </c>
      <c r="L1075" t="s">
        <v>469</v>
      </c>
      <c r="M1075" t="s">
        <v>471</v>
      </c>
      <c r="N1075" t="s">
        <v>618</v>
      </c>
      <c r="O1075" t="s">
        <v>866</v>
      </c>
      <c r="P1075" s="1">
        <f>HYPERLINK("https://ec.europa.eu/info/funding-tenders/opportunities/portal/screen/opportunities/topic-details/horizon-cl6-2022-farm2fork-01-12", "HORIZON-CL6-2022-FARM2FORK-01-12")</f>
        <v>0</v>
      </c>
      <c r="Q1075" t="s">
        <v>2024</v>
      </c>
    </row>
    <row r="1076" spans="1:17">
      <c r="A1076">
        <v>44095709</v>
      </c>
      <c r="B1076">
        <v>2022</v>
      </c>
      <c r="C1076" t="s">
        <v>21</v>
      </c>
      <c r="D1076" t="s">
        <v>41</v>
      </c>
      <c r="E1076" t="s">
        <v>87</v>
      </c>
      <c r="F1076" t="s">
        <v>141</v>
      </c>
      <c r="G1076" t="s">
        <v>247</v>
      </c>
      <c r="H1076" t="s">
        <v>328</v>
      </c>
      <c r="I1076" t="s">
        <v>393</v>
      </c>
      <c r="K1076" t="s">
        <v>466</v>
      </c>
      <c r="L1076" t="s">
        <v>469</v>
      </c>
      <c r="M1076" t="s">
        <v>471</v>
      </c>
      <c r="N1076" t="s">
        <v>618</v>
      </c>
      <c r="O1076" t="s">
        <v>866</v>
      </c>
      <c r="P1076" s="1">
        <f>HYPERLINK("https://ec.europa.eu/info/funding-tenders/opportunities/portal/screen/opportunities/topic-details/horizon-cl6-2022-farm2fork-01-13", "HORIZON-CL6-2022-FARM2FORK-01-13")</f>
        <v>0</v>
      </c>
      <c r="Q1076" t="s">
        <v>2025</v>
      </c>
    </row>
    <row r="1077" spans="1:17">
      <c r="A1077">
        <v>44095757</v>
      </c>
      <c r="B1077">
        <v>2022</v>
      </c>
      <c r="C1077" t="s">
        <v>21</v>
      </c>
      <c r="D1077" t="s">
        <v>41</v>
      </c>
      <c r="E1077" t="s">
        <v>87</v>
      </c>
      <c r="F1077" t="s">
        <v>141</v>
      </c>
      <c r="G1077" t="s">
        <v>247</v>
      </c>
      <c r="H1077" t="s">
        <v>328</v>
      </c>
      <c r="I1077" t="s">
        <v>393</v>
      </c>
      <c r="K1077" t="s">
        <v>466</v>
      </c>
      <c r="L1077" t="s">
        <v>469</v>
      </c>
      <c r="M1077" t="s">
        <v>471</v>
      </c>
      <c r="N1077" t="s">
        <v>618</v>
      </c>
      <c r="O1077" t="s">
        <v>866</v>
      </c>
      <c r="P1077" s="1">
        <f>HYPERLINK("https://ec.europa.eu/info/funding-tenders/opportunities/portal/screen/opportunities/topic-details/horizon-cl6-2022-farm2fork-01-14", "HORIZON-CL6-2022-FARM2FORK-01-14")</f>
        <v>0</v>
      </c>
      <c r="Q1077" t="s">
        <v>2026</v>
      </c>
    </row>
    <row r="1078" spans="1:17">
      <c r="A1078">
        <v>44095808</v>
      </c>
      <c r="B1078">
        <v>2022</v>
      </c>
      <c r="C1078" t="s">
        <v>21</v>
      </c>
      <c r="D1078" t="s">
        <v>41</v>
      </c>
      <c r="E1078" t="s">
        <v>74</v>
      </c>
      <c r="F1078" t="s">
        <v>141</v>
      </c>
      <c r="G1078" t="s">
        <v>247</v>
      </c>
      <c r="H1078" t="s">
        <v>328</v>
      </c>
      <c r="I1078" t="s">
        <v>393</v>
      </c>
      <c r="K1078" t="s">
        <v>466</v>
      </c>
      <c r="L1078" t="s">
        <v>469</v>
      </c>
      <c r="M1078" t="s">
        <v>472</v>
      </c>
      <c r="N1078" t="s">
        <v>618</v>
      </c>
      <c r="O1078" t="s">
        <v>866</v>
      </c>
      <c r="P1078" s="1">
        <f>HYPERLINK("https://ec.europa.eu/info/funding-tenders/opportunities/portal/screen/opportunities/topic-details/horizon-cl6-2022-farm2fork-01-15", "HORIZON-CL6-2022-FARM2FORK-01-15")</f>
        <v>0</v>
      </c>
      <c r="Q1078" t="s">
        <v>2027</v>
      </c>
    </row>
    <row r="1079" spans="1:17">
      <c r="A1079">
        <v>44094916</v>
      </c>
      <c r="B1079">
        <v>2022</v>
      </c>
      <c r="C1079" t="s">
        <v>21</v>
      </c>
      <c r="D1079" t="s">
        <v>41</v>
      </c>
      <c r="E1079" t="s">
        <v>74</v>
      </c>
      <c r="F1079" t="s">
        <v>147</v>
      </c>
      <c r="G1079" t="s">
        <v>247</v>
      </c>
      <c r="H1079" t="s">
        <v>328</v>
      </c>
      <c r="I1079" t="s">
        <v>393</v>
      </c>
      <c r="J1079" t="s">
        <v>321</v>
      </c>
      <c r="K1079" t="s">
        <v>466</v>
      </c>
      <c r="L1079" t="s">
        <v>470</v>
      </c>
      <c r="M1079" t="s">
        <v>471</v>
      </c>
      <c r="N1079" t="s">
        <v>619</v>
      </c>
      <c r="O1079" t="s">
        <v>866</v>
      </c>
      <c r="P1079" s="1">
        <f>HYPERLINK("https://ec.europa.eu/info/funding-tenders/opportunities/portal/screen/opportunities/topic-details/horizon-cl6-2022-farm2fork-02-01-two-stage", "HORIZON-CL6-2022-FARM2FORK-02-01-two-stage")</f>
        <v>0</v>
      </c>
      <c r="Q1079" t="s">
        <v>2028</v>
      </c>
    </row>
    <row r="1080" spans="1:17">
      <c r="A1080">
        <v>44094970</v>
      </c>
      <c r="B1080">
        <v>2022</v>
      </c>
      <c r="C1080" t="s">
        <v>21</v>
      </c>
      <c r="D1080" t="s">
        <v>41</v>
      </c>
      <c r="E1080" t="s">
        <v>74</v>
      </c>
      <c r="F1080" t="s">
        <v>147</v>
      </c>
      <c r="G1080" t="s">
        <v>247</v>
      </c>
      <c r="H1080" t="s">
        <v>328</v>
      </c>
      <c r="I1080" t="s">
        <v>393</v>
      </c>
      <c r="J1080" t="s">
        <v>321</v>
      </c>
      <c r="K1080" t="s">
        <v>466</v>
      </c>
      <c r="L1080" t="s">
        <v>470</v>
      </c>
      <c r="M1080" t="s">
        <v>471</v>
      </c>
      <c r="N1080" t="s">
        <v>619</v>
      </c>
      <c r="O1080" t="s">
        <v>866</v>
      </c>
      <c r="P1080" s="1">
        <f>HYPERLINK("https://ec.europa.eu/info/funding-tenders/opportunities/portal/screen/opportunities/topic-details/horizon-cl6-2022-farm2fork-02-02-two-stage", "HORIZON-CL6-2022-FARM2FORK-02-02-two-stage")</f>
        <v>0</v>
      </c>
      <c r="Q1080" t="s">
        <v>2029</v>
      </c>
    </row>
    <row r="1081" spans="1:17">
      <c r="A1081">
        <v>44095082</v>
      </c>
      <c r="B1081">
        <v>2022</v>
      </c>
      <c r="C1081" t="s">
        <v>21</v>
      </c>
      <c r="D1081" t="s">
        <v>41</v>
      </c>
      <c r="E1081" t="s">
        <v>74</v>
      </c>
      <c r="F1081" t="s">
        <v>147</v>
      </c>
      <c r="G1081" t="s">
        <v>247</v>
      </c>
      <c r="H1081" t="s">
        <v>328</v>
      </c>
      <c r="I1081" t="s">
        <v>393</v>
      </c>
      <c r="J1081" t="s">
        <v>321</v>
      </c>
      <c r="K1081" t="s">
        <v>466</v>
      </c>
      <c r="L1081" t="s">
        <v>470</v>
      </c>
      <c r="M1081" t="s">
        <v>471</v>
      </c>
      <c r="N1081" t="s">
        <v>619</v>
      </c>
      <c r="O1081" t="s">
        <v>866</v>
      </c>
      <c r="P1081" s="1">
        <f>HYPERLINK("https://ec.europa.eu/info/funding-tenders/opportunities/portal/screen/opportunities/topic-details/horizon-cl6-2022-farm2fork-02-03-two-stage", "HORIZON-CL6-2022-FARM2FORK-02-03-two-stage")</f>
        <v>0</v>
      </c>
      <c r="Q1081" t="s">
        <v>2030</v>
      </c>
    </row>
    <row r="1082" spans="1:17">
      <c r="A1082">
        <v>44095153</v>
      </c>
      <c r="B1082">
        <v>2022</v>
      </c>
      <c r="C1082" t="s">
        <v>21</v>
      </c>
      <c r="D1082" t="s">
        <v>41</v>
      </c>
      <c r="E1082" t="s">
        <v>74</v>
      </c>
      <c r="F1082" t="s">
        <v>147</v>
      </c>
      <c r="G1082" t="s">
        <v>247</v>
      </c>
      <c r="H1082" t="s">
        <v>328</v>
      </c>
      <c r="I1082" t="s">
        <v>393</v>
      </c>
      <c r="J1082" t="s">
        <v>321</v>
      </c>
      <c r="K1082" t="s">
        <v>466</v>
      </c>
      <c r="L1082" t="s">
        <v>470</v>
      </c>
      <c r="M1082" t="s">
        <v>473</v>
      </c>
      <c r="N1082" t="s">
        <v>619</v>
      </c>
      <c r="O1082" t="s">
        <v>866</v>
      </c>
      <c r="P1082" s="1">
        <f>HYPERLINK("https://ec.europa.eu/info/funding-tenders/opportunities/portal/screen/opportunities/topic-details/horizon-cl6-2022-farm2fork-02-04-two-stage", "HORIZON-CL6-2022-FARM2FORK-02-04-two-stage")</f>
        <v>0</v>
      </c>
      <c r="Q1082" t="s">
        <v>2031</v>
      </c>
    </row>
    <row r="1083" spans="1:17">
      <c r="A1083">
        <v>44094244</v>
      </c>
      <c r="B1083">
        <v>2022</v>
      </c>
      <c r="C1083" t="s">
        <v>21</v>
      </c>
      <c r="D1083" t="s">
        <v>41</v>
      </c>
      <c r="E1083" t="s">
        <v>72</v>
      </c>
      <c r="F1083" t="s">
        <v>147</v>
      </c>
      <c r="G1083" t="s">
        <v>247</v>
      </c>
      <c r="H1083" t="s">
        <v>328</v>
      </c>
      <c r="I1083" t="s">
        <v>393</v>
      </c>
      <c r="J1083" t="s">
        <v>321</v>
      </c>
      <c r="K1083" t="s">
        <v>466</v>
      </c>
      <c r="L1083" t="s">
        <v>470</v>
      </c>
      <c r="M1083" t="s">
        <v>473</v>
      </c>
      <c r="N1083" t="s">
        <v>619</v>
      </c>
      <c r="O1083" t="s">
        <v>866</v>
      </c>
      <c r="P1083" s="1">
        <f>HYPERLINK("https://ec.europa.eu/info/funding-tenders/opportunities/portal/screen/opportunities/topic-details/horizon-cl6-2022-farm2fork-02-05-two-stage", "HORIZON-CL6-2022-FARM2FORK-02-05-two-stage")</f>
        <v>0</v>
      </c>
      <c r="Q1083" t="s">
        <v>2032</v>
      </c>
    </row>
    <row r="1084" spans="1:17">
      <c r="A1084">
        <v>44092068</v>
      </c>
      <c r="B1084">
        <v>2022</v>
      </c>
      <c r="C1084" t="s">
        <v>21</v>
      </c>
      <c r="D1084" t="s">
        <v>41</v>
      </c>
      <c r="E1084" t="s">
        <v>87</v>
      </c>
      <c r="F1084" t="s">
        <v>142</v>
      </c>
      <c r="G1084" t="s">
        <v>247</v>
      </c>
      <c r="H1084" t="s">
        <v>328</v>
      </c>
      <c r="I1084" t="s">
        <v>253</v>
      </c>
      <c r="K1084" t="s">
        <v>466</v>
      </c>
      <c r="L1084" t="s">
        <v>469</v>
      </c>
      <c r="M1084" t="s">
        <v>472</v>
      </c>
      <c r="N1084" t="s">
        <v>620</v>
      </c>
      <c r="O1084" t="s">
        <v>867</v>
      </c>
      <c r="P1084" s="1">
        <f>HYPERLINK("https://ec.europa.eu/info/funding-tenders/opportunities/portal/screen/opportunities/topic-details/horizon-cl6-2022-governance-01-01", "HORIZON-CL6-2022-GOVERNANCE-01-01")</f>
        <v>0</v>
      </c>
      <c r="Q1084" t="s">
        <v>2033</v>
      </c>
    </row>
    <row r="1085" spans="1:17">
      <c r="A1085">
        <v>44092120</v>
      </c>
      <c r="B1085">
        <v>2022</v>
      </c>
      <c r="C1085" t="s">
        <v>21</v>
      </c>
      <c r="D1085" t="s">
        <v>41</v>
      </c>
      <c r="E1085" t="s">
        <v>72</v>
      </c>
      <c r="F1085" t="s">
        <v>142</v>
      </c>
      <c r="G1085" t="s">
        <v>247</v>
      </c>
      <c r="H1085" t="s">
        <v>328</v>
      </c>
      <c r="I1085" t="s">
        <v>253</v>
      </c>
      <c r="K1085" t="s">
        <v>466</v>
      </c>
      <c r="L1085" t="s">
        <v>469</v>
      </c>
      <c r="M1085" t="s">
        <v>476</v>
      </c>
      <c r="N1085" t="s">
        <v>620</v>
      </c>
      <c r="O1085" t="s">
        <v>867</v>
      </c>
      <c r="P1085" s="1">
        <f>HYPERLINK("https://ec.europa.eu/info/funding-tenders/opportunities/portal/screen/opportunities/topic-details/horizon-cl6-2022-governance-01-02", "HORIZON-CL6-2022-GOVERNANCE-01-02")</f>
        <v>0</v>
      </c>
      <c r="Q1085" t="s">
        <v>2034</v>
      </c>
    </row>
    <row r="1086" spans="1:17">
      <c r="A1086">
        <v>44092240</v>
      </c>
      <c r="B1086">
        <v>2022</v>
      </c>
      <c r="C1086" t="s">
        <v>21</v>
      </c>
      <c r="D1086" t="s">
        <v>41</v>
      </c>
      <c r="E1086" t="s">
        <v>72</v>
      </c>
      <c r="F1086" t="s">
        <v>142</v>
      </c>
      <c r="G1086" t="s">
        <v>247</v>
      </c>
      <c r="H1086" t="s">
        <v>328</v>
      </c>
      <c r="I1086" t="s">
        <v>253</v>
      </c>
      <c r="K1086" t="s">
        <v>466</v>
      </c>
      <c r="L1086" t="s">
        <v>469</v>
      </c>
      <c r="M1086" t="s">
        <v>471</v>
      </c>
      <c r="N1086" t="s">
        <v>620</v>
      </c>
      <c r="O1086" t="s">
        <v>867</v>
      </c>
      <c r="P1086" s="1">
        <f>HYPERLINK("https://ec.europa.eu/info/funding-tenders/opportunities/portal/screen/opportunities/topic-details/horizon-cl6-2022-governance-01-03", "HORIZON-CL6-2022-GOVERNANCE-01-03")</f>
        <v>0</v>
      </c>
      <c r="Q1086" t="s">
        <v>2035</v>
      </c>
    </row>
    <row r="1087" spans="1:17">
      <c r="A1087">
        <v>44092290</v>
      </c>
      <c r="B1087">
        <v>2022</v>
      </c>
      <c r="C1087" t="s">
        <v>21</v>
      </c>
      <c r="D1087" t="s">
        <v>41</v>
      </c>
      <c r="E1087" t="s">
        <v>86</v>
      </c>
      <c r="F1087" t="s">
        <v>142</v>
      </c>
      <c r="G1087" t="s">
        <v>247</v>
      </c>
      <c r="H1087" t="s">
        <v>328</v>
      </c>
      <c r="I1087" t="s">
        <v>253</v>
      </c>
      <c r="K1087" t="s">
        <v>466</v>
      </c>
      <c r="L1087" t="s">
        <v>469</v>
      </c>
      <c r="M1087" t="s">
        <v>472</v>
      </c>
      <c r="N1087" t="s">
        <v>620</v>
      </c>
      <c r="O1087" t="s">
        <v>867</v>
      </c>
      <c r="P1087" s="1">
        <f>HYPERLINK("https://ec.europa.eu/info/funding-tenders/opportunities/portal/screen/opportunities/topic-details/horizon-cl6-2022-governance-01-04", "HORIZON-CL6-2022-GOVERNANCE-01-04")</f>
        <v>0</v>
      </c>
      <c r="Q1087" t="s">
        <v>2036</v>
      </c>
    </row>
    <row r="1088" spans="1:17">
      <c r="A1088">
        <v>44090229</v>
      </c>
      <c r="B1088">
        <v>2022</v>
      </c>
      <c r="C1088" t="s">
        <v>21</v>
      </c>
      <c r="D1088" t="s">
        <v>41</v>
      </c>
      <c r="E1088" t="s">
        <v>74</v>
      </c>
      <c r="F1088" t="s">
        <v>142</v>
      </c>
      <c r="G1088" t="s">
        <v>247</v>
      </c>
      <c r="H1088" t="s">
        <v>328</v>
      </c>
      <c r="I1088" t="s">
        <v>253</v>
      </c>
      <c r="K1088" t="s">
        <v>466</v>
      </c>
      <c r="L1088" t="s">
        <v>469</v>
      </c>
      <c r="M1088" t="s">
        <v>472</v>
      </c>
      <c r="N1088" t="s">
        <v>620</v>
      </c>
      <c r="O1088" t="s">
        <v>867</v>
      </c>
      <c r="P1088" s="1">
        <f>HYPERLINK("https://ec.europa.eu/info/funding-tenders/opportunities/portal/screen/opportunities/topic-details/horizon-cl6-2022-governance-01-05", "HORIZON-CL6-2022-GOVERNANCE-01-05")</f>
        <v>0</v>
      </c>
      <c r="Q1088" t="s">
        <v>2037</v>
      </c>
    </row>
    <row r="1089" spans="1:17">
      <c r="A1089">
        <v>44090127</v>
      </c>
      <c r="B1089">
        <v>2022</v>
      </c>
      <c r="C1089" t="s">
        <v>21</v>
      </c>
      <c r="D1089" t="s">
        <v>41</v>
      </c>
      <c r="E1089" t="s">
        <v>85</v>
      </c>
      <c r="F1089" t="s">
        <v>142</v>
      </c>
      <c r="G1089" t="s">
        <v>247</v>
      </c>
      <c r="H1089" t="s">
        <v>328</v>
      </c>
      <c r="I1089" t="s">
        <v>253</v>
      </c>
      <c r="K1089" t="s">
        <v>466</v>
      </c>
      <c r="L1089" t="s">
        <v>469</v>
      </c>
      <c r="M1089" t="s">
        <v>471</v>
      </c>
      <c r="N1089" t="s">
        <v>620</v>
      </c>
      <c r="O1089" t="s">
        <v>867</v>
      </c>
      <c r="P1089" s="1">
        <f>HYPERLINK("https://ec.europa.eu/info/funding-tenders/opportunities/portal/screen/opportunities/topic-details/horizon-cl6-2022-governance-01-06", "HORIZON-CL6-2022-GOVERNANCE-01-06")</f>
        <v>0</v>
      </c>
      <c r="Q1089" t="s">
        <v>2038</v>
      </c>
    </row>
    <row r="1090" spans="1:17">
      <c r="A1090">
        <v>44090268</v>
      </c>
      <c r="B1090">
        <v>2022</v>
      </c>
      <c r="C1090" t="s">
        <v>21</v>
      </c>
      <c r="D1090" t="s">
        <v>41</v>
      </c>
      <c r="E1090" t="s">
        <v>73</v>
      </c>
      <c r="F1090" t="s">
        <v>142</v>
      </c>
      <c r="G1090" t="s">
        <v>247</v>
      </c>
      <c r="H1090" t="s">
        <v>328</v>
      </c>
      <c r="I1090" t="s">
        <v>253</v>
      </c>
      <c r="K1090" t="s">
        <v>466</v>
      </c>
      <c r="L1090" t="s">
        <v>469</v>
      </c>
      <c r="M1090" t="s">
        <v>473</v>
      </c>
      <c r="N1090" t="s">
        <v>620</v>
      </c>
      <c r="O1090" t="s">
        <v>867</v>
      </c>
      <c r="P1090" s="1">
        <f>HYPERLINK("https://ec.europa.eu/info/funding-tenders/opportunities/portal/screen/opportunities/topic-details/horizon-cl6-2022-governance-01-07", "HORIZON-CL6-2022-GOVERNANCE-01-07")</f>
        <v>0</v>
      </c>
      <c r="Q1090" t="s">
        <v>2039</v>
      </c>
    </row>
    <row r="1091" spans="1:17">
      <c r="A1091">
        <v>44090321</v>
      </c>
      <c r="B1091">
        <v>2022</v>
      </c>
      <c r="C1091" t="s">
        <v>21</v>
      </c>
      <c r="D1091" t="s">
        <v>41</v>
      </c>
      <c r="E1091" t="s">
        <v>73</v>
      </c>
      <c r="F1091" t="s">
        <v>142</v>
      </c>
      <c r="G1091" t="s">
        <v>247</v>
      </c>
      <c r="H1091" t="s">
        <v>328</v>
      </c>
      <c r="I1091" t="s">
        <v>253</v>
      </c>
      <c r="K1091" t="s">
        <v>466</v>
      </c>
      <c r="L1091" t="s">
        <v>469</v>
      </c>
      <c r="M1091" t="s">
        <v>473</v>
      </c>
      <c r="N1091" t="s">
        <v>620</v>
      </c>
      <c r="O1091" t="s">
        <v>867</v>
      </c>
      <c r="P1091" s="1">
        <f>HYPERLINK("https://ec.europa.eu/info/funding-tenders/opportunities/portal/screen/opportunities/topic-details/horizon-cl6-2022-governance-01-08", "HORIZON-CL6-2022-GOVERNANCE-01-08")</f>
        <v>0</v>
      </c>
      <c r="Q1091" t="s">
        <v>2040</v>
      </c>
    </row>
    <row r="1092" spans="1:17">
      <c r="A1092">
        <v>44090376</v>
      </c>
      <c r="B1092">
        <v>2022</v>
      </c>
      <c r="C1092" t="s">
        <v>21</v>
      </c>
      <c r="D1092" t="s">
        <v>41</v>
      </c>
      <c r="E1092" t="s">
        <v>73</v>
      </c>
      <c r="F1092" t="s">
        <v>142</v>
      </c>
      <c r="G1092" t="s">
        <v>247</v>
      </c>
      <c r="H1092" t="s">
        <v>328</v>
      </c>
      <c r="I1092" t="s">
        <v>253</v>
      </c>
      <c r="K1092" t="s">
        <v>466</v>
      </c>
      <c r="L1092" t="s">
        <v>469</v>
      </c>
      <c r="M1092" t="s">
        <v>471</v>
      </c>
      <c r="N1092" t="s">
        <v>620</v>
      </c>
      <c r="O1092" t="s">
        <v>867</v>
      </c>
      <c r="P1092" s="1">
        <f>HYPERLINK("https://ec.europa.eu/info/funding-tenders/opportunities/portal/screen/opportunities/topic-details/horizon-cl6-2022-governance-01-09", "HORIZON-CL6-2022-GOVERNANCE-01-09")</f>
        <v>0</v>
      </c>
      <c r="Q1092" t="s">
        <v>2041</v>
      </c>
    </row>
    <row r="1093" spans="1:17">
      <c r="A1093">
        <v>44090423</v>
      </c>
      <c r="B1093">
        <v>2022</v>
      </c>
      <c r="C1093" t="s">
        <v>21</v>
      </c>
      <c r="D1093" t="s">
        <v>41</v>
      </c>
      <c r="E1093" t="s">
        <v>87</v>
      </c>
      <c r="F1093" t="s">
        <v>142</v>
      </c>
      <c r="G1093" t="s">
        <v>247</v>
      </c>
      <c r="H1093" t="s">
        <v>328</v>
      </c>
      <c r="I1093" t="s">
        <v>253</v>
      </c>
      <c r="K1093" t="s">
        <v>466</v>
      </c>
      <c r="L1093" t="s">
        <v>469</v>
      </c>
      <c r="M1093" t="s">
        <v>471</v>
      </c>
      <c r="N1093" t="s">
        <v>620</v>
      </c>
      <c r="O1093" t="s">
        <v>867</v>
      </c>
      <c r="P1093" s="1">
        <f>HYPERLINK("https://ec.europa.eu/info/funding-tenders/opportunities/portal/screen/opportunities/topic-details/horizon-cl6-2022-governance-01-10", "HORIZON-CL6-2022-GOVERNANCE-01-10")</f>
        <v>0</v>
      </c>
      <c r="Q1093" t="s">
        <v>2042</v>
      </c>
    </row>
    <row r="1094" spans="1:17">
      <c r="A1094">
        <v>44090484</v>
      </c>
      <c r="B1094">
        <v>2022</v>
      </c>
      <c r="C1094" t="s">
        <v>21</v>
      </c>
      <c r="D1094" t="s">
        <v>41</v>
      </c>
      <c r="E1094" t="s">
        <v>74</v>
      </c>
      <c r="F1094" t="s">
        <v>142</v>
      </c>
      <c r="G1094" t="s">
        <v>247</v>
      </c>
      <c r="H1094" t="s">
        <v>328</v>
      </c>
      <c r="I1094" t="s">
        <v>253</v>
      </c>
      <c r="K1094" t="s">
        <v>466</v>
      </c>
      <c r="L1094" t="s">
        <v>469</v>
      </c>
      <c r="M1094" t="s">
        <v>471</v>
      </c>
      <c r="N1094" t="s">
        <v>620</v>
      </c>
      <c r="O1094" t="s">
        <v>867</v>
      </c>
      <c r="P1094" s="1">
        <f>HYPERLINK("https://ec.europa.eu/info/funding-tenders/opportunities/portal/screen/opportunities/topic-details/horizon-cl6-2022-governance-01-11", "HORIZON-CL6-2022-GOVERNANCE-01-11")</f>
        <v>0</v>
      </c>
      <c r="Q1094" t="s">
        <v>2043</v>
      </c>
    </row>
    <row r="1095" spans="1:17">
      <c r="A1095">
        <v>44090522</v>
      </c>
      <c r="B1095">
        <v>2022</v>
      </c>
      <c r="C1095" t="s">
        <v>21</v>
      </c>
      <c r="D1095" t="s">
        <v>41</v>
      </c>
      <c r="E1095" t="s">
        <v>74</v>
      </c>
      <c r="F1095" t="s">
        <v>142</v>
      </c>
      <c r="G1095" t="s">
        <v>247</v>
      </c>
      <c r="H1095" t="s">
        <v>328</v>
      </c>
      <c r="I1095" t="s">
        <v>253</v>
      </c>
      <c r="K1095" t="s">
        <v>466</v>
      </c>
      <c r="L1095" t="s">
        <v>469</v>
      </c>
      <c r="M1095" t="s">
        <v>472</v>
      </c>
      <c r="N1095" t="s">
        <v>620</v>
      </c>
      <c r="O1095" t="s">
        <v>867</v>
      </c>
      <c r="P1095" s="1">
        <f>HYPERLINK("https://ec.europa.eu/info/funding-tenders/opportunities/portal/screen/opportunities/topic-details/horizon-cl6-2022-governance-01-12", "HORIZON-CL6-2022-GOVERNANCE-01-12")</f>
        <v>0</v>
      </c>
      <c r="Q1095" t="s">
        <v>1965</v>
      </c>
    </row>
    <row r="1096" spans="1:17">
      <c r="A1096">
        <v>44090544</v>
      </c>
      <c r="B1096">
        <v>2022</v>
      </c>
      <c r="C1096" t="s">
        <v>21</v>
      </c>
      <c r="D1096" t="s">
        <v>41</v>
      </c>
      <c r="E1096" t="s">
        <v>74</v>
      </c>
      <c r="F1096" t="s">
        <v>142</v>
      </c>
      <c r="G1096" t="s">
        <v>247</v>
      </c>
      <c r="H1096" t="s">
        <v>328</v>
      </c>
      <c r="I1096" t="s">
        <v>253</v>
      </c>
      <c r="K1096" t="s">
        <v>466</v>
      </c>
      <c r="L1096" t="s">
        <v>469</v>
      </c>
      <c r="M1096" t="s">
        <v>472</v>
      </c>
      <c r="N1096" t="s">
        <v>620</v>
      </c>
      <c r="O1096" t="s">
        <v>867</v>
      </c>
      <c r="P1096" s="1">
        <f>HYPERLINK("https://ec.europa.eu/info/funding-tenders/opportunities/portal/screen/opportunities/topic-details/horizon-cl6-2022-governance-01-13", "HORIZON-CL6-2022-GOVERNANCE-01-13")</f>
        <v>0</v>
      </c>
      <c r="Q1096" t="s">
        <v>1960</v>
      </c>
    </row>
    <row r="1097" spans="1:17">
      <c r="A1097">
        <v>44090566</v>
      </c>
      <c r="B1097">
        <v>2022</v>
      </c>
      <c r="C1097" t="s">
        <v>21</v>
      </c>
      <c r="D1097" t="s">
        <v>41</v>
      </c>
      <c r="E1097" t="s">
        <v>74</v>
      </c>
      <c r="F1097" t="s">
        <v>142</v>
      </c>
      <c r="G1097" t="s">
        <v>247</v>
      </c>
      <c r="H1097" t="s">
        <v>328</v>
      </c>
      <c r="I1097" t="s">
        <v>253</v>
      </c>
      <c r="K1097" t="s">
        <v>466</v>
      </c>
      <c r="L1097" t="s">
        <v>469</v>
      </c>
      <c r="M1097" t="s">
        <v>472</v>
      </c>
      <c r="N1097" t="s">
        <v>620</v>
      </c>
      <c r="O1097" t="s">
        <v>867</v>
      </c>
      <c r="P1097" s="1">
        <f>HYPERLINK("https://ec.europa.eu/info/funding-tenders/opportunities/portal/screen/opportunities/topic-details/horizon-cl6-2022-governance-01-14", "HORIZON-CL6-2022-GOVERNANCE-01-14")</f>
        <v>0</v>
      </c>
      <c r="Q1097" t="s">
        <v>2044</v>
      </c>
    </row>
    <row r="1098" spans="1:17">
      <c r="A1098">
        <v>44090587</v>
      </c>
      <c r="B1098">
        <v>2022</v>
      </c>
      <c r="C1098" t="s">
        <v>21</v>
      </c>
      <c r="D1098" t="s">
        <v>41</v>
      </c>
      <c r="E1098" t="s">
        <v>74</v>
      </c>
      <c r="F1098" t="s">
        <v>142</v>
      </c>
      <c r="G1098" t="s">
        <v>247</v>
      </c>
      <c r="H1098" t="s">
        <v>328</v>
      </c>
      <c r="I1098" t="s">
        <v>253</v>
      </c>
      <c r="K1098" t="s">
        <v>466</v>
      </c>
      <c r="L1098" t="s">
        <v>469</v>
      </c>
      <c r="M1098" t="s">
        <v>472</v>
      </c>
      <c r="N1098" t="s">
        <v>620</v>
      </c>
      <c r="O1098" t="s">
        <v>867</v>
      </c>
      <c r="P1098" s="1">
        <f>HYPERLINK("https://ec.europa.eu/info/funding-tenders/opportunities/portal/screen/opportunities/topic-details/horizon-cl6-2022-governance-01-15", "HORIZON-CL6-2022-GOVERNANCE-01-15")</f>
        <v>0</v>
      </c>
      <c r="Q1098" t="s">
        <v>2045</v>
      </c>
    </row>
    <row r="1099" spans="1:17">
      <c r="A1099">
        <v>44092769</v>
      </c>
      <c r="B1099">
        <v>2022</v>
      </c>
      <c r="C1099" t="s">
        <v>21</v>
      </c>
      <c r="D1099" t="s">
        <v>41</v>
      </c>
      <c r="E1099" t="s">
        <v>85</v>
      </c>
      <c r="F1099" t="s">
        <v>143</v>
      </c>
      <c r="G1099" t="s">
        <v>246</v>
      </c>
      <c r="H1099" t="s">
        <v>328</v>
      </c>
      <c r="I1099" t="s">
        <v>405</v>
      </c>
      <c r="K1099" t="s">
        <v>466</v>
      </c>
      <c r="L1099" t="s">
        <v>469</v>
      </c>
      <c r="M1099" t="s">
        <v>471</v>
      </c>
      <c r="N1099" t="s">
        <v>621</v>
      </c>
      <c r="O1099" t="s">
        <v>868</v>
      </c>
      <c r="P1099" s="1">
        <f>HYPERLINK("https://ec.europa.eu/info/funding-tenders/opportunities/portal/screen/opportunities/topic-details/horizon-cl6-2022-zeropollution-01-01", "HORIZON-CL6-2022-ZEROPOLLUTION-01-01")</f>
        <v>0</v>
      </c>
      <c r="Q1099" t="s">
        <v>2046</v>
      </c>
    </row>
    <row r="1100" spans="1:17">
      <c r="A1100">
        <v>44092858</v>
      </c>
      <c r="B1100">
        <v>2022</v>
      </c>
      <c r="C1100" t="s">
        <v>21</v>
      </c>
      <c r="D1100" t="s">
        <v>41</v>
      </c>
      <c r="E1100" t="s">
        <v>85</v>
      </c>
      <c r="F1100" t="s">
        <v>143</v>
      </c>
      <c r="G1100" t="s">
        <v>246</v>
      </c>
      <c r="H1100" t="s">
        <v>328</v>
      </c>
      <c r="I1100" t="s">
        <v>405</v>
      </c>
      <c r="K1100" t="s">
        <v>466</v>
      </c>
      <c r="L1100" t="s">
        <v>469</v>
      </c>
      <c r="M1100" t="s">
        <v>473</v>
      </c>
      <c r="N1100" t="s">
        <v>621</v>
      </c>
      <c r="O1100" t="s">
        <v>868</v>
      </c>
      <c r="P1100" s="1">
        <f>HYPERLINK("https://ec.europa.eu/info/funding-tenders/opportunities/portal/screen/opportunities/topic-details/horizon-cl6-2022-zeropollution-01-02", "HORIZON-CL6-2022-ZEROPOLLUTION-01-02")</f>
        <v>0</v>
      </c>
      <c r="Q1100" t="s">
        <v>2047</v>
      </c>
    </row>
    <row r="1101" spans="1:17">
      <c r="A1101">
        <v>44093897</v>
      </c>
      <c r="B1101">
        <v>2022</v>
      </c>
      <c r="C1101" t="s">
        <v>21</v>
      </c>
      <c r="D1101" t="s">
        <v>41</v>
      </c>
      <c r="E1101" t="s">
        <v>74</v>
      </c>
      <c r="F1101" t="s">
        <v>143</v>
      </c>
      <c r="G1101" t="s">
        <v>246</v>
      </c>
      <c r="H1101" t="s">
        <v>328</v>
      </c>
      <c r="I1101" t="s">
        <v>405</v>
      </c>
      <c r="K1101" t="s">
        <v>466</v>
      </c>
      <c r="L1101" t="s">
        <v>469</v>
      </c>
      <c r="M1101" t="s">
        <v>473</v>
      </c>
      <c r="N1101" t="s">
        <v>621</v>
      </c>
      <c r="O1101" t="s">
        <v>868</v>
      </c>
      <c r="P1101" s="1">
        <f>HYPERLINK("https://ec.europa.eu/info/funding-tenders/opportunities/portal/screen/opportunities/topic-details/horizon-cl6-2022-zeropollution-01-03", "HORIZON-CL6-2022-ZEROPOLLUTION-01-03")</f>
        <v>0</v>
      </c>
      <c r="Q1101" t="s">
        <v>2048</v>
      </c>
    </row>
    <row r="1102" spans="1:17">
      <c r="A1102">
        <v>44092910</v>
      </c>
      <c r="B1102">
        <v>2022</v>
      </c>
      <c r="C1102" t="s">
        <v>21</v>
      </c>
      <c r="D1102" t="s">
        <v>41</v>
      </c>
      <c r="E1102" t="s">
        <v>85</v>
      </c>
      <c r="F1102" t="s">
        <v>143</v>
      </c>
      <c r="G1102" t="s">
        <v>246</v>
      </c>
      <c r="H1102" t="s">
        <v>328</v>
      </c>
      <c r="I1102" t="s">
        <v>405</v>
      </c>
      <c r="K1102" t="s">
        <v>466</v>
      </c>
      <c r="L1102" t="s">
        <v>469</v>
      </c>
      <c r="M1102" t="s">
        <v>471</v>
      </c>
      <c r="N1102" t="s">
        <v>621</v>
      </c>
      <c r="O1102" t="s">
        <v>868</v>
      </c>
      <c r="P1102" s="1">
        <f>HYPERLINK("https://ec.europa.eu/info/funding-tenders/opportunities/portal/screen/opportunities/topic-details/horizon-cl6-2022-zeropollution-01-04", "HORIZON-CL6-2022-ZEROPOLLUTION-01-04")</f>
        <v>0</v>
      </c>
      <c r="Q1102" t="s">
        <v>2049</v>
      </c>
    </row>
    <row r="1103" spans="1:17">
      <c r="A1103">
        <v>45657223</v>
      </c>
      <c r="B1103">
        <v>2023</v>
      </c>
      <c r="C1103" t="s">
        <v>21</v>
      </c>
      <c r="D1103" t="s">
        <v>41</v>
      </c>
      <c r="E1103" t="s">
        <v>85</v>
      </c>
      <c r="F1103" t="s">
        <v>136</v>
      </c>
      <c r="G1103" t="s">
        <v>248</v>
      </c>
      <c r="H1103" t="s">
        <v>311</v>
      </c>
      <c r="I1103" t="s">
        <v>385</v>
      </c>
      <c r="K1103" t="s">
        <v>466</v>
      </c>
      <c r="L1103" t="s">
        <v>469</v>
      </c>
      <c r="M1103" t="s">
        <v>471</v>
      </c>
      <c r="N1103" t="s">
        <v>622</v>
      </c>
      <c r="O1103" t="s">
        <v>862</v>
      </c>
      <c r="P1103" s="1">
        <f>HYPERLINK("https://ec.europa.eu/info/funding-tenders/opportunities/portal/screen/opportunities/topic-details/horizon-cl6-2023-biodiv-01-1", "HORIZON-CL6-2023-BIODIV-01-1")</f>
        <v>0</v>
      </c>
      <c r="Q1103" t="s">
        <v>2050</v>
      </c>
    </row>
    <row r="1104" spans="1:17">
      <c r="A1104">
        <v>45655158</v>
      </c>
      <c r="B1104">
        <v>2023</v>
      </c>
      <c r="C1104" t="s">
        <v>21</v>
      </c>
      <c r="D1104" t="s">
        <v>41</v>
      </c>
      <c r="E1104" t="s">
        <v>85</v>
      </c>
      <c r="F1104" t="s">
        <v>136</v>
      </c>
      <c r="G1104" t="s">
        <v>248</v>
      </c>
      <c r="H1104" t="s">
        <v>311</v>
      </c>
      <c r="I1104" t="s">
        <v>385</v>
      </c>
      <c r="K1104" t="s">
        <v>466</v>
      </c>
      <c r="L1104" t="s">
        <v>469</v>
      </c>
      <c r="M1104" t="s">
        <v>471</v>
      </c>
      <c r="N1104" t="s">
        <v>622</v>
      </c>
      <c r="O1104" t="s">
        <v>862</v>
      </c>
      <c r="P1104" s="1">
        <f>HYPERLINK("https://ec.europa.eu/info/funding-tenders/opportunities/portal/screen/opportunities/topic-details/horizon-cl6-2023-biodiv-01-10", "HORIZON-CL6-2023-BIODIV-01-10")</f>
        <v>0</v>
      </c>
      <c r="Q1104" t="s">
        <v>2051</v>
      </c>
    </row>
    <row r="1105" spans="1:17">
      <c r="A1105">
        <v>45655224</v>
      </c>
      <c r="B1105">
        <v>2023</v>
      </c>
      <c r="C1105" t="s">
        <v>21</v>
      </c>
      <c r="D1105" t="s">
        <v>41</v>
      </c>
      <c r="E1105" t="s">
        <v>85</v>
      </c>
      <c r="F1105" t="s">
        <v>136</v>
      </c>
      <c r="G1105" t="s">
        <v>248</v>
      </c>
      <c r="H1105" t="s">
        <v>311</v>
      </c>
      <c r="I1105" t="s">
        <v>385</v>
      </c>
      <c r="K1105" t="s">
        <v>466</v>
      </c>
      <c r="L1105" t="s">
        <v>469</v>
      </c>
      <c r="M1105" t="s">
        <v>471</v>
      </c>
      <c r="N1105" t="s">
        <v>622</v>
      </c>
      <c r="O1105" t="s">
        <v>862</v>
      </c>
      <c r="P1105" s="1">
        <f>HYPERLINK("https://ec.europa.eu/info/funding-tenders/opportunities/portal/screen/opportunities/topic-details/horizon-cl6-2023-biodiv-01-11", "HORIZON-CL6-2023-BIODIV-01-11")</f>
        <v>0</v>
      </c>
      <c r="Q1105" t="s">
        <v>2052</v>
      </c>
    </row>
    <row r="1106" spans="1:17">
      <c r="A1106">
        <v>45655304</v>
      </c>
      <c r="B1106">
        <v>2023</v>
      </c>
      <c r="C1106" t="s">
        <v>21</v>
      </c>
      <c r="D1106" t="s">
        <v>41</v>
      </c>
      <c r="E1106" t="s">
        <v>85</v>
      </c>
      <c r="F1106" t="s">
        <v>136</v>
      </c>
      <c r="G1106" t="s">
        <v>248</v>
      </c>
      <c r="H1106" t="s">
        <v>311</v>
      </c>
      <c r="I1106" t="s">
        <v>385</v>
      </c>
      <c r="K1106" t="s">
        <v>466</v>
      </c>
      <c r="L1106" t="s">
        <v>469</v>
      </c>
      <c r="M1106" t="s">
        <v>472</v>
      </c>
      <c r="N1106" t="s">
        <v>622</v>
      </c>
      <c r="O1106" t="s">
        <v>862</v>
      </c>
      <c r="P1106" s="1">
        <f>HYPERLINK("https://ec.europa.eu/info/funding-tenders/opportunities/portal/screen/opportunities/topic-details/horizon-cl6-2023-biodiv-01-12", "HORIZON-CL6-2023-BIODIV-01-12")</f>
        <v>0</v>
      </c>
      <c r="Q1106" t="s">
        <v>2053</v>
      </c>
    </row>
    <row r="1107" spans="1:17">
      <c r="A1107">
        <v>45655486</v>
      </c>
      <c r="B1107">
        <v>2023</v>
      </c>
      <c r="C1107" t="s">
        <v>21</v>
      </c>
      <c r="D1107" t="s">
        <v>41</v>
      </c>
      <c r="E1107" t="s">
        <v>85</v>
      </c>
      <c r="F1107" t="s">
        <v>136</v>
      </c>
      <c r="G1107" t="s">
        <v>248</v>
      </c>
      <c r="H1107" t="s">
        <v>311</v>
      </c>
      <c r="I1107" t="s">
        <v>385</v>
      </c>
      <c r="K1107" t="s">
        <v>466</v>
      </c>
      <c r="L1107" t="s">
        <v>469</v>
      </c>
      <c r="M1107" t="s">
        <v>471</v>
      </c>
      <c r="N1107" t="s">
        <v>622</v>
      </c>
      <c r="O1107" t="s">
        <v>862</v>
      </c>
      <c r="P1107" s="1">
        <f>HYPERLINK("https://ec.europa.eu/info/funding-tenders/opportunities/portal/screen/opportunities/topic-details/horizon-cl6-2023-biodiv-01-13", "HORIZON-CL6-2023-BIODIV-01-13")</f>
        <v>0</v>
      </c>
      <c r="Q1107" t="s">
        <v>2054</v>
      </c>
    </row>
    <row r="1108" spans="1:17">
      <c r="A1108">
        <v>45655533</v>
      </c>
      <c r="B1108">
        <v>2023</v>
      </c>
      <c r="C1108" t="s">
        <v>21</v>
      </c>
      <c r="D1108" t="s">
        <v>41</v>
      </c>
      <c r="E1108" t="s">
        <v>85</v>
      </c>
      <c r="F1108" t="s">
        <v>136</v>
      </c>
      <c r="G1108" t="s">
        <v>248</v>
      </c>
      <c r="H1108" t="s">
        <v>311</v>
      </c>
      <c r="I1108" t="s">
        <v>385</v>
      </c>
      <c r="K1108" t="s">
        <v>466</v>
      </c>
      <c r="L1108" t="s">
        <v>469</v>
      </c>
      <c r="M1108" t="s">
        <v>471</v>
      </c>
      <c r="N1108" t="s">
        <v>622</v>
      </c>
      <c r="O1108" t="s">
        <v>862</v>
      </c>
      <c r="P1108" s="1">
        <f>HYPERLINK("https://ec.europa.eu/info/funding-tenders/opportunities/portal/screen/opportunities/topic-details/horizon-cl6-2023-biodiv-01-14", "HORIZON-CL6-2023-BIODIV-01-14")</f>
        <v>0</v>
      </c>
      <c r="Q1108" t="s">
        <v>2055</v>
      </c>
    </row>
    <row r="1109" spans="1:17">
      <c r="A1109">
        <v>45655585</v>
      </c>
      <c r="B1109">
        <v>2023</v>
      </c>
      <c r="C1109" t="s">
        <v>21</v>
      </c>
      <c r="D1109" t="s">
        <v>41</v>
      </c>
      <c r="E1109" t="s">
        <v>85</v>
      </c>
      <c r="F1109" t="s">
        <v>136</v>
      </c>
      <c r="G1109" t="s">
        <v>248</v>
      </c>
      <c r="H1109" t="s">
        <v>311</v>
      </c>
      <c r="I1109" t="s">
        <v>385</v>
      </c>
      <c r="K1109" t="s">
        <v>466</v>
      </c>
      <c r="L1109" t="s">
        <v>469</v>
      </c>
      <c r="M1109" t="s">
        <v>472</v>
      </c>
      <c r="N1109" t="s">
        <v>622</v>
      </c>
      <c r="O1109" t="s">
        <v>862</v>
      </c>
      <c r="P1109" s="1">
        <f>HYPERLINK("https://ec.europa.eu/info/funding-tenders/opportunities/portal/screen/opportunities/topic-details/horizon-cl6-2023-biodiv-01-15", "HORIZON-CL6-2023-BIODIV-01-15")</f>
        <v>0</v>
      </c>
      <c r="Q1109" t="s">
        <v>2056</v>
      </c>
    </row>
    <row r="1110" spans="1:17">
      <c r="A1110">
        <v>45655617</v>
      </c>
      <c r="B1110">
        <v>2023</v>
      </c>
      <c r="C1110" t="s">
        <v>21</v>
      </c>
      <c r="D1110" t="s">
        <v>41</v>
      </c>
      <c r="E1110" t="s">
        <v>85</v>
      </c>
      <c r="F1110" t="s">
        <v>136</v>
      </c>
      <c r="G1110" t="s">
        <v>248</v>
      </c>
      <c r="H1110" t="s">
        <v>311</v>
      </c>
      <c r="I1110" t="s">
        <v>385</v>
      </c>
      <c r="K1110" t="s">
        <v>466</v>
      </c>
      <c r="L1110" t="s">
        <v>469</v>
      </c>
      <c r="M1110" t="s">
        <v>471</v>
      </c>
      <c r="N1110" t="s">
        <v>622</v>
      </c>
      <c r="O1110" t="s">
        <v>862</v>
      </c>
      <c r="P1110" s="1">
        <f>HYPERLINK("https://ec.europa.eu/info/funding-tenders/opportunities/portal/screen/opportunities/topic-details/horizon-cl6-2023-biodiv-01-16", "HORIZON-CL6-2023-BIODIV-01-16")</f>
        <v>0</v>
      </c>
      <c r="Q1110" t="s">
        <v>2057</v>
      </c>
    </row>
    <row r="1111" spans="1:17">
      <c r="A1111">
        <v>45655887</v>
      </c>
      <c r="B1111">
        <v>2023</v>
      </c>
      <c r="C1111" t="s">
        <v>21</v>
      </c>
      <c r="D1111" t="s">
        <v>41</v>
      </c>
      <c r="E1111" t="s">
        <v>85</v>
      </c>
      <c r="F1111" t="s">
        <v>136</v>
      </c>
      <c r="G1111" t="s">
        <v>248</v>
      </c>
      <c r="H1111" t="s">
        <v>311</v>
      </c>
      <c r="I1111" t="s">
        <v>385</v>
      </c>
      <c r="K1111" t="s">
        <v>466</v>
      </c>
      <c r="L1111" t="s">
        <v>469</v>
      </c>
      <c r="M1111" t="s">
        <v>471</v>
      </c>
      <c r="N1111" t="s">
        <v>622</v>
      </c>
      <c r="O1111" t="s">
        <v>862</v>
      </c>
      <c r="P1111" s="1">
        <f>HYPERLINK("https://ec.europa.eu/info/funding-tenders/opportunities/portal/screen/opportunities/topic-details/horizon-cl6-2023-biodiv-01-17", "HORIZON-CL6-2023-BIODIV-01-17")</f>
        <v>0</v>
      </c>
      <c r="Q1111" t="s">
        <v>2058</v>
      </c>
    </row>
    <row r="1112" spans="1:17">
      <c r="A1112">
        <v>45655931</v>
      </c>
      <c r="B1112">
        <v>2023</v>
      </c>
      <c r="C1112" t="s">
        <v>21</v>
      </c>
      <c r="D1112" t="s">
        <v>41</v>
      </c>
      <c r="E1112" t="s">
        <v>85</v>
      </c>
      <c r="F1112" t="s">
        <v>136</v>
      </c>
      <c r="G1112" t="s">
        <v>248</v>
      </c>
      <c r="H1112" t="s">
        <v>311</v>
      </c>
      <c r="I1112" t="s">
        <v>385</v>
      </c>
      <c r="K1112" t="s">
        <v>466</v>
      </c>
      <c r="L1112" t="s">
        <v>469</v>
      </c>
      <c r="M1112" t="s">
        <v>476</v>
      </c>
      <c r="N1112" t="s">
        <v>622</v>
      </c>
      <c r="O1112" t="s">
        <v>862</v>
      </c>
      <c r="P1112" s="1">
        <f>HYPERLINK("https://ec.europa.eu/info/funding-tenders/opportunities/portal/screen/opportunities/topic-details/horizon-cl6-2023-biodiv-01-18", "HORIZON-CL6-2023-BIODIV-01-18")</f>
        <v>0</v>
      </c>
      <c r="Q1112" t="s">
        <v>2059</v>
      </c>
    </row>
    <row r="1113" spans="1:17">
      <c r="A1113">
        <v>45657268</v>
      </c>
      <c r="B1113">
        <v>2023</v>
      </c>
      <c r="C1113" t="s">
        <v>21</v>
      </c>
      <c r="D1113" t="s">
        <v>41</v>
      </c>
      <c r="E1113" t="s">
        <v>85</v>
      </c>
      <c r="F1113" t="s">
        <v>136</v>
      </c>
      <c r="G1113" t="s">
        <v>248</v>
      </c>
      <c r="H1113" t="s">
        <v>311</v>
      </c>
      <c r="I1113" t="s">
        <v>385</v>
      </c>
      <c r="K1113" t="s">
        <v>466</v>
      </c>
      <c r="L1113" t="s">
        <v>469</v>
      </c>
      <c r="M1113" t="s">
        <v>471</v>
      </c>
      <c r="N1113" t="s">
        <v>622</v>
      </c>
      <c r="O1113" t="s">
        <v>862</v>
      </c>
      <c r="P1113" s="1">
        <f>HYPERLINK("https://ec.europa.eu/info/funding-tenders/opportunities/portal/screen/opportunities/topic-details/horizon-cl6-2023-biodiv-01-2", "HORIZON-CL6-2023-BIODIV-01-2")</f>
        <v>0</v>
      </c>
      <c r="Q1113" t="s">
        <v>2060</v>
      </c>
    </row>
    <row r="1114" spans="1:17">
      <c r="A1114">
        <v>45657318</v>
      </c>
      <c r="B1114">
        <v>2023</v>
      </c>
      <c r="C1114" t="s">
        <v>21</v>
      </c>
      <c r="D1114" t="s">
        <v>41</v>
      </c>
      <c r="E1114" t="s">
        <v>85</v>
      </c>
      <c r="F1114" t="s">
        <v>136</v>
      </c>
      <c r="G1114" t="s">
        <v>248</v>
      </c>
      <c r="H1114" t="s">
        <v>311</v>
      </c>
      <c r="I1114" t="s">
        <v>385</v>
      </c>
      <c r="K1114" t="s">
        <v>466</v>
      </c>
      <c r="L1114" t="s">
        <v>469</v>
      </c>
      <c r="M1114" t="s">
        <v>471</v>
      </c>
      <c r="N1114" t="s">
        <v>622</v>
      </c>
      <c r="O1114" t="s">
        <v>862</v>
      </c>
      <c r="P1114" s="1">
        <f>HYPERLINK("https://ec.europa.eu/info/funding-tenders/opportunities/portal/screen/opportunities/topic-details/horizon-cl6-2023-biodiv-01-3", "HORIZON-CL6-2023-BIODIV-01-3")</f>
        <v>0</v>
      </c>
      <c r="Q1114" t="s">
        <v>2061</v>
      </c>
    </row>
    <row r="1115" spans="1:17">
      <c r="A1115">
        <v>45657413</v>
      </c>
      <c r="B1115">
        <v>2023</v>
      </c>
      <c r="C1115" t="s">
        <v>21</v>
      </c>
      <c r="D1115" t="s">
        <v>41</v>
      </c>
      <c r="E1115" t="s">
        <v>85</v>
      </c>
      <c r="F1115" t="s">
        <v>136</v>
      </c>
      <c r="G1115" t="s">
        <v>248</v>
      </c>
      <c r="H1115" t="s">
        <v>311</v>
      </c>
      <c r="I1115" t="s">
        <v>385</v>
      </c>
      <c r="K1115" t="s">
        <v>466</v>
      </c>
      <c r="L1115" t="s">
        <v>469</v>
      </c>
      <c r="M1115" t="s">
        <v>471</v>
      </c>
      <c r="N1115" t="s">
        <v>622</v>
      </c>
      <c r="O1115" t="s">
        <v>862</v>
      </c>
      <c r="P1115" s="1">
        <f>HYPERLINK("https://ec.europa.eu/info/funding-tenders/opportunities/portal/screen/opportunities/topic-details/horizon-cl6-2023-biodiv-01-4", "HORIZON-CL6-2023-BIODIV-01-4")</f>
        <v>0</v>
      </c>
      <c r="Q1115" t="s">
        <v>2062</v>
      </c>
    </row>
    <row r="1116" spans="1:17">
      <c r="A1116">
        <v>45657454</v>
      </c>
      <c r="B1116">
        <v>2023</v>
      </c>
      <c r="C1116" t="s">
        <v>21</v>
      </c>
      <c r="D1116" t="s">
        <v>41</v>
      </c>
      <c r="E1116" t="s">
        <v>85</v>
      </c>
      <c r="F1116" t="s">
        <v>136</v>
      </c>
      <c r="G1116" t="s">
        <v>248</v>
      </c>
      <c r="H1116" t="s">
        <v>311</v>
      </c>
      <c r="I1116" t="s">
        <v>385</v>
      </c>
      <c r="K1116" t="s">
        <v>466</v>
      </c>
      <c r="L1116" t="s">
        <v>469</v>
      </c>
      <c r="M1116" t="s">
        <v>471</v>
      </c>
      <c r="N1116" t="s">
        <v>622</v>
      </c>
      <c r="O1116" t="s">
        <v>862</v>
      </c>
      <c r="P1116" s="1">
        <f>HYPERLINK("https://ec.europa.eu/info/funding-tenders/opportunities/portal/screen/opportunities/topic-details/horizon-cl6-2023-biodiv-01-5", "HORIZON-CL6-2023-BIODIV-01-5")</f>
        <v>0</v>
      </c>
      <c r="Q1116" t="s">
        <v>2063</v>
      </c>
    </row>
    <row r="1117" spans="1:17">
      <c r="A1117">
        <v>45654685</v>
      </c>
      <c r="B1117">
        <v>2023</v>
      </c>
      <c r="C1117" t="s">
        <v>21</v>
      </c>
      <c r="D1117" t="s">
        <v>41</v>
      </c>
      <c r="E1117" t="s">
        <v>85</v>
      </c>
      <c r="F1117" t="s">
        <v>136</v>
      </c>
      <c r="G1117" t="s">
        <v>248</v>
      </c>
      <c r="H1117" t="s">
        <v>311</v>
      </c>
      <c r="I1117" t="s">
        <v>385</v>
      </c>
      <c r="K1117" t="s">
        <v>466</v>
      </c>
      <c r="L1117" t="s">
        <v>469</v>
      </c>
      <c r="M1117" t="s">
        <v>473</v>
      </c>
      <c r="N1117" t="s">
        <v>622</v>
      </c>
      <c r="O1117" t="s">
        <v>862</v>
      </c>
      <c r="P1117" s="1">
        <f>HYPERLINK("https://ec.europa.eu/info/funding-tenders/opportunities/portal/screen/opportunities/topic-details/horizon-cl6-2023-biodiv-01-6", "HORIZON-CL6-2023-BIODIV-01-6")</f>
        <v>0</v>
      </c>
      <c r="Q1117" t="s">
        <v>2064</v>
      </c>
    </row>
    <row r="1118" spans="1:17">
      <c r="A1118">
        <v>45654747</v>
      </c>
      <c r="B1118">
        <v>2023</v>
      </c>
      <c r="C1118" t="s">
        <v>21</v>
      </c>
      <c r="D1118" t="s">
        <v>41</v>
      </c>
      <c r="E1118" t="s">
        <v>85</v>
      </c>
      <c r="F1118" t="s">
        <v>136</v>
      </c>
      <c r="G1118" t="s">
        <v>248</v>
      </c>
      <c r="H1118" t="s">
        <v>311</v>
      </c>
      <c r="I1118" t="s">
        <v>385</v>
      </c>
      <c r="K1118" t="s">
        <v>466</v>
      </c>
      <c r="L1118" t="s">
        <v>469</v>
      </c>
      <c r="M1118" t="s">
        <v>473</v>
      </c>
      <c r="N1118" t="s">
        <v>622</v>
      </c>
      <c r="O1118" t="s">
        <v>862</v>
      </c>
      <c r="P1118" s="1">
        <f>HYPERLINK("https://ec.europa.eu/info/funding-tenders/opportunities/portal/screen/opportunities/topic-details/horizon-cl6-2023-biodiv-01-7", "HORIZON-CL6-2023-BIODIV-01-7")</f>
        <v>0</v>
      </c>
      <c r="Q1118" t="s">
        <v>2065</v>
      </c>
    </row>
    <row r="1119" spans="1:17">
      <c r="A1119">
        <v>45654863</v>
      </c>
      <c r="B1119">
        <v>2023</v>
      </c>
      <c r="C1119" t="s">
        <v>21</v>
      </c>
      <c r="D1119" t="s">
        <v>41</v>
      </c>
      <c r="E1119" t="s">
        <v>85</v>
      </c>
      <c r="F1119" t="s">
        <v>136</v>
      </c>
      <c r="G1119" t="s">
        <v>248</v>
      </c>
      <c r="H1119" t="s">
        <v>311</v>
      </c>
      <c r="I1119" t="s">
        <v>385</v>
      </c>
      <c r="K1119" t="s">
        <v>466</v>
      </c>
      <c r="L1119" t="s">
        <v>469</v>
      </c>
      <c r="M1119" t="s">
        <v>472</v>
      </c>
      <c r="N1119" t="s">
        <v>622</v>
      </c>
      <c r="O1119" t="s">
        <v>862</v>
      </c>
      <c r="P1119" s="1">
        <f>HYPERLINK("https://ec.europa.eu/info/funding-tenders/opportunities/portal/screen/opportunities/topic-details/horizon-cl6-2023-biodiv-01-8", "HORIZON-CL6-2023-BIODIV-01-8")</f>
        <v>0</v>
      </c>
      <c r="Q1119" t="s">
        <v>2066</v>
      </c>
    </row>
    <row r="1120" spans="1:17">
      <c r="A1120">
        <v>45655099</v>
      </c>
      <c r="B1120">
        <v>2023</v>
      </c>
      <c r="C1120" t="s">
        <v>21</v>
      </c>
      <c r="D1120" t="s">
        <v>41</v>
      </c>
      <c r="E1120" t="s">
        <v>85</v>
      </c>
      <c r="F1120" t="s">
        <v>136</v>
      </c>
      <c r="G1120" t="s">
        <v>248</v>
      </c>
      <c r="H1120" t="s">
        <v>311</v>
      </c>
      <c r="I1120" t="s">
        <v>385</v>
      </c>
      <c r="K1120" t="s">
        <v>466</v>
      </c>
      <c r="L1120" t="s">
        <v>469</v>
      </c>
      <c r="M1120" t="s">
        <v>471</v>
      </c>
      <c r="N1120" t="s">
        <v>622</v>
      </c>
      <c r="O1120" t="s">
        <v>862</v>
      </c>
      <c r="P1120" s="1">
        <f>HYPERLINK("https://ec.europa.eu/info/funding-tenders/opportunities/portal/screen/opportunities/topic-details/horizon-cl6-2023-biodiv-01-9", "HORIZON-CL6-2023-BIODIV-01-9")</f>
        <v>0</v>
      </c>
      <c r="Q1120" t="s">
        <v>2067</v>
      </c>
    </row>
    <row r="1121" spans="1:17">
      <c r="A1121">
        <v>45655993</v>
      </c>
      <c r="B1121">
        <v>2023</v>
      </c>
      <c r="C1121" t="s">
        <v>21</v>
      </c>
      <c r="D1121" t="s">
        <v>41</v>
      </c>
      <c r="E1121" t="s">
        <v>85</v>
      </c>
      <c r="F1121" t="s">
        <v>139</v>
      </c>
      <c r="G1121" t="s">
        <v>248</v>
      </c>
      <c r="H1121" t="s">
        <v>311</v>
      </c>
      <c r="I1121" t="s">
        <v>406</v>
      </c>
      <c r="K1121" t="s">
        <v>466</v>
      </c>
      <c r="L1121" t="s">
        <v>469</v>
      </c>
      <c r="M1121" t="s">
        <v>476</v>
      </c>
      <c r="N1121" t="s">
        <v>623</v>
      </c>
      <c r="O1121" t="s">
        <v>864</v>
      </c>
      <c r="P1121" s="1">
        <f>HYPERLINK("https://ec.europa.eu/info/funding-tenders/opportunities/portal/screen/opportunities/topic-details/horizon-cl6-2023-climate-01-1", "HORIZON-CL6-2023-CLIMATE-01-1")</f>
        <v>0</v>
      </c>
      <c r="Q1121" t="s">
        <v>2068</v>
      </c>
    </row>
    <row r="1122" spans="1:17">
      <c r="A1122">
        <v>45656076</v>
      </c>
      <c r="B1122">
        <v>2023</v>
      </c>
      <c r="C1122" t="s">
        <v>21</v>
      </c>
      <c r="D1122" t="s">
        <v>41</v>
      </c>
      <c r="E1122" t="s">
        <v>85</v>
      </c>
      <c r="F1122" t="s">
        <v>139</v>
      </c>
      <c r="G1122" t="s">
        <v>248</v>
      </c>
      <c r="H1122" t="s">
        <v>311</v>
      </c>
      <c r="I1122" t="s">
        <v>406</v>
      </c>
      <c r="K1122" t="s">
        <v>466</v>
      </c>
      <c r="L1122" t="s">
        <v>469</v>
      </c>
      <c r="M1122" t="s">
        <v>473</v>
      </c>
      <c r="N1122" t="s">
        <v>623</v>
      </c>
      <c r="O1122" t="s">
        <v>864</v>
      </c>
      <c r="P1122" s="1">
        <f>HYPERLINK("https://ec.europa.eu/info/funding-tenders/opportunities/portal/screen/opportunities/topic-details/horizon-cl6-2023-climate-01-2", "HORIZON-CL6-2023-CLIMATE-01-2")</f>
        <v>0</v>
      </c>
      <c r="Q1122" t="s">
        <v>2069</v>
      </c>
    </row>
    <row r="1123" spans="1:17">
      <c r="A1123">
        <v>45656142</v>
      </c>
      <c r="B1123">
        <v>2023</v>
      </c>
      <c r="C1123" t="s">
        <v>21</v>
      </c>
      <c r="D1123" t="s">
        <v>41</v>
      </c>
      <c r="E1123" t="s">
        <v>85</v>
      </c>
      <c r="F1123" t="s">
        <v>139</v>
      </c>
      <c r="G1123" t="s">
        <v>248</v>
      </c>
      <c r="H1123" t="s">
        <v>311</v>
      </c>
      <c r="I1123" t="s">
        <v>406</v>
      </c>
      <c r="K1123" t="s">
        <v>466</v>
      </c>
      <c r="L1123" t="s">
        <v>469</v>
      </c>
      <c r="M1123" t="s">
        <v>471</v>
      </c>
      <c r="N1123" t="s">
        <v>623</v>
      </c>
      <c r="O1123" t="s">
        <v>864</v>
      </c>
      <c r="P1123" s="1">
        <f>HYPERLINK("https://ec.europa.eu/info/funding-tenders/opportunities/portal/screen/opportunities/topic-details/horizon-cl6-2023-climate-01-3", "HORIZON-CL6-2023-CLIMATE-01-3")</f>
        <v>0</v>
      </c>
      <c r="Q1123" t="s">
        <v>2070</v>
      </c>
    </row>
    <row r="1124" spans="1:17">
      <c r="A1124">
        <v>45656198</v>
      </c>
      <c r="B1124">
        <v>2023</v>
      </c>
      <c r="C1124" t="s">
        <v>21</v>
      </c>
      <c r="D1124" t="s">
        <v>41</v>
      </c>
      <c r="E1124" t="s">
        <v>85</v>
      </c>
      <c r="F1124" t="s">
        <v>139</v>
      </c>
      <c r="G1124" t="s">
        <v>248</v>
      </c>
      <c r="H1124" t="s">
        <v>311</v>
      </c>
      <c r="I1124" t="s">
        <v>406</v>
      </c>
      <c r="K1124" t="s">
        <v>466</v>
      </c>
      <c r="L1124" t="s">
        <v>469</v>
      </c>
      <c r="M1124" t="s">
        <v>471</v>
      </c>
      <c r="N1124" t="s">
        <v>623</v>
      </c>
      <c r="O1124" t="s">
        <v>864</v>
      </c>
      <c r="P1124" s="1">
        <f>HYPERLINK("https://ec.europa.eu/info/funding-tenders/opportunities/portal/screen/opportunities/topic-details/horizon-cl6-2023-climate-01-4", "HORIZON-CL6-2023-CLIMATE-01-4")</f>
        <v>0</v>
      </c>
      <c r="Q1124" t="s">
        <v>2071</v>
      </c>
    </row>
    <row r="1125" spans="1:17">
      <c r="A1125">
        <v>45656235</v>
      </c>
      <c r="B1125">
        <v>2023</v>
      </c>
      <c r="C1125" t="s">
        <v>21</v>
      </c>
      <c r="D1125" t="s">
        <v>41</v>
      </c>
      <c r="E1125" t="s">
        <v>85</v>
      </c>
      <c r="F1125" t="s">
        <v>139</v>
      </c>
      <c r="G1125" t="s">
        <v>248</v>
      </c>
      <c r="H1125" t="s">
        <v>311</v>
      </c>
      <c r="I1125" t="s">
        <v>406</v>
      </c>
      <c r="K1125" t="s">
        <v>466</v>
      </c>
      <c r="L1125" t="s">
        <v>469</v>
      </c>
      <c r="M1125" t="s">
        <v>472</v>
      </c>
      <c r="N1125" t="s">
        <v>623</v>
      </c>
      <c r="O1125" t="s">
        <v>864</v>
      </c>
      <c r="P1125" s="1">
        <f>HYPERLINK("https://ec.europa.eu/info/funding-tenders/opportunities/portal/screen/opportunities/topic-details/horizon-cl6-2023-climate-01-5", "HORIZON-CL6-2023-CLIMATE-01-5")</f>
        <v>0</v>
      </c>
      <c r="Q1125" t="s">
        <v>2072</v>
      </c>
    </row>
    <row r="1126" spans="1:17">
      <c r="A1126">
        <v>45656310</v>
      </c>
      <c r="B1126">
        <v>2023</v>
      </c>
      <c r="C1126" t="s">
        <v>21</v>
      </c>
      <c r="D1126" t="s">
        <v>41</v>
      </c>
      <c r="E1126" t="s">
        <v>85</v>
      </c>
      <c r="F1126" t="s">
        <v>139</v>
      </c>
      <c r="G1126" t="s">
        <v>248</v>
      </c>
      <c r="H1126" t="s">
        <v>311</v>
      </c>
      <c r="I1126" t="s">
        <v>406</v>
      </c>
      <c r="K1126" t="s">
        <v>466</v>
      </c>
      <c r="L1126" t="s">
        <v>469</v>
      </c>
      <c r="M1126" t="s">
        <v>471</v>
      </c>
      <c r="N1126" t="s">
        <v>623</v>
      </c>
      <c r="O1126" t="s">
        <v>864</v>
      </c>
      <c r="P1126" s="1">
        <f>HYPERLINK("https://ec.europa.eu/info/funding-tenders/opportunities/portal/screen/opportunities/topic-details/horizon-cl6-2023-climate-01-6", "HORIZON-CL6-2023-CLIMATE-01-6")</f>
        <v>0</v>
      </c>
      <c r="Q1126" t="s">
        <v>2073</v>
      </c>
    </row>
    <row r="1127" spans="1:17">
      <c r="A1127">
        <v>45656349</v>
      </c>
      <c r="B1127">
        <v>2023</v>
      </c>
      <c r="C1127" t="s">
        <v>21</v>
      </c>
      <c r="D1127" t="s">
        <v>41</v>
      </c>
      <c r="E1127" t="s">
        <v>85</v>
      </c>
      <c r="F1127" t="s">
        <v>139</v>
      </c>
      <c r="G1127" t="s">
        <v>248</v>
      </c>
      <c r="H1127" t="s">
        <v>311</v>
      </c>
      <c r="I1127" t="s">
        <v>406</v>
      </c>
      <c r="K1127" t="s">
        <v>466</v>
      </c>
      <c r="L1127" t="s">
        <v>469</v>
      </c>
      <c r="M1127" t="s">
        <v>471</v>
      </c>
      <c r="N1127" t="s">
        <v>623</v>
      </c>
      <c r="O1127" t="s">
        <v>864</v>
      </c>
      <c r="P1127" s="1">
        <f>HYPERLINK("https://ec.europa.eu/info/funding-tenders/opportunities/portal/screen/opportunities/topic-details/horizon-cl6-2023-climate-01-7", "HORIZON-CL6-2023-CLIMATE-01-7")</f>
        <v>0</v>
      </c>
      <c r="Q1127" t="s">
        <v>2074</v>
      </c>
    </row>
    <row r="1128" spans="1:17">
      <c r="A1128">
        <v>45656521</v>
      </c>
      <c r="B1128">
        <v>2023</v>
      </c>
      <c r="C1128" t="s">
        <v>21</v>
      </c>
      <c r="D1128" t="s">
        <v>41</v>
      </c>
      <c r="E1128" t="s">
        <v>85</v>
      </c>
      <c r="F1128" t="s">
        <v>139</v>
      </c>
      <c r="G1128" t="s">
        <v>248</v>
      </c>
      <c r="H1128" t="s">
        <v>311</v>
      </c>
      <c r="I1128" t="s">
        <v>406</v>
      </c>
      <c r="K1128" t="s">
        <v>466</v>
      </c>
      <c r="L1128" t="s">
        <v>469</v>
      </c>
      <c r="M1128" t="s">
        <v>473</v>
      </c>
      <c r="N1128" t="s">
        <v>623</v>
      </c>
      <c r="O1128" t="s">
        <v>864</v>
      </c>
      <c r="P1128" s="1">
        <f>HYPERLINK("https://ec.europa.eu/info/funding-tenders/opportunities/portal/screen/opportunities/topic-details/horizon-cl6-2023-climate-01-8", "HORIZON-CL6-2023-CLIMATE-01-8")</f>
        <v>0</v>
      </c>
      <c r="Q1128" t="s">
        <v>2075</v>
      </c>
    </row>
    <row r="1129" spans="1:17">
      <c r="A1129">
        <v>45656670</v>
      </c>
      <c r="B1129">
        <v>2023</v>
      </c>
      <c r="C1129" t="s">
        <v>21</v>
      </c>
      <c r="D1129" t="s">
        <v>41</v>
      </c>
      <c r="E1129" t="s">
        <v>85</v>
      </c>
      <c r="F1129" t="s">
        <v>140</v>
      </c>
      <c r="G1129" t="s">
        <v>248</v>
      </c>
      <c r="H1129" t="s">
        <v>311</v>
      </c>
      <c r="I1129" t="s">
        <v>406</v>
      </c>
      <c r="K1129" t="s">
        <v>466</v>
      </c>
      <c r="L1129" t="s">
        <v>469</v>
      </c>
      <c r="M1129" t="s">
        <v>471</v>
      </c>
      <c r="N1129" t="s">
        <v>624</v>
      </c>
      <c r="O1129" t="s">
        <v>865</v>
      </c>
      <c r="P1129" s="1">
        <f>HYPERLINK("https://ec.europa.eu/info/funding-tenders/opportunities/portal/screen/opportunities/topic-details/horizon-cl6-2023-communities-01-1", "HORIZON-CL6-2023-COMMUNITIES-01-1")</f>
        <v>0</v>
      </c>
      <c r="Q1129" t="s">
        <v>2076</v>
      </c>
    </row>
    <row r="1130" spans="1:17">
      <c r="A1130">
        <v>45656739</v>
      </c>
      <c r="B1130">
        <v>2023</v>
      </c>
      <c r="C1130" t="s">
        <v>21</v>
      </c>
      <c r="D1130" t="s">
        <v>41</v>
      </c>
      <c r="E1130" t="s">
        <v>85</v>
      </c>
      <c r="F1130" t="s">
        <v>140</v>
      </c>
      <c r="G1130" t="s">
        <v>248</v>
      </c>
      <c r="H1130" t="s">
        <v>311</v>
      </c>
      <c r="I1130" t="s">
        <v>406</v>
      </c>
      <c r="K1130" t="s">
        <v>466</v>
      </c>
      <c r="L1130" t="s">
        <v>469</v>
      </c>
      <c r="M1130" t="s">
        <v>473</v>
      </c>
      <c r="N1130" t="s">
        <v>624</v>
      </c>
      <c r="O1130" t="s">
        <v>865</v>
      </c>
      <c r="P1130" s="1">
        <f>HYPERLINK("https://ec.europa.eu/info/funding-tenders/opportunities/portal/screen/opportunities/topic-details/horizon-cl6-2023-communities-01-2", "HORIZON-CL6-2023-COMMUNITIES-01-2")</f>
        <v>0</v>
      </c>
      <c r="Q1130" t="s">
        <v>2077</v>
      </c>
    </row>
    <row r="1131" spans="1:17">
      <c r="A1131">
        <v>45656801</v>
      </c>
      <c r="B1131">
        <v>2023</v>
      </c>
      <c r="C1131" t="s">
        <v>21</v>
      </c>
      <c r="D1131" t="s">
        <v>41</v>
      </c>
      <c r="E1131" t="s">
        <v>85</v>
      </c>
      <c r="F1131" t="s">
        <v>140</v>
      </c>
      <c r="G1131" t="s">
        <v>248</v>
      </c>
      <c r="H1131" t="s">
        <v>311</v>
      </c>
      <c r="I1131" t="s">
        <v>406</v>
      </c>
      <c r="K1131" t="s">
        <v>466</v>
      </c>
      <c r="L1131" t="s">
        <v>469</v>
      </c>
      <c r="M1131" t="s">
        <v>472</v>
      </c>
      <c r="N1131" t="s">
        <v>624</v>
      </c>
      <c r="O1131" t="s">
        <v>865</v>
      </c>
      <c r="P1131" s="1">
        <f>HYPERLINK("https://ec.europa.eu/info/funding-tenders/opportunities/portal/screen/opportunities/topic-details/horizon-cl6-2023-communities-01-3", "HORIZON-CL6-2023-COMMUNITIES-01-3")</f>
        <v>0</v>
      </c>
      <c r="Q1131" t="s">
        <v>2078</v>
      </c>
    </row>
    <row r="1132" spans="1:17">
      <c r="A1132">
        <v>45656847</v>
      </c>
      <c r="B1132">
        <v>2023</v>
      </c>
      <c r="C1132" t="s">
        <v>21</v>
      </c>
      <c r="D1132" t="s">
        <v>41</v>
      </c>
      <c r="E1132" t="s">
        <v>85</v>
      </c>
      <c r="F1132" t="s">
        <v>140</v>
      </c>
      <c r="G1132" t="s">
        <v>248</v>
      </c>
      <c r="H1132" t="s">
        <v>311</v>
      </c>
      <c r="I1132" t="s">
        <v>406</v>
      </c>
      <c r="K1132" t="s">
        <v>466</v>
      </c>
      <c r="L1132" t="s">
        <v>469</v>
      </c>
      <c r="M1132" t="s">
        <v>471</v>
      </c>
      <c r="N1132" t="s">
        <v>624</v>
      </c>
      <c r="O1132" t="s">
        <v>865</v>
      </c>
      <c r="P1132" s="1">
        <f>HYPERLINK("https://ec.europa.eu/info/funding-tenders/opportunities/portal/screen/opportunities/topic-details/horizon-cl6-2023-communities-01-4", "HORIZON-CL6-2023-COMMUNITIES-01-4")</f>
        <v>0</v>
      </c>
      <c r="Q1132" t="s">
        <v>2079</v>
      </c>
    </row>
    <row r="1133" spans="1:17">
      <c r="A1133">
        <v>45656882</v>
      </c>
      <c r="B1133">
        <v>2023</v>
      </c>
      <c r="C1133" t="s">
        <v>21</v>
      </c>
      <c r="D1133" t="s">
        <v>41</v>
      </c>
      <c r="E1133" t="s">
        <v>85</v>
      </c>
      <c r="F1133" t="s">
        <v>140</v>
      </c>
      <c r="G1133" t="s">
        <v>248</v>
      </c>
      <c r="H1133" t="s">
        <v>311</v>
      </c>
      <c r="I1133" t="s">
        <v>406</v>
      </c>
      <c r="K1133" t="s">
        <v>466</v>
      </c>
      <c r="L1133" t="s">
        <v>469</v>
      </c>
      <c r="M1133" t="s">
        <v>471</v>
      </c>
      <c r="N1133" t="s">
        <v>624</v>
      </c>
      <c r="O1133" t="s">
        <v>865</v>
      </c>
      <c r="P1133" s="1">
        <f>HYPERLINK("https://ec.europa.eu/info/funding-tenders/opportunities/portal/screen/opportunities/topic-details/horizon-cl6-2023-communities-01-5", "HORIZON-CL6-2023-COMMUNITIES-01-5")</f>
        <v>0</v>
      </c>
      <c r="Q1133" t="s">
        <v>2080</v>
      </c>
    </row>
    <row r="1134" spans="1:17">
      <c r="A1134">
        <v>45656985</v>
      </c>
      <c r="B1134">
        <v>2023</v>
      </c>
      <c r="C1134" t="s">
        <v>21</v>
      </c>
      <c r="D1134" t="s">
        <v>41</v>
      </c>
      <c r="E1134" t="s">
        <v>85</v>
      </c>
      <c r="F1134" t="s">
        <v>140</v>
      </c>
      <c r="G1134" t="s">
        <v>248</v>
      </c>
      <c r="H1134" t="s">
        <v>311</v>
      </c>
      <c r="I1134" t="s">
        <v>406</v>
      </c>
      <c r="K1134" t="s">
        <v>466</v>
      </c>
      <c r="L1134" t="s">
        <v>469</v>
      </c>
      <c r="M1134" t="s">
        <v>471</v>
      </c>
      <c r="N1134" t="s">
        <v>624</v>
      </c>
      <c r="O1134" t="s">
        <v>865</v>
      </c>
      <c r="P1134" s="1">
        <f>HYPERLINK("https://ec.europa.eu/info/funding-tenders/opportunities/portal/screen/opportunities/topic-details/horizon-cl6-2023-communities-01-6", "HORIZON-CL6-2023-COMMUNITIES-01-6")</f>
        <v>0</v>
      </c>
      <c r="Q1134" t="s">
        <v>2081</v>
      </c>
    </row>
    <row r="1135" spans="1:17">
      <c r="A1135">
        <v>45651286</v>
      </c>
      <c r="B1135">
        <v>2023</v>
      </c>
      <c r="C1135" t="s">
        <v>21</v>
      </c>
      <c r="D1135" t="s">
        <v>41</v>
      </c>
      <c r="E1135" t="s">
        <v>85</v>
      </c>
      <c r="F1135" t="s">
        <v>138</v>
      </c>
      <c r="G1135" t="s">
        <v>248</v>
      </c>
      <c r="H1135" t="s">
        <v>311</v>
      </c>
      <c r="I1135" t="s">
        <v>385</v>
      </c>
      <c r="K1135" t="s">
        <v>466</v>
      </c>
      <c r="L1135" t="s">
        <v>469</v>
      </c>
      <c r="M1135" t="s">
        <v>472</v>
      </c>
      <c r="N1135" t="s">
        <v>625</v>
      </c>
      <c r="O1135" t="s">
        <v>863</v>
      </c>
      <c r="P1135" s="1">
        <f>HYPERLINK("https://ec.europa.eu/info/funding-tenders/opportunities/portal/screen/opportunities/topic-details/horizon-cl6-2023-circbio-01-1", "HORIZON-CL6-2023-CircBio-01-1")</f>
        <v>0</v>
      </c>
      <c r="Q1135" t="s">
        <v>2082</v>
      </c>
    </row>
    <row r="1136" spans="1:17">
      <c r="A1136">
        <v>45650934</v>
      </c>
      <c r="B1136">
        <v>2023</v>
      </c>
      <c r="C1136" t="s">
        <v>21</v>
      </c>
      <c r="D1136" t="s">
        <v>41</v>
      </c>
      <c r="E1136" t="s">
        <v>85</v>
      </c>
      <c r="F1136" t="s">
        <v>138</v>
      </c>
      <c r="G1136" t="s">
        <v>248</v>
      </c>
      <c r="H1136" t="s">
        <v>311</v>
      </c>
      <c r="I1136" t="s">
        <v>385</v>
      </c>
      <c r="K1136" t="s">
        <v>466</v>
      </c>
      <c r="L1136" t="s">
        <v>469</v>
      </c>
      <c r="M1136" t="s">
        <v>472</v>
      </c>
      <c r="N1136" t="s">
        <v>625</v>
      </c>
      <c r="O1136" t="s">
        <v>863</v>
      </c>
      <c r="P1136" s="1">
        <f>HYPERLINK("https://ec.europa.eu/info/funding-tenders/opportunities/portal/screen/opportunities/topic-details/horizon-cl6-2023-circbio-01-10", "HORIZON-CL6-2023-CircBio-01-10")</f>
        <v>0</v>
      </c>
      <c r="Q1136" t="s">
        <v>2083</v>
      </c>
    </row>
    <row r="1137" spans="1:17">
      <c r="A1137">
        <v>45651938</v>
      </c>
      <c r="B1137">
        <v>2023</v>
      </c>
      <c r="C1137" t="s">
        <v>21</v>
      </c>
      <c r="D1137" t="s">
        <v>41</v>
      </c>
      <c r="E1137" t="s">
        <v>85</v>
      </c>
      <c r="F1137" t="s">
        <v>138</v>
      </c>
      <c r="G1137" t="s">
        <v>248</v>
      </c>
      <c r="H1137" t="s">
        <v>311</v>
      </c>
      <c r="I1137" t="s">
        <v>385</v>
      </c>
      <c r="K1137" t="s">
        <v>466</v>
      </c>
      <c r="L1137" t="s">
        <v>469</v>
      </c>
      <c r="M1137" t="s">
        <v>471</v>
      </c>
      <c r="N1137" t="s">
        <v>625</v>
      </c>
      <c r="O1137" t="s">
        <v>863</v>
      </c>
      <c r="P1137" s="1">
        <f>HYPERLINK("https://ec.europa.eu/info/funding-tenders/opportunities/portal/screen/opportunities/topic-details/horizon-cl6-2023-circbio-01-11", "HORIZON-CL6-2023-CircBio-01-11")</f>
        <v>0</v>
      </c>
      <c r="Q1137" t="s">
        <v>2084</v>
      </c>
    </row>
    <row r="1138" spans="1:17">
      <c r="A1138">
        <v>45651977</v>
      </c>
      <c r="B1138">
        <v>2023</v>
      </c>
      <c r="C1138" t="s">
        <v>21</v>
      </c>
      <c r="D1138" t="s">
        <v>41</v>
      </c>
      <c r="E1138" t="s">
        <v>85</v>
      </c>
      <c r="F1138" t="s">
        <v>138</v>
      </c>
      <c r="G1138" t="s">
        <v>248</v>
      </c>
      <c r="H1138" t="s">
        <v>311</v>
      </c>
      <c r="I1138" t="s">
        <v>385</v>
      </c>
      <c r="K1138" t="s">
        <v>466</v>
      </c>
      <c r="L1138" t="s">
        <v>469</v>
      </c>
      <c r="M1138" t="s">
        <v>471</v>
      </c>
      <c r="N1138" t="s">
        <v>625</v>
      </c>
      <c r="O1138" t="s">
        <v>863</v>
      </c>
      <c r="P1138" s="1">
        <f>HYPERLINK("https://ec.europa.eu/info/funding-tenders/opportunities/portal/screen/opportunities/topic-details/horizon-cl6-2023-circbio-01-12", "HORIZON-CL6-2023-CircBio-01-12")</f>
        <v>0</v>
      </c>
      <c r="Q1138" t="s">
        <v>2085</v>
      </c>
    </row>
    <row r="1139" spans="1:17">
      <c r="A1139">
        <v>45652004</v>
      </c>
      <c r="B1139">
        <v>2023</v>
      </c>
      <c r="C1139" t="s">
        <v>21</v>
      </c>
      <c r="D1139" t="s">
        <v>41</v>
      </c>
      <c r="E1139" t="s">
        <v>85</v>
      </c>
      <c r="F1139" t="s">
        <v>138</v>
      </c>
      <c r="G1139" t="s">
        <v>248</v>
      </c>
      <c r="H1139" t="s">
        <v>311</v>
      </c>
      <c r="I1139" t="s">
        <v>385</v>
      </c>
      <c r="K1139" t="s">
        <v>466</v>
      </c>
      <c r="L1139" t="s">
        <v>469</v>
      </c>
      <c r="M1139" t="s">
        <v>471</v>
      </c>
      <c r="N1139" t="s">
        <v>625</v>
      </c>
      <c r="O1139" t="s">
        <v>863</v>
      </c>
      <c r="P1139" s="1">
        <f>HYPERLINK("https://ec.europa.eu/info/funding-tenders/opportunities/portal/screen/opportunities/topic-details/horizon-cl6-2023-circbio-01-13", "HORIZON-CL6-2023-CircBio-01-13")</f>
        <v>0</v>
      </c>
      <c r="Q1139" t="s">
        <v>2086</v>
      </c>
    </row>
    <row r="1140" spans="1:17">
      <c r="A1140">
        <v>45652032</v>
      </c>
      <c r="B1140">
        <v>2023</v>
      </c>
      <c r="C1140" t="s">
        <v>21</v>
      </c>
      <c r="D1140" t="s">
        <v>41</v>
      </c>
      <c r="E1140" t="s">
        <v>85</v>
      </c>
      <c r="F1140" t="s">
        <v>138</v>
      </c>
      <c r="G1140" t="s">
        <v>248</v>
      </c>
      <c r="H1140" t="s">
        <v>311</v>
      </c>
      <c r="I1140" t="s">
        <v>385</v>
      </c>
      <c r="K1140" t="s">
        <v>466</v>
      </c>
      <c r="L1140" t="s">
        <v>469</v>
      </c>
      <c r="M1140" t="s">
        <v>471</v>
      </c>
      <c r="N1140" t="s">
        <v>625</v>
      </c>
      <c r="O1140" t="s">
        <v>863</v>
      </c>
      <c r="P1140" s="1">
        <f>HYPERLINK("https://ec.europa.eu/info/funding-tenders/opportunities/portal/screen/opportunities/topic-details/horizon-cl6-2023-circbio-01-14", "HORIZON-CL6-2023-CircBio-01-14")</f>
        <v>0</v>
      </c>
      <c r="Q1140" t="s">
        <v>2087</v>
      </c>
    </row>
    <row r="1141" spans="1:17">
      <c r="A1141">
        <v>45651418</v>
      </c>
      <c r="B1141">
        <v>2023</v>
      </c>
      <c r="C1141" t="s">
        <v>21</v>
      </c>
      <c r="D1141" t="s">
        <v>41</v>
      </c>
      <c r="E1141" t="s">
        <v>85</v>
      </c>
      <c r="F1141" t="s">
        <v>138</v>
      </c>
      <c r="G1141" t="s">
        <v>248</v>
      </c>
      <c r="H1141" t="s">
        <v>311</v>
      </c>
      <c r="I1141" t="s">
        <v>385</v>
      </c>
      <c r="K1141" t="s">
        <v>466</v>
      </c>
      <c r="L1141" t="s">
        <v>469</v>
      </c>
      <c r="M1141" t="s">
        <v>473</v>
      </c>
      <c r="N1141" t="s">
        <v>625</v>
      </c>
      <c r="O1141" t="s">
        <v>863</v>
      </c>
      <c r="P1141" s="1">
        <f>HYPERLINK("https://ec.europa.eu/info/funding-tenders/opportunities/portal/screen/opportunities/topic-details/horizon-cl6-2023-circbio-01-2", "HORIZON-CL6-2023-CircBio-01-2")</f>
        <v>0</v>
      </c>
      <c r="Q1141" t="s">
        <v>2088</v>
      </c>
    </row>
    <row r="1142" spans="1:17">
      <c r="A1142">
        <v>45651455</v>
      </c>
      <c r="B1142">
        <v>2023</v>
      </c>
      <c r="C1142" t="s">
        <v>21</v>
      </c>
      <c r="D1142" t="s">
        <v>41</v>
      </c>
      <c r="E1142" t="s">
        <v>85</v>
      </c>
      <c r="F1142" t="s">
        <v>138</v>
      </c>
      <c r="G1142" t="s">
        <v>248</v>
      </c>
      <c r="H1142" t="s">
        <v>311</v>
      </c>
      <c r="I1142" t="s">
        <v>385</v>
      </c>
      <c r="K1142" t="s">
        <v>466</v>
      </c>
      <c r="L1142" t="s">
        <v>469</v>
      </c>
      <c r="M1142" t="s">
        <v>472</v>
      </c>
      <c r="N1142" t="s">
        <v>625</v>
      </c>
      <c r="O1142" t="s">
        <v>863</v>
      </c>
      <c r="P1142" s="1">
        <f>HYPERLINK("https://ec.europa.eu/info/funding-tenders/opportunities/portal/screen/opportunities/topic-details/horizon-cl6-2023-circbio-01-3", "HORIZON-CL6-2023-CircBio-01-3")</f>
        <v>0</v>
      </c>
      <c r="Q1142" t="s">
        <v>2089</v>
      </c>
    </row>
    <row r="1143" spans="1:17">
      <c r="A1143">
        <v>45651634</v>
      </c>
      <c r="B1143">
        <v>2023</v>
      </c>
      <c r="C1143" t="s">
        <v>21</v>
      </c>
      <c r="D1143" t="s">
        <v>41</v>
      </c>
      <c r="E1143" t="s">
        <v>85</v>
      </c>
      <c r="F1143" t="s">
        <v>138</v>
      </c>
      <c r="G1143" t="s">
        <v>248</v>
      </c>
      <c r="H1143" t="s">
        <v>311</v>
      </c>
      <c r="I1143" t="s">
        <v>385</v>
      </c>
      <c r="K1143" t="s">
        <v>466</v>
      </c>
      <c r="L1143" t="s">
        <v>469</v>
      </c>
      <c r="M1143" t="s">
        <v>471</v>
      </c>
      <c r="N1143" t="s">
        <v>625</v>
      </c>
      <c r="O1143" t="s">
        <v>863</v>
      </c>
      <c r="P1143" s="1">
        <f>HYPERLINK("https://ec.europa.eu/info/funding-tenders/opportunities/portal/screen/opportunities/topic-details/horizon-cl6-2023-circbio-01-4", "HORIZON-CL6-2023-CircBio-01-4")</f>
        <v>0</v>
      </c>
      <c r="Q1143" t="s">
        <v>2090</v>
      </c>
    </row>
    <row r="1144" spans="1:17">
      <c r="A1144">
        <v>45651675</v>
      </c>
      <c r="B1144">
        <v>2023</v>
      </c>
      <c r="C1144" t="s">
        <v>21</v>
      </c>
      <c r="D1144" t="s">
        <v>41</v>
      </c>
      <c r="E1144" t="s">
        <v>85</v>
      </c>
      <c r="F1144" t="s">
        <v>138</v>
      </c>
      <c r="G1144" t="s">
        <v>248</v>
      </c>
      <c r="H1144" t="s">
        <v>311</v>
      </c>
      <c r="I1144" t="s">
        <v>385</v>
      </c>
      <c r="K1144" t="s">
        <v>466</v>
      </c>
      <c r="L1144" t="s">
        <v>469</v>
      </c>
      <c r="M1144" t="s">
        <v>473</v>
      </c>
      <c r="N1144" t="s">
        <v>625</v>
      </c>
      <c r="O1144" t="s">
        <v>863</v>
      </c>
      <c r="P1144" s="1">
        <f>HYPERLINK("https://ec.europa.eu/info/funding-tenders/opportunities/portal/screen/opportunities/topic-details/horizon-cl6-2023-circbio-01-5", "HORIZON-CL6-2023-CircBio-01-5")</f>
        <v>0</v>
      </c>
      <c r="Q1144" t="s">
        <v>2091</v>
      </c>
    </row>
    <row r="1145" spans="1:17">
      <c r="A1145">
        <v>45651733</v>
      </c>
      <c r="B1145">
        <v>2023</v>
      </c>
      <c r="C1145" t="s">
        <v>21</v>
      </c>
      <c r="D1145" t="s">
        <v>41</v>
      </c>
      <c r="E1145" t="s">
        <v>85</v>
      </c>
      <c r="F1145" t="s">
        <v>138</v>
      </c>
      <c r="G1145" t="s">
        <v>248</v>
      </c>
      <c r="H1145" t="s">
        <v>311</v>
      </c>
      <c r="I1145" t="s">
        <v>385</v>
      </c>
      <c r="K1145" t="s">
        <v>466</v>
      </c>
      <c r="L1145" t="s">
        <v>469</v>
      </c>
      <c r="M1145" t="s">
        <v>472</v>
      </c>
      <c r="N1145" t="s">
        <v>625</v>
      </c>
      <c r="O1145" t="s">
        <v>863</v>
      </c>
      <c r="P1145" s="1">
        <f>HYPERLINK("https://ec.europa.eu/info/funding-tenders/opportunities/portal/screen/opportunities/topic-details/horizon-cl6-2023-circbio-01-6", "HORIZON-CL6-2023-CircBio-01-6")</f>
        <v>0</v>
      </c>
      <c r="Q1145" t="s">
        <v>2092</v>
      </c>
    </row>
    <row r="1146" spans="1:17">
      <c r="A1146">
        <v>45651804</v>
      </c>
      <c r="B1146">
        <v>2023</v>
      </c>
      <c r="C1146" t="s">
        <v>21</v>
      </c>
      <c r="D1146" t="s">
        <v>41</v>
      </c>
      <c r="E1146" t="s">
        <v>85</v>
      </c>
      <c r="F1146" t="s">
        <v>138</v>
      </c>
      <c r="G1146" t="s">
        <v>248</v>
      </c>
      <c r="H1146" t="s">
        <v>311</v>
      </c>
      <c r="I1146" t="s">
        <v>385</v>
      </c>
      <c r="K1146" t="s">
        <v>466</v>
      </c>
      <c r="L1146" t="s">
        <v>469</v>
      </c>
      <c r="M1146" t="s">
        <v>472</v>
      </c>
      <c r="N1146" t="s">
        <v>625</v>
      </c>
      <c r="O1146" t="s">
        <v>863</v>
      </c>
      <c r="P1146" s="1">
        <f>HYPERLINK("https://ec.europa.eu/info/funding-tenders/opportunities/portal/screen/opportunities/topic-details/horizon-cl6-2023-circbio-01-7", "HORIZON-CL6-2023-CircBio-01-7")</f>
        <v>0</v>
      </c>
      <c r="Q1146" t="s">
        <v>2093</v>
      </c>
    </row>
    <row r="1147" spans="1:17">
      <c r="A1147">
        <v>45651867</v>
      </c>
      <c r="B1147">
        <v>2023</v>
      </c>
      <c r="C1147" t="s">
        <v>21</v>
      </c>
      <c r="D1147" t="s">
        <v>41</v>
      </c>
      <c r="E1147" t="s">
        <v>85</v>
      </c>
      <c r="F1147" t="s">
        <v>138</v>
      </c>
      <c r="G1147" t="s">
        <v>248</v>
      </c>
      <c r="H1147" t="s">
        <v>311</v>
      </c>
      <c r="I1147" t="s">
        <v>385</v>
      </c>
      <c r="K1147" t="s">
        <v>466</v>
      </c>
      <c r="L1147" t="s">
        <v>469</v>
      </c>
      <c r="M1147" t="s">
        <v>473</v>
      </c>
      <c r="N1147" t="s">
        <v>625</v>
      </c>
      <c r="O1147" t="s">
        <v>863</v>
      </c>
      <c r="P1147" s="1">
        <f>HYPERLINK("https://ec.europa.eu/info/funding-tenders/opportunities/portal/screen/opportunities/topic-details/horizon-cl6-2023-circbio-01-8", "HORIZON-CL6-2023-CircBio-01-8")</f>
        <v>0</v>
      </c>
      <c r="Q1147" t="s">
        <v>2094</v>
      </c>
    </row>
    <row r="1148" spans="1:17">
      <c r="A1148">
        <v>45651910</v>
      </c>
      <c r="B1148">
        <v>2023</v>
      </c>
      <c r="C1148" t="s">
        <v>21</v>
      </c>
      <c r="D1148" t="s">
        <v>41</v>
      </c>
      <c r="E1148" t="s">
        <v>85</v>
      </c>
      <c r="F1148" t="s">
        <v>138</v>
      </c>
      <c r="G1148" t="s">
        <v>248</v>
      </c>
      <c r="H1148" t="s">
        <v>311</v>
      </c>
      <c r="I1148" t="s">
        <v>385</v>
      </c>
      <c r="K1148" t="s">
        <v>466</v>
      </c>
      <c r="L1148" t="s">
        <v>469</v>
      </c>
      <c r="M1148" t="s">
        <v>471</v>
      </c>
      <c r="N1148" t="s">
        <v>625</v>
      </c>
      <c r="O1148" t="s">
        <v>863</v>
      </c>
      <c r="P1148" s="1">
        <f>HYPERLINK("https://ec.europa.eu/info/funding-tenders/opportunities/portal/screen/opportunities/topic-details/horizon-cl6-2023-circbio-01-9", "HORIZON-CL6-2023-CircBio-01-9")</f>
        <v>0</v>
      </c>
      <c r="Q1148" t="s">
        <v>2095</v>
      </c>
    </row>
    <row r="1149" spans="1:17">
      <c r="A1149">
        <v>45651134</v>
      </c>
      <c r="B1149">
        <v>2023</v>
      </c>
      <c r="C1149" t="s">
        <v>21</v>
      </c>
      <c r="D1149" t="s">
        <v>41</v>
      </c>
      <c r="E1149" t="s">
        <v>85</v>
      </c>
      <c r="F1149" t="s">
        <v>148</v>
      </c>
      <c r="G1149" t="s">
        <v>248</v>
      </c>
      <c r="H1149" t="s">
        <v>311</v>
      </c>
      <c r="I1149" t="s">
        <v>385</v>
      </c>
      <c r="J1149" t="s">
        <v>462</v>
      </c>
      <c r="K1149" t="s">
        <v>466</v>
      </c>
      <c r="L1149" t="s">
        <v>470</v>
      </c>
      <c r="M1149" t="s">
        <v>473</v>
      </c>
      <c r="N1149" t="s">
        <v>626</v>
      </c>
      <c r="O1149" t="s">
        <v>863</v>
      </c>
      <c r="P1149" s="1">
        <f>HYPERLINK("https://ec.europa.eu/info/funding-tenders/opportunities/portal/screen/opportunities/topic-details/horizon-cl6-2023-circbio-02-1-two-stage", "HORIZON-CL6-2023-CircBio-02-1-two-stage")</f>
        <v>0</v>
      </c>
      <c r="Q1149" t="s">
        <v>1894</v>
      </c>
    </row>
    <row r="1150" spans="1:17">
      <c r="A1150">
        <v>45651329</v>
      </c>
      <c r="B1150">
        <v>2023</v>
      </c>
      <c r="C1150" t="s">
        <v>21</v>
      </c>
      <c r="D1150" t="s">
        <v>41</v>
      </c>
      <c r="E1150" t="s">
        <v>85</v>
      </c>
      <c r="F1150" t="s">
        <v>148</v>
      </c>
      <c r="G1150" t="s">
        <v>248</v>
      </c>
      <c r="H1150" t="s">
        <v>311</v>
      </c>
      <c r="I1150" t="s">
        <v>385</v>
      </c>
      <c r="J1150" t="s">
        <v>462</v>
      </c>
      <c r="K1150" t="s">
        <v>466</v>
      </c>
      <c r="L1150" t="s">
        <v>470</v>
      </c>
      <c r="M1150" t="s">
        <v>473</v>
      </c>
      <c r="N1150" t="s">
        <v>626</v>
      </c>
      <c r="O1150" t="s">
        <v>863</v>
      </c>
      <c r="P1150" s="1">
        <f>HYPERLINK("https://ec.europa.eu/info/funding-tenders/opportunities/portal/screen/opportunities/topic-details/horizon-cl6-2023-circbio-02-2-two-stage", "HORIZON-CL6-2023-CircBio-02-2-two-stage")</f>
        <v>0</v>
      </c>
      <c r="Q1150" t="s">
        <v>2096</v>
      </c>
    </row>
    <row r="1151" spans="1:17">
      <c r="A1151">
        <v>45651573</v>
      </c>
      <c r="B1151">
        <v>2023</v>
      </c>
      <c r="C1151" t="s">
        <v>21</v>
      </c>
      <c r="D1151" t="s">
        <v>41</v>
      </c>
      <c r="E1151" t="s">
        <v>85</v>
      </c>
      <c r="F1151" t="s">
        <v>148</v>
      </c>
      <c r="G1151" t="s">
        <v>248</v>
      </c>
      <c r="H1151" t="s">
        <v>311</v>
      </c>
      <c r="I1151" t="s">
        <v>385</v>
      </c>
      <c r="J1151" t="s">
        <v>462</v>
      </c>
      <c r="K1151" t="s">
        <v>466</v>
      </c>
      <c r="L1151" t="s">
        <v>470</v>
      </c>
      <c r="M1151" t="s">
        <v>471</v>
      </c>
      <c r="N1151" t="s">
        <v>626</v>
      </c>
      <c r="O1151" t="s">
        <v>863</v>
      </c>
      <c r="P1151" s="1">
        <f>HYPERLINK("https://ec.europa.eu/info/funding-tenders/opportunities/portal/screen/opportunities/topic-details/horizon-cl6-2023-circbio-02-3-two-stage", "HORIZON-CL6-2023-CircBio-02-3-two-stage")</f>
        <v>0</v>
      </c>
      <c r="Q1151" t="s">
        <v>2097</v>
      </c>
    </row>
    <row r="1152" spans="1:17">
      <c r="A1152">
        <v>45652694</v>
      </c>
      <c r="B1152">
        <v>2023</v>
      </c>
      <c r="C1152" t="s">
        <v>21</v>
      </c>
      <c r="D1152" t="s">
        <v>41</v>
      </c>
      <c r="E1152" t="s">
        <v>85</v>
      </c>
      <c r="F1152" t="s">
        <v>141</v>
      </c>
      <c r="G1152" t="s">
        <v>248</v>
      </c>
      <c r="H1152" t="s">
        <v>311</v>
      </c>
      <c r="I1152" t="s">
        <v>406</v>
      </c>
      <c r="K1152" t="s">
        <v>466</v>
      </c>
      <c r="L1152" t="s">
        <v>469</v>
      </c>
      <c r="M1152" t="s">
        <v>476</v>
      </c>
      <c r="N1152" t="s">
        <v>627</v>
      </c>
      <c r="O1152" t="s">
        <v>866</v>
      </c>
      <c r="P1152" s="1">
        <f>HYPERLINK("https://ec.europa.eu/info/funding-tenders/opportunities/portal/screen/opportunities/topic-details/horizon-cl6-2023-farm2fork-01-1", "HORIZON-CL6-2023-FARM2FORK-01-1")</f>
        <v>0</v>
      </c>
      <c r="Q1152" t="s">
        <v>2098</v>
      </c>
    </row>
    <row r="1153" spans="1:17">
      <c r="A1153">
        <v>45653046</v>
      </c>
      <c r="B1153">
        <v>2023</v>
      </c>
      <c r="C1153" t="s">
        <v>21</v>
      </c>
      <c r="D1153" t="s">
        <v>41</v>
      </c>
      <c r="E1153" t="s">
        <v>85</v>
      </c>
      <c r="F1153" t="s">
        <v>141</v>
      </c>
      <c r="G1153" t="s">
        <v>248</v>
      </c>
      <c r="H1153" t="s">
        <v>311</v>
      </c>
      <c r="I1153" t="s">
        <v>406</v>
      </c>
      <c r="K1153" t="s">
        <v>466</v>
      </c>
      <c r="L1153" t="s">
        <v>469</v>
      </c>
      <c r="M1153" t="s">
        <v>471</v>
      </c>
      <c r="N1153" t="s">
        <v>627</v>
      </c>
      <c r="O1153" t="s">
        <v>866</v>
      </c>
      <c r="P1153" s="1">
        <f>HYPERLINK("https://ec.europa.eu/info/funding-tenders/opportunities/portal/screen/opportunities/topic-details/horizon-cl6-2023-farm2fork-01-10", "HORIZON-CL6-2023-FARM2FORK-01-10")</f>
        <v>0</v>
      </c>
      <c r="Q1153" t="s">
        <v>2099</v>
      </c>
    </row>
    <row r="1154" spans="1:17">
      <c r="A1154">
        <v>45653115</v>
      </c>
      <c r="B1154">
        <v>2023</v>
      </c>
      <c r="C1154" t="s">
        <v>21</v>
      </c>
      <c r="D1154" t="s">
        <v>41</v>
      </c>
      <c r="E1154" t="s">
        <v>85</v>
      </c>
      <c r="F1154" t="s">
        <v>141</v>
      </c>
      <c r="G1154" t="s">
        <v>248</v>
      </c>
      <c r="H1154" t="s">
        <v>311</v>
      </c>
      <c r="I1154" t="s">
        <v>406</v>
      </c>
      <c r="K1154" t="s">
        <v>466</v>
      </c>
      <c r="L1154" t="s">
        <v>469</v>
      </c>
      <c r="M1154" t="s">
        <v>471</v>
      </c>
      <c r="N1154" t="s">
        <v>627</v>
      </c>
      <c r="O1154" t="s">
        <v>866</v>
      </c>
      <c r="P1154" s="1">
        <f>HYPERLINK("https://ec.europa.eu/info/funding-tenders/opportunities/portal/screen/opportunities/topic-details/horizon-cl6-2023-farm2fork-01-11", "HORIZON-CL6-2023-FARM2FORK-01-11")</f>
        <v>0</v>
      </c>
      <c r="Q1154" t="s">
        <v>2100</v>
      </c>
    </row>
    <row r="1155" spans="1:17">
      <c r="A1155">
        <v>45653165</v>
      </c>
      <c r="B1155">
        <v>2023</v>
      </c>
      <c r="C1155" t="s">
        <v>21</v>
      </c>
      <c r="D1155" t="s">
        <v>41</v>
      </c>
      <c r="E1155" t="s">
        <v>85</v>
      </c>
      <c r="F1155" t="s">
        <v>141</v>
      </c>
      <c r="G1155" t="s">
        <v>248</v>
      </c>
      <c r="H1155" t="s">
        <v>311</v>
      </c>
      <c r="I1155" t="s">
        <v>406</v>
      </c>
      <c r="K1155" t="s">
        <v>466</v>
      </c>
      <c r="L1155" t="s">
        <v>469</v>
      </c>
      <c r="M1155" t="s">
        <v>472</v>
      </c>
      <c r="N1155" t="s">
        <v>627</v>
      </c>
      <c r="O1155" t="s">
        <v>866</v>
      </c>
      <c r="P1155" s="1">
        <f>HYPERLINK("https://ec.europa.eu/info/funding-tenders/opportunities/portal/screen/opportunities/topic-details/horizon-cl6-2023-farm2fork-01-12", "HORIZON-CL6-2023-FARM2FORK-01-12")</f>
        <v>0</v>
      </c>
      <c r="Q1155" t="s">
        <v>2101</v>
      </c>
    </row>
    <row r="1156" spans="1:17">
      <c r="A1156">
        <v>45653223</v>
      </c>
      <c r="B1156">
        <v>2023</v>
      </c>
      <c r="C1156" t="s">
        <v>21</v>
      </c>
      <c r="D1156" t="s">
        <v>41</v>
      </c>
      <c r="E1156" t="s">
        <v>85</v>
      </c>
      <c r="F1156" t="s">
        <v>141</v>
      </c>
      <c r="G1156" t="s">
        <v>248</v>
      </c>
      <c r="H1156" t="s">
        <v>311</v>
      </c>
      <c r="I1156" t="s">
        <v>406</v>
      </c>
      <c r="K1156" t="s">
        <v>466</v>
      </c>
      <c r="L1156" t="s">
        <v>469</v>
      </c>
      <c r="M1156" t="s">
        <v>471</v>
      </c>
      <c r="N1156" t="s">
        <v>627</v>
      </c>
      <c r="O1156" t="s">
        <v>866</v>
      </c>
      <c r="P1156" s="1">
        <f>HYPERLINK("https://ec.europa.eu/info/funding-tenders/opportunities/portal/screen/opportunities/topic-details/horizon-cl6-2023-farm2fork-01-13", "HORIZON-CL6-2023-FARM2FORK-01-13")</f>
        <v>0</v>
      </c>
      <c r="Q1156" t="s">
        <v>2102</v>
      </c>
    </row>
    <row r="1157" spans="1:17">
      <c r="A1157">
        <v>45653312</v>
      </c>
      <c r="B1157">
        <v>2023</v>
      </c>
      <c r="C1157" t="s">
        <v>21</v>
      </c>
      <c r="D1157" t="s">
        <v>41</v>
      </c>
      <c r="E1157" t="s">
        <v>85</v>
      </c>
      <c r="F1157" t="s">
        <v>141</v>
      </c>
      <c r="G1157" t="s">
        <v>248</v>
      </c>
      <c r="H1157" t="s">
        <v>311</v>
      </c>
      <c r="I1157" t="s">
        <v>406</v>
      </c>
      <c r="K1157" t="s">
        <v>466</v>
      </c>
      <c r="L1157" t="s">
        <v>469</v>
      </c>
      <c r="M1157" t="s">
        <v>471</v>
      </c>
      <c r="N1157" t="s">
        <v>627</v>
      </c>
      <c r="O1157" t="s">
        <v>866</v>
      </c>
      <c r="P1157" s="1">
        <f>HYPERLINK("https://ec.europa.eu/info/funding-tenders/opportunities/portal/screen/opportunities/topic-details/horizon-cl6-2023-farm2fork-01-14", "HORIZON-CL6-2023-FARM2FORK-01-14")</f>
        <v>0</v>
      </c>
      <c r="Q1157" t="s">
        <v>2103</v>
      </c>
    </row>
    <row r="1158" spans="1:17">
      <c r="A1158">
        <v>45652990</v>
      </c>
      <c r="B1158">
        <v>2023</v>
      </c>
      <c r="C1158" t="s">
        <v>21</v>
      </c>
      <c r="D1158" t="s">
        <v>41</v>
      </c>
      <c r="E1158" t="s">
        <v>85</v>
      </c>
      <c r="F1158" t="s">
        <v>141</v>
      </c>
      <c r="G1158" t="s">
        <v>248</v>
      </c>
      <c r="H1158" t="s">
        <v>311</v>
      </c>
      <c r="I1158" t="s">
        <v>406</v>
      </c>
      <c r="K1158" t="s">
        <v>466</v>
      </c>
      <c r="L1158" t="s">
        <v>469</v>
      </c>
      <c r="M1158" t="s">
        <v>471</v>
      </c>
      <c r="N1158" t="s">
        <v>627</v>
      </c>
      <c r="O1158" t="s">
        <v>866</v>
      </c>
      <c r="P1158" s="1">
        <f>HYPERLINK("https://ec.europa.eu/info/funding-tenders/opportunities/portal/screen/opportunities/topic-details/horizon-cl6-2023-farm2fork-01-15", "HORIZON-CL6-2023-FARM2FORK-01-15")</f>
        <v>0</v>
      </c>
      <c r="Q1158" t="s">
        <v>2104</v>
      </c>
    </row>
    <row r="1159" spans="1:17">
      <c r="A1159">
        <v>45653397</v>
      </c>
      <c r="B1159">
        <v>2023</v>
      </c>
      <c r="C1159" t="s">
        <v>21</v>
      </c>
      <c r="D1159" t="s">
        <v>41</v>
      </c>
      <c r="E1159" t="s">
        <v>85</v>
      </c>
      <c r="F1159" t="s">
        <v>141</v>
      </c>
      <c r="G1159" t="s">
        <v>248</v>
      </c>
      <c r="H1159" t="s">
        <v>311</v>
      </c>
      <c r="I1159" t="s">
        <v>406</v>
      </c>
      <c r="K1159" t="s">
        <v>466</v>
      </c>
      <c r="L1159" t="s">
        <v>469</v>
      </c>
      <c r="M1159" t="s">
        <v>473</v>
      </c>
      <c r="N1159" t="s">
        <v>627</v>
      </c>
      <c r="O1159" t="s">
        <v>866</v>
      </c>
      <c r="P1159" s="1">
        <f>HYPERLINK("https://ec.europa.eu/info/funding-tenders/opportunities/portal/screen/opportunities/topic-details/horizon-cl6-2023-farm2fork-01-16", "HORIZON-CL6-2023-FARM2FORK-01-16")</f>
        <v>0</v>
      </c>
      <c r="Q1159" t="s">
        <v>2105</v>
      </c>
    </row>
    <row r="1160" spans="1:17">
      <c r="A1160">
        <v>45653497</v>
      </c>
      <c r="B1160">
        <v>2023</v>
      </c>
      <c r="C1160" t="s">
        <v>21</v>
      </c>
      <c r="D1160" t="s">
        <v>41</v>
      </c>
      <c r="E1160" t="s">
        <v>85</v>
      </c>
      <c r="F1160" t="s">
        <v>141</v>
      </c>
      <c r="G1160" t="s">
        <v>248</v>
      </c>
      <c r="H1160" t="s">
        <v>311</v>
      </c>
      <c r="I1160" t="s">
        <v>406</v>
      </c>
      <c r="K1160" t="s">
        <v>466</v>
      </c>
      <c r="L1160" t="s">
        <v>469</v>
      </c>
      <c r="M1160" t="s">
        <v>472</v>
      </c>
      <c r="N1160" t="s">
        <v>627</v>
      </c>
      <c r="O1160" t="s">
        <v>866</v>
      </c>
      <c r="P1160" s="1">
        <f>HYPERLINK("https://ec.europa.eu/info/funding-tenders/opportunities/portal/screen/opportunities/topic-details/horizon-cl6-2023-farm2fork-01-17", "HORIZON-CL6-2023-FARM2FORK-01-17")</f>
        <v>0</v>
      </c>
      <c r="Q1160" t="s">
        <v>2106</v>
      </c>
    </row>
    <row r="1161" spans="1:17">
      <c r="A1161">
        <v>45653544</v>
      </c>
      <c r="B1161">
        <v>2023</v>
      </c>
      <c r="C1161" t="s">
        <v>21</v>
      </c>
      <c r="D1161" t="s">
        <v>41</v>
      </c>
      <c r="E1161" t="s">
        <v>85</v>
      </c>
      <c r="F1161" t="s">
        <v>141</v>
      </c>
      <c r="G1161" t="s">
        <v>248</v>
      </c>
      <c r="H1161" t="s">
        <v>311</v>
      </c>
      <c r="I1161" t="s">
        <v>406</v>
      </c>
      <c r="K1161" t="s">
        <v>466</v>
      </c>
      <c r="L1161" t="s">
        <v>469</v>
      </c>
      <c r="M1161" t="s">
        <v>472</v>
      </c>
      <c r="N1161" t="s">
        <v>627</v>
      </c>
      <c r="O1161" t="s">
        <v>866</v>
      </c>
      <c r="P1161" s="1">
        <f>HYPERLINK("https://ec.europa.eu/info/funding-tenders/opportunities/portal/screen/opportunities/topic-details/horizon-cl6-2023-farm2fork-01-18", "HORIZON-CL6-2023-FARM2FORK-01-18")</f>
        <v>0</v>
      </c>
      <c r="Q1161" t="s">
        <v>2107</v>
      </c>
    </row>
    <row r="1162" spans="1:17">
      <c r="A1162">
        <v>45653587</v>
      </c>
      <c r="B1162">
        <v>2023</v>
      </c>
      <c r="C1162" t="s">
        <v>21</v>
      </c>
      <c r="D1162" t="s">
        <v>41</v>
      </c>
      <c r="E1162" t="s">
        <v>85</v>
      </c>
      <c r="F1162" t="s">
        <v>141</v>
      </c>
      <c r="G1162" t="s">
        <v>248</v>
      </c>
      <c r="H1162" t="s">
        <v>311</v>
      </c>
      <c r="I1162" t="s">
        <v>406</v>
      </c>
      <c r="K1162" t="s">
        <v>466</v>
      </c>
      <c r="L1162" t="s">
        <v>469</v>
      </c>
      <c r="M1162" t="s">
        <v>473</v>
      </c>
      <c r="N1162" t="s">
        <v>627</v>
      </c>
      <c r="O1162" t="s">
        <v>866</v>
      </c>
      <c r="P1162" s="1">
        <f>HYPERLINK("https://ec.europa.eu/info/funding-tenders/opportunities/portal/screen/opportunities/topic-details/horizon-cl6-2023-farm2fork-01-19", "HORIZON-CL6-2023-FARM2FORK-01-19")</f>
        <v>0</v>
      </c>
      <c r="Q1162" t="s">
        <v>2108</v>
      </c>
    </row>
    <row r="1163" spans="1:17">
      <c r="A1163">
        <v>45652741</v>
      </c>
      <c r="B1163">
        <v>2023</v>
      </c>
      <c r="C1163" t="s">
        <v>21</v>
      </c>
      <c r="D1163" t="s">
        <v>41</v>
      </c>
      <c r="E1163" t="s">
        <v>85</v>
      </c>
      <c r="F1163" t="s">
        <v>141</v>
      </c>
      <c r="G1163" t="s">
        <v>248</v>
      </c>
      <c r="H1163" t="s">
        <v>311</v>
      </c>
      <c r="I1163" t="s">
        <v>406</v>
      </c>
      <c r="K1163" t="s">
        <v>466</v>
      </c>
      <c r="L1163" t="s">
        <v>469</v>
      </c>
      <c r="M1163" t="s">
        <v>476</v>
      </c>
      <c r="N1163" t="s">
        <v>627</v>
      </c>
      <c r="O1163" t="s">
        <v>866</v>
      </c>
      <c r="P1163" s="1">
        <f>HYPERLINK("https://ec.europa.eu/info/funding-tenders/opportunities/portal/screen/opportunities/topic-details/horizon-cl6-2023-farm2fork-01-2", "HORIZON-CL6-2023-FARM2FORK-01-2")</f>
        <v>0</v>
      </c>
      <c r="Q1163" t="s">
        <v>2109</v>
      </c>
    </row>
    <row r="1164" spans="1:17">
      <c r="A1164">
        <v>45653635</v>
      </c>
      <c r="B1164">
        <v>2023</v>
      </c>
      <c r="C1164" t="s">
        <v>21</v>
      </c>
      <c r="D1164" t="s">
        <v>41</v>
      </c>
      <c r="E1164" t="s">
        <v>85</v>
      </c>
      <c r="F1164" t="s">
        <v>141</v>
      </c>
      <c r="G1164" t="s">
        <v>248</v>
      </c>
      <c r="H1164" t="s">
        <v>311</v>
      </c>
      <c r="I1164" t="s">
        <v>406</v>
      </c>
      <c r="K1164" t="s">
        <v>466</v>
      </c>
      <c r="L1164" t="s">
        <v>469</v>
      </c>
      <c r="M1164" t="s">
        <v>471</v>
      </c>
      <c r="N1164" t="s">
        <v>627</v>
      </c>
      <c r="O1164" t="s">
        <v>866</v>
      </c>
      <c r="P1164" s="1">
        <f>HYPERLINK("https://ec.europa.eu/info/funding-tenders/opportunities/portal/screen/opportunities/topic-details/horizon-cl6-2023-farm2fork-01-20", "HORIZON-CL6-2023-FARM2FORK-01-20")</f>
        <v>0</v>
      </c>
      <c r="Q1164" t="s">
        <v>2110</v>
      </c>
    </row>
    <row r="1165" spans="1:17">
      <c r="A1165">
        <v>45653700</v>
      </c>
      <c r="B1165">
        <v>2023</v>
      </c>
      <c r="C1165" t="s">
        <v>21</v>
      </c>
      <c r="D1165" t="s">
        <v>41</v>
      </c>
      <c r="E1165" t="s">
        <v>85</v>
      </c>
      <c r="F1165" t="s">
        <v>141</v>
      </c>
      <c r="G1165" t="s">
        <v>248</v>
      </c>
      <c r="H1165" t="s">
        <v>311</v>
      </c>
      <c r="I1165" t="s">
        <v>406</v>
      </c>
      <c r="K1165" t="s">
        <v>466</v>
      </c>
      <c r="L1165" t="s">
        <v>469</v>
      </c>
      <c r="M1165" t="s">
        <v>472</v>
      </c>
      <c r="N1165" t="s">
        <v>627</v>
      </c>
      <c r="O1165" t="s">
        <v>866</v>
      </c>
      <c r="P1165" s="1">
        <f>HYPERLINK("https://ec.europa.eu/info/funding-tenders/opportunities/portal/screen/opportunities/topic-details/horizon-cl6-2023-farm2fork-01-3", "HORIZON-CL6-2023-FARM2FORK-01-3")</f>
        <v>0</v>
      </c>
      <c r="Q1165" t="s">
        <v>2111</v>
      </c>
    </row>
    <row r="1166" spans="1:17">
      <c r="A1166">
        <v>45649685</v>
      </c>
      <c r="B1166">
        <v>2023</v>
      </c>
      <c r="C1166" t="s">
        <v>21</v>
      </c>
      <c r="D1166" t="s">
        <v>41</v>
      </c>
      <c r="E1166" t="s">
        <v>85</v>
      </c>
      <c r="F1166" t="s">
        <v>141</v>
      </c>
      <c r="G1166" t="s">
        <v>248</v>
      </c>
      <c r="H1166" t="s">
        <v>311</v>
      </c>
      <c r="I1166" t="s">
        <v>406</v>
      </c>
      <c r="K1166" t="s">
        <v>466</v>
      </c>
      <c r="L1166" t="s">
        <v>469</v>
      </c>
      <c r="M1166" t="s">
        <v>472</v>
      </c>
      <c r="N1166" t="s">
        <v>627</v>
      </c>
      <c r="O1166" t="s">
        <v>866</v>
      </c>
      <c r="P1166" s="1">
        <f>HYPERLINK("https://ec.europa.eu/info/funding-tenders/opportunities/portal/screen/opportunities/topic-details/horizon-cl6-2023-farm2fork-01-4", "HORIZON-CL6-2023-FARM2FORK-01-4")</f>
        <v>0</v>
      </c>
      <c r="Q1166" t="s">
        <v>2112</v>
      </c>
    </row>
    <row r="1167" spans="1:17">
      <c r="A1167">
        <v>45652831</v>
      </c>
      <c r="B1167">
        <v>2023</v>
      </c>
      <c r="C1167" t="s">
        <v>21</v>
      </c>
      <c r="D1167" t="s">
        <v>41</v>
      </c>
      <c r="E1167" t="s">
        <v>85</v>
      </c>
      <c r="F1167" t="s">
        <v>141</v>
      </c>
      <c r="G1167" t="s">
        <v>248</v>
      </c>
      <c r="H1167" t="s">
        <v>311</v>
      </c>
      <c r="I1167" t="s">
        <v>406</v>
      </c>
      <c r="K1167" t="s">
        <v>466</v>
      </c>
      <c r="L1167" t="s">
        <v>469</v>
      </c>
      <c r="M1167" t="s">
        <v>471</v>
      </c>
      <c r="N1167" t="s">
        <v>627</v>
      </c>
      <c r="O1167" t="s">
        <v>866</v>
      </c>
      <c r="P1167" s="1">
        <f>HYPERLINK("https://ec.europa.eu/info/funding-tenders/opportunities/portal/screen/opportunities/topic-details/horizon-cl6-2023-farm2fork-01-5", "HORIZON-CL6-2023-FARM2FORK-01-5")</f>
        <v>0</v>
      </c>
      <c r="Q1167" t="s">
        <v>2113</v>
      </c>
    </row>
    <row r="1168" spans="1:17">
      <c r="A1168">
        <v>45652864</v>
      </c>
      <c r="B1168">
        <v>2023</v>
      </c>
      <c r="C1168" t="s">
        <v>21</v>
      </c>
      <c r="D1168" t="s">
        <v>41</v>
      </c>
      <c r="E1168" t="s">
        <v>85</v>
      </c>
      <c r="F1168" t="s">
        <v>141</v>
      </c>
      <c r="G1168" t="s">
        <v>248</v>
      </c>
      <c r="H1168" t="s">
        <v>311</v>
      </c>
      <c r="I1168" t="s">
        <v>406</v>
      </c>
      <c r="K1168" t="s">
        <v>466</v>
      </c>
      <c r="L1168" t="s">
        <v>469</v>
      </c>
      <c r="M1168" t="s">
        <v>471</v>
      </c>
      <c r="N1168" t="s">
        <v>627</v>
      </c>
      <c r="O1168" t="s">
        <v>866</v>
      </c>
      <c r="P1168" s="1">
        <f>HYPERLINK("https://ec.europa.eu/info/funding-tenders/opportunities/portal/screen/opportunities/topic-details/horizon-cl6-2023-farm2fork-01-6", "HORIZON-CL6-2023-FARM2FORK-01-6")</f>
        <v>0</v>
      </c>
      <c r="Q1168" t="s">
        <v>2114</v>
      </c>
    </row>
    <row r="1169" spans="1:17">
      <c r="A1169">
        <v>45652793</v>
      </c>
      <c r="B1169">
        <v>2023</v>
      </c>
      <c r="C1169" t="s">
        <v>21</v>
      </c>
      <c r="D1169" t="s">
        <v>41</v>
      </c>
      <c r="E1169" t="s">
        <v>85</v>
      </c>
      <c r="F1169" t="s">
        <v>141</v>
      </c>
      <c r="G1169" t="s">
        <v>248</v>
      </c>
      <c r="H1169" t="s">
        <v>311</v>
      </c>
      <c r="I1169" t="s">
        <v>406</v>
      </c>
      <c r="K1169" t="s">
        <v>466</v>
      </c>
      <c r="L1169" t="s">
        <v>469</v>
      </c>
      <c r="M1169" t="s">
        <v>473</v>
      </c>
      <c r="N1169" t="s">
        <v>627</v>
      </c>
      <c r="O1169" t="s">
        <v>866</v>
      </c>
      <c r="P1169" s="1">
        <f>HYPERLINK("https://ec.europa.eu/info/funding-tenders/opportunities/portal/screen/opportunities/topic-details/horizon-cl6-2023-farm2fork-01-7", "HORIZON-CL6-2023-FARM2FORK-01-7")</f>
        <v>0</v>
      </c>
      <c r="Q1169" t="s">
        <v>2115</v>
      </c>
    </row>
    <row r="1170" spans="1:17">
      <c r="A1170">
        <v>45652899</v>
      </c>
      <c r="B1170">
        <v>2023</v>
      </c>
      <c r="C1170" t="s">
        <v>21</v>
      </c>
      <c r="D1170" t="s">
        <v>41</v>
      </c>
      <c r="E1170" t="s">
        <v>85</v>
      </c>
      <c r="F1170" t="s">
        <v>141</v>
      </c>
      <c r="G1170" t="s">
        <v>248</v>
      </c>
      <c r="H1170" t="s">
        <v>311</v>
      </c>
      <c r="I1170" t="s">
        <v>406</v>
      </c>
      <c r="K1170" t="s">
        <v>466</v>
      </c>
      <c r="L1170" t="s">
        <v>469</v>
      </c>
      <c r="M1170" t="s">
        <v>473</v>
      </c>
      <c r="N1170" t="s">
        <v>627</v>
      </c>
      <c r="O1170" t="s">
        <v>866</v>
      </c>
      <c r="P1170" s="1">
        <f>HYPERLINK("https://ec.europa.eu/info/funding-tenders/opportunities/portal/screen/opportunities/topic-details/horizon-cl6-2023-farm2fork-01-8", "HORIZON-CL6-2023-FARM2FORK-01-8")</f>
        <v>0</v>
      </c>
      <c r="Q1170" t="s">
        <v>2116</v>
      </c>
    </row>
    <row r="1171" spans="1:17">
      <c r="A1171">
        <v>45652931</v>
      </c>
      <c r="B1171">
        <v>2023</v>
      </c>
      <c r="C1171" t="s">
        <v>21</v>
      </c>
      <c r="D1171" t="s">
        <v>41</v>
      </c>
      <c r="E1171" t="s">
        <v>85</v>
      </c>
      <c r="F1171" t="s">
        <v>141</v>
      </c>
      <c r="G1171" t="s">
        <v>248</v>
      </c>
      <c r="H1171" t="s">
        <v>311</v>
      </c>
      <c r="I1171" t="s">
        <v>406</v>
      </c>
      <c r="K1171" t="s">
        <v>466</v>
      </c>
      <c r="L1171" t="s">
        <v>469</v>
      </c>
      <c r="M1171" t="s">
        <v>476</v>
      </c>
      <c r="N1171" t="s">
        <v>627</v>
      </c>
      <c r="O1171" t="s">
        <v>866</v>
      </c>
      <c r="P1171" s="1">
        <f>HYPERLINK("https://ec.europa.eu/info/funding-tenders/opportunities/portal/screen/opportunities/topic-details/horizon-cl6-2023-farm2fork-01-9", "HORIZON-CL6-2023-FARM2FORK-01-9")</f>
        <v>0</v>
      </c>
      <c r="Q1171" t="s">
        <v>2117</v>
      </c>
    </row>
    <row r="1172" spans="1:17">
      <c r="A1172">
        <v>45650646</v>
      </c>
      <c r="B1172">
        <v>2023</v>
      </c>
      <c r="C1172" t="s">
        <v>21</v>
      </c>
      <c r="D1172" t="s">
        <v>41</v>
      </c>
      <c r="E1172" t="s">
        <v>85</v>
      </c>
      <c r="F1172" t="s">
        <v>142</v>
      </c>
      <c r="G1172" t="s">
        <v>248</v>
      </c>
      <c r="H1172" t="s">
        <v>311</v>
      </c>
      <c r="I1172" t="s">
        <v>407</v>
      </c>
      <c r="K1172" t="s">
        <v>466</v>
      </c>
      <c r="L1172" t="s">
        <v>469</v>
      </c>
      <c r="M1172" t="s">
        <v>476</v>
      </c>
      <c r="N1172" t="s">
        <v>628</v>
      </c>
      <c r="O1172" t="s">
        <v>867</v>
      </c>
      <c r="P1172" s="1">
        <f>HYPERLINK("https://ec.europa.eu/info/funding-tenders/opportunities/portal/screen/opportunities/topic-details/horizon-cl6-2023-governance-01-1", "HORIZON-CL6-2023-GOVERNANCE-01-1")</f>
        <v>0</v>
      </c>
      <c r="Q1172" t="s">
        <v>2118</v>
      </c>
    </row>
    <row r="1173" spans="1:17">
      <c r="A1173">
        <v>45651027</v>
      </c>
      <c r="B1173">
        <v>2023</v>
      </c>
      <c r="C1173" t="s">
        <v>21</v>
      </c>
      <c r="D1173" t="s">
        <v>41</v>
      </c>
      <c r="E1173" t="s">
        <v>85</v>
      </c>
      <c r="F1173" t="s">
        <v>142</v>
      </c>
      <c r="G1173" t="s">
        <v>248</v>
      </c>
      <c r="H1173" t="s">
        <v>311</v>
      </c>
      <c r="I1173" t="s">
        <v>407</v>
      </c>
      <c r="K1173" t="s">
        <v>466</v>
      </c>
      <c r="L1173" t="s">
        <v>469</v>
      </c>
      <c r="M1173" t="s">
        <v>472</v>
      </c>
      <c r="N1173" t="s">
        <v>628</v>
      </c>
      <c r="O1173" t="s">
        <v>867</v>
      </c>
      <c r="P1173" s="1">
        <f>HYPERLINK("https://ec.europa.eu/info/funding-tenders/opportunities/portal/screen/opportunities/topic-details/horizon-cl6-2023-governance-01-10", "HORIZON-CL6-2023-GOVERNANCE-01-10")</f>
        <v>0</v>
      </c>
      <c r="Q1173" t="s">
        <v>2119</v>
      </c>
    </row>
    <row r="1174" spans="1:17">
      <c r="A1174">
        <v>45657541</v>
      </c>
      <c r="B1174">
        <v>2023</v>
      </c>
      <c r="C1174" t="s">
        <v>21</v>
      </c>
      <c r="D1174" t="s">
        <v>41</v>
      </c>
      <c r="E1174" t="s">
        <v>85</v>
      </c>
      <c r="F1174" t="s">
        <v>142</v>
      </c>
      <c r="G1174" t="s">
        <v>248</v>
      </c>
      <c r="H1174" t="s">
        <v>311</v>
      </c>
      <c r="I1174" t="s">
        <v>407</v>
      </c>
      <c r="K1174" t="s">
        <v>466</v>
      </c>
      <c r="L1174" t="s">
        <v>469</v>
      </c>
      <c r="M1174" t="s">
        <v>471</v>
      </c>
      <c r="N1174" t="s">
        <v>628</v>
      </c>
      <c r="O1174" t="s">
        <v>867</v>
      </c>
      <c r="P1174" s="1">
        <f>HYPERLINK("https://ec.europa.eu/info/funding-tenders/opportunities/portal/screen/opportunities/topic-details/horizon-cl6-2023-governance-01-11", "HORIZON-CL6-2023-GOVERNANCE-01-11")</f>
        <v>0</v>
      </c>
      <c r="Q1174" t="s">
        <v>2120</v>
      </c>
    </row>
    <row r="1175" spans="1:17">
      <c r="A1175">
        <v>45657588</v>
      </c>
      <c r="B1175">
        <v>2023</v>
      </c>
      <c r="C1175" t="s">
        <v>21</v>
      </c>
      <c r="D1175" t="s">
        <v>41</v>
      </c>
      <c r="E1175" t="s">
        <v>85</v>
      </c>
      <c r="F1175" t="s">
        <v>142</v>
      </c>
      <c r="G1175" t="s">
        <v>248</v>
      </c>
      <c r="H1175" t="s">
        <v>311</v>
      </c>
      <c r="I1175" t="s">
        <v>407</v>
      </c>
      <c r="K1175" t="s">
        <v>466</v>
      </c>
      <c r="L1175" t="s">
        <v>469</v>
      </c>
      <c r="M1175" t="s">
        <v>471</v>
      </c>
      <c r="N1175" t="s">
        <v>628</v>
      </c>
      <c r="O1175" t="s">
        <v>867</v>
      </c>
      <c r="P1175" s="1">
        <f>HYPERLINK("https://ec.europa.eu/info/funding-tenders/opportunities/portal/screen/opportunities/topic-details/horizon-cl6-2023-governance-01-12", "HORIZON-CL6-2023-GOVERNANCE-01-12")</f>
        <v>0</v>
      </c>
      <c r="Q1175" t="s">
        <v>2121</v>
      </c>
    </row>
    <row r="1176" spans="1:17">
      <c r="A1176">
        <v>45657640</v>
      </c>
      <c r="B1176">
        <v>2023</v>
      </c>
      <c r="C1176" t="s">
        <v>21</v>
      </c>
      <c r="D1176" t="s">
        <v>41</v>
      </c>
      <c r="E1176" t="s">
        <v>85</v>
      </c>
      <c r="F1176" t="s">
        <v>142</v>
      </c>
      <c r="G1176" t="s">
        <v>248</v>
      </c>
      <c r="H1176" t="s">
        <v>311</v>
      </c>
      <c r="I1176" t="s">
        <v>407</v>
      </c>
      <c r="K1176" t="s">
        <v>466</v>
      </c>
      <c r="L1176" t="s">
        <v>469</v>
      </c>
      <c r="M1176" t="s">
        <v>471</v>
      </c>
      <c r="N1176" t="s">
        <v>628</v>
      </c>
      <c r="O1176" t="s">
        <v>867</v>
      </c>
      <c r="P1176" s="1">
        <f>HYPERLINK("https://ec.europa.eu/info/funding-tenders/opportunities/portal/screen/opportunities/topic-details/horizon-cl6-2023-governance-01-13", "HORIZON-CL6-2023-GOVERNANCE-01-13")</f>
        <v>0</v>
      </c>
      <c r="Q1176" t="s">
        <v>2122</v>
      </c>
    </row>
    <row r="1177" spans="1:17">
      <c r="A1177">
        <v>45657663</v>
      </c>
      <c r="B1177">
        <v>2023</v>
      </c>
      <c r="C1177" t="s">
        <v>21</v>
      </c>
      <c r="D1177" t="s">
        <v>41</v>
      </c>
      <c r="E1177" t="s">
        <v>85</v>
      </c>
      <c r="F1177" t="s">
        <v>142</v>
      </c>
      <c r="G1177" t="s">
        <v>248</v>
      </c>
      <c r="H1177" t="s">
        <v>311</v>
      </c>
      <c r="I1177" t="s">
        <v>407</v>
      </c>
      <c r="K1177" t="s">
        <v>466</v>
      </c>
      <c r="L1177" t="s">
        <v>469</v>
      </c>
      <c r="M1177" t="s">
        <v>472</v>
      </c>
      <c r="N1177" t="s">
        <v>628</v>
      </c>
      <c r="O1177" t="s">
        <v>867</v>
      </c>
      <c r="P1177" s="1">
        <f>HYPERLINK("https://ec.europa.eu/info/funding-tenders/opportunities/portal/screen/opportunities/topic-details/horizon-cl6-2023-governance-01-14", "HORIZON-CL6-2023-GOVERNANCE-01-14")</f>
        <v>0</v>
      </c>
      <c r="Q1177" t="s">
        <v>2123</v>
      </c>
    </row>
    <row r="1178" spans="1:17">
      <c r="A1178">
        <v>45657683</v>
      </c>
      <c r="B1178">
        <v>2023</v>
      </c>
      <c r="C1178" t="s">
        <v>21</v>
      </c>
      <c r="D1178" t="s">
        <v>41</v>
      </c>
      <c r="E1178" t="s">
        <v>85</v>
      </c>
      <c r="F1178" t="s">
        <v>142</v>
      </c>
      <c r="G1178" t="s">
        <v>248</v>
      </c>
      <c r="H1178" t="s">
        <v>311</v>
      </c>
      <c r="I1178" t="s">
        <v>407</v>
      </c>
      <c r="K1178" t="s">
        <v>466</v>
      </c>
      <c r="L1178" t="s">
        <v>469</v>
      </c>
      <c r="M1178" t="s">
        <v>471</v>
      </c>
      <c r="N1178" t="s">
        <v>628</v>
      </c>
      <c r="O1178" t="s">
        <v>867</v>
      </c>
      <c r="P1178" s="1">
        <f>HYPERLINK("https://ec.europa.eu/info/funding-tenders/opportunities/portal/screen/opportunities/topic-details/horizon-cl6-2023-governance-01-15", "HORIZON-CL6-2023-GOVERNANCE-01-15")</f>
        <v>0</v>
      </c>
      <c r="Q1178" t="s">
        <v>2124</v>
      </c>
    </row>
    <row r="1179" spans="1:17">
      <c r="A1179">
        <v>45657708</v>
      </c>
      <c r="B1179">
        <v>2023</v>
      </c>
      <c r="C1179" t="s">
        <v>21</v>
      </c>
      <c r="D1179" t="s">
        <v>41</v>
      </c>
      <c r="E1179" t="s">
        <v>85</v>
      </c>
      <c r="F1179" t="s">
        <v>142</v>
      </c>
      <c r="G1179" t="s">
        <v>248</v>
      </c>
      <c r="H1179" t="s">
        <v>311</v>
      </c>
      <c r="I1179" t="s">
        <v>407</v>
      </c>
      <c r="K1179" t="s">
        <v>466</v>
      </c>
      <c r="L1179" t="s">
        <v>469</v>
      </c>
      <c r="M1179" t="s">
        <v>471</v>
      </c>
      <c r="N1179" t="s">
        <v>628</v>
      </c>
      <c r="O1179" t="s">
        <v>867</v>
      </c>
      <c r="P1179" s="1">
        <f>HYPERLINK("https://ec.europa.eu/info/funding-tenders/opportunities/portal/screen/opportunities/topic-details/horizon-cl6-2023-governance-01-16", "HORIZON-CL6-2023-GOVERNANCE-01-16")</f>
        <v>0</v>
      </c>
      <c r="Q1179" t="s">
        <v>2125</v>
      </c>
    </row>
    <row r="1180" spans="1:17">
      <c r="A1180">
        <v>45657749</v>
      </c>
      <c r="B1180">
        <v>2023</v>
      </c>
      <c r="C1180" t="s">
        <v>21</v>
      </c>
      <c r="D1180" t="s">
        <v>41</v>
      </c>
      <c r="E1180" t="s">
        <v>85</v>
      </c>
      <c r="F1180" t="s">
        <v>142</v>
      </c>
      <c r="G1180" t="s">
        <v>248</v>
      </c>
      <c r="H1180" t="s">
        <v>311</v>
      </c>
      <c r="I1180" t="s">
        <v>407</v>
      </c>
      <c r="K1180" t="s">
        <v>466</v>
      </c>
      <c r="L1180" t="s">
        <v>469</v>
      </c>
      <c r="M1180" t="s">
        <v>471</v>
      </c>
      <c r="N1180" t="s">
        <v>628</v>
      </c>
      <c r="O1180" t="s">
        <v>867</v>
      </c>
      <c r="P1180" s="1">
        <f>HYPERLINK("https://ec.europa.eu/info/funding-tenders/opportunities/portal/screen/opportunities/topic-details/horizon-cl6-2023-governance-01-17", "HORIZON-CL6-2023-GOVERNANCE-01-17")</f>
        <v>0</v>
      </c>
      <c r="Q1180" t="s">
        <v>2126</v>
      </c>
    </row>
    <row r="1181" spans="1:17">
      <c r="A1181">
        <v>45657796</v>
      </c>
      <c r="B1181">
        <v>2023</v>
      </c>
      <c r="C1181" t="s">
        <v>21</v>
      </c>
      <c r="D1181" t="s">
        <v>41</v>
      </c>
      <c r="E1181" t="s">
        <v>85</v>
      </c>
      <c r="F1181" t="s">
        <v>142</v>
      </c>
      <c r="G1181" t="s">
        <v>248</v>
      </c>
      <c r="H1181" t="s">
        <v>311</v>
      </c>
      <c r="I1181" t="s">
        <v>407</v>
      </c>
      <c r="K1181" t="s">
        <v>466</v>
      </c>
      <c r="L1181" t="s">
        <v>469</v>
      </c>
      <c r="M1181" t="s">
        <v>472</v>
      </c>
      <c r="N1181" t="s">
        <v>628</v>
      </c>
      <c r="O1181" t="s">
        <v>867</v>
      </c>
      <c r="P1181" s="1">
        <f>HYPERLINK("https://ec.europa.eu/info/funding-tenders/opportunities/portal/screen/opportunities/topic-details/horizon-cl6-2023-governance-01-18", "HORIZON-CL6-2023-GOVERNANCE-01-18")</f>
        <v>0</v>
      </c>
      <c r="Q1181" t="s">
        <v>2127</v>
      </c>
    </row>
    <row r="1182" spans="1:17">
      <c r="A1182">
        <v>45657831</v>
      </c>
      <c r="B1182">
        <v>2023</v>
      </c>
      <c r="C1182" t="s">
        <v>21</v>
      </c>
      <c r="D1182" t="s">
        <v>41</v>
      </c>
      <c r="E1182" t="s">
        <v>85</v>
      </c>
      <c r="F1182" t="s">
        <v>142</v>
      </c>
      <c r="G1182" t="s">
        <v>248</v>
      </c>
      <c r="H1182" t="s">
        <v>311</v>
      </c>
      <c r="I1182" t="s">
        <v>407</v>
      </c>
      <c r="K1182" t="s">
        <v>466</v>
      </c>
      <c r="L1182" t="s">
        <v>469</v>
      </c>
      <c r="M1182" t="s">
        <v>472</v>
      </c>
      <c r="N1182" t="s">
        <v>628</v>
      </c>
      <c r="O1182" t="s">
        <v>867</v>
      </c>
      <c r="P1182" s="1">
        <f>HYPERLINK("https://ec.europa.eu/info/funding-tenders/opportunities/portal/screen/opportunities/topic-details/horizon-cl6-2023-governance-01-19", "HORIZON-CL6-2023-GOVERNANCE-01-19")</f>
        <v>0</v>
      </c>
      <c r="Q1182" t="s">
        <v>1965</v>
      </c>
    </row>
    <row r="1183" spans="1:17">
      <c r="A1183">
        <v>45650684</v>
      </c>
      <c r="B1183">
        <v>2023</v>
      </c>
      <c r="C1183" t="s">
        <v>21</v>
      </c>
      <c r="D1183" t="s">
        <v>41</v>
      </c>
      <c r="E1183" t="s">
        <v>85</v>
      </c>
      <c r="F1183" t="s">
        <v>142</v>
      </c>
      <c r="G1183" t="s">
        <v>248</v>
      </c>
      <c r="H1183" t="s">
        <v>311</v>
      </c>
      <c r="I1183" t="s">
        <v>407</v>
      </c>
      <c r="K1183" t="s">
        <v>466</v>
      </c>
      <c r="L1183" t="s">
        <v>469</v>
      </c>
      <c r="M1183" t="s">
        <v>471</v>
      </c>
      <c r="N1183" t="s">
        <v>628</v>
      </c>
      <c r="O1183" t="s">
        <v>867</v>
      </c>
      <c r="P1183" s="1">
        <f>HYPERLINK("https://ec.europa.eu/info/funding-tenders/opportunities/portal/screen/opportunities/topic-details/horizon-cl6-2023-governance-01-2", "HORIZON-CL6-2023-GOVERNANCE-01-2")</f>
        <v>0</v>
      </c>
      <c r="Q1183" t="s">
        <v>2128</v>
      </c>
    </row>
    <row r="1184" spans="1:17">
      <c r="A1184">
        <v>45657859</v>
      </c>
      <c r="B1184">
        <v>2023</v>
      </c>
      <c r="C1184" t="s">
        <v>21</v>
      </c>
      <c r="D1184" t="s">
        <v>41</v>
      </c>
      <c r="E1184" t="s">
        <v>85</v>
      </c>
      <c r="F1184" t="s">
        <v>142</v>
      </c>
      <c r="G1184" t="s">
        <v>248</v>
      </c>
      <c r="H1184" t="s">
        <v>311</v>
      </c>
      <c r="I1184" t="s">
        <v>407</v>
      </c>
      <c r="K1184" t="s">
        <v>466</v>
      </c>
      <c r="L1184" t="s">
        <v>469</v>
      </c>
      <c r="M1184" t="s">
        <v>472</v>
      </c>
      <c r="N1184" t="s">
        <v>628</v>
      </c>
      <c r="O1184" t="s">
        <v>867</v>
      </c>
      <c r="P1184" s="1">
        <f>HYPERLINK("https://ec.europa.eu/info/funding-tenders/opportunities/portal/screen/opportunities/topic-details/horizon-cl6-2023-governance-01-20", "HORIZON-CL6-2023-GOVERNANCE-01-20")</f>
        <v>0</v>
      </c>
      <c r="Q1184" t="s">
        <v>2129</v>
      </c>
    </row>
    <row r="1185" spans="1:17">
      <c r="A1185">
        <v>45657889</v>
      </c>
      <c r="B1185">
        <v>2023</v>
      </c>
      <c r="C1185" t="s">
        <v>21</v>
      </c>
      <c r="D1185" t="s">
        <v>41</v>
      </c>
      <c r="E1185" t="s">
        <v>85</v>
      </c>
      <c r="F1185" t="s">
        <v>142</v>
      </c>
      <c r="G1185" t="s">
        <v>248</v>
      </c>
      <c r="H1185" t="s">
        <v>311</v>
      </c>
      <c r="I1185" t="s">
        <v>407</v>
      </c>
      <c r="K1185" t="s">
        <v>466</v>
      </c>
      <c r="L1185" t="s">
        <v>469</v>
      </c>
      <c r="M1185" t="s">
        <v>472</v>
      </c>
      <c r="N1185" t="s">
        <v>628</v>
      </c>
      <c r="O1185" t="s">
        <v>867</v>
      </c>
      <c r="P1185" s="1">
        <f>HYPERLINK("https://ec.europa.eu/info/funding-tenders/opportunities/portal/screen/opportunities/topic-details/horizon-cl6-2023-governance-01-21", "HORIZON-CL6-2023-GOVERNANCE-01-21")</f>
        <v>0</v>
      </c>
      <c r="Q1185" t="s">
        <v>2130</v>
      </c>
    </row>
    <row r="1186" spans="1:17">
      <c r="A1186">
        <v>45649718</v>
      </c>
      <c r="B1186">
        <v>2023</v>
      </c>
      <c r="C1186" t="s">
        <v>21</v>
      </c>
      <c r="D1186" t="s">
        <v>41</v>
      </c>
      <c r="E1186" t="s">
        <v>85</v>
      </c>
      <c r="F1186" t="s">
        <v>142</v>
      </c>
      <c r="G1186" t="s">
        <v>248</v>
      </c>
      <c r="H1186" t="s">
        <v>311</v>
      </c>
      <c r="I1186" t="s">
        <v>407</v>
      </c>
      <c r="K1186" t="s">
        <v>466</v>
      </c>
      <c r="L1186" t="s">
        <v>469</v>
      </c>
      <c r="M1186" t="s">
        <v>472</v>
      </c>
      <c r="N1186" t="s">
        <v>628</v>
      </c>
      <c r="O1186" t="s">
        <v>867</v>
      </c>
      <c r="P1186" s="1">
        <f>HYPERLINK("https://ec.europa.eu/info/funding-tenders/opportunities/portal/screen/opportunities/topic-details/horizon-cl6-2023-governance-01-22", "HORIZON-CL6-2023-GOVERNANCE-01-22")</f>
        <v>0</v>
      </c>
      <c r="Q1186" t="s">
        <v>2131</v>
      </c>
    </row>
    <row r="1187" spans="1:17">
      <c r="A1187">
        <v>45650734</v>
      </c>
      <c r="B1187">
        <v>2023</v>
      </c>
      <c r="C1187" t="s">
        <v>21</v>
      </c>
      <c r="D1187" t="s">
        <v>41</v>
      </c>
      <c r="E1187" t="s">
        <v>85</v>
      </c>
      <c r="F1187" t="s">
        <v>142</v>
      </c>
      <c r="G1187" t="s">
        <v>248</v>
      </c>
      <c r="H1187" t="s">
        <v>311</v>
      </c>
      <c r="I1187" t="s">
        <v>407</v>
      </c>
      <c r="K1187" t="s">
        <v>466</v>
      </c>
      <c r="L1187" t="s">
        <v>469</v>
      </c>
      <c r="M1187" t="s">
        <v>471</v>
      </c>
      <c r="N1187" t="s">
        <v>628</v>
      </c>
      <c r="O1187" t="s">
        <v>867</v>
      </c>
      <c r="P1187" s="1">
        <f>HYPERLINK("https://ec.europa.eu/info/funding-tenders/opportunities/portal/screen/opportunities/topic-details/horizon-cl6-2023-governance-01-3", "HORIZON-CL6-2023-GOVERNANCE-01-3")</f>
        <v>0</v>
      </c>
      <c r="Q1187" t="s">
        <v>2132</v>
      </c>
    </row>
    <row r="1188" spans="1:17">
      <c r="A1188">
        <v>45650781</v>
      </c>
      <c r="B1188">
        <v>2023</v>
      </c>
      <c r="C1188" t="s">
        <v>21</v>
      </c>
      <c r="D1188" t="s">
        <v>41</v>
      </c>
      <c r="E1188" t="s">
        <v>85</v>
      </c>
      <c r="F1188" t="s">
        <v>142</v>
      </c>
      <c r="G1188" t="s">
        <v>248</v>
      </c>
      <c r="H1188" t="s">
        <v>311</v>
      </c>
      <c r="I1188" t="s">
        <v>407</v>
      </c>
      <c r="K1188" t="s">
        <v>466</v>
      </c>
      <c r="L1188" t="s">
        <v>469</v>
      </c>
      <c r="M1188" t="s">
        <v>471</v>
      </c>
      <c r="N1188" t="s">
        <v>628</v>
      </c>
      <c r="O1188" t="s">
        <v>867</v>
      </c>
      <c r="P1188" s="1">
        <f>HYPERLINK("https://ec.europa.eu/info/funding-tenders/opportunities/portal/screen/opportunities/topic-details/horizon-cl6-2023-governance-01-4", "HORIZON-CL6-2023-GOVERNANCE-01-4")</f>
        <v>0</v>
      </c>
      <c r="Q1188" t="s">
        <v>2133</v>
      </c>
    </row>
    <row r="1189" spans="1:17">
      <c r="A1189">
        <v>45650843</v>
      </c>
      <c r="B1189">
        <v>2023</v>
      </c>
      <c r="C1189" t="s">
        <v>21</v>
      </c>
      <c r="D1189" t="s">
        <v>41</v>
      </c>
      <c r="E1189" t="s">
        <v>85</v>
      </c>
      <c r="F1189" t="s">
        <v>142</v>
      </c>
      <c r="G1189" t="s">
        <v>248</v>
      </c>
      <c r="H1189" t="s">
        <v>311</v>
      </c>
      <c r="I1189" t="s">
        <v>407</v>
      </c>
      <c r="K1189" t="s">
        <v>466</v>
      </c>
      <c r="L1189" t="s">
        <v>469</v>
      </c>
      <c r="M1189" t="s">
        <v>471</v>
      </c>
      <c r="N1189" t="s">
        <v>628</v>
      </c>
      <c r="O1189" t="s">
        <v>867</v>
      </c>
      <c r="P1189" s="1">
        <f>HYPERLINK("https://ec.europa.eu/info/funding-tenders/opportunities/portal/screen/opportunities/topic-details/horizon-cl6-2023-governance-01-5", "HORIZON-CL6-2023-GOVERNANCE-01-5")</f>
        <v>0</v>
      </c>
      <c r="Q1189" t="s">
        <v>2134</v>
      </c>
    </row>
    <row r="1190" spans="1:17">
      <c r="A1190">
        <v>45650894</v>
      </c>
      <c r="B1190">
        <v>2023</v>
      </c>
      <c r="C1190" t="s">
        <v>21</v>
      </c>
      <c r="D1190" t="s">
        <v>41</v>
      </c>
      <c r="E1190" t="s">
        <v>85</v>
      </c>
      <c r="F1190" t="s">
        <v>142</v>
      </c>
      <c r="G1190" t="s">
        <v>248</v>
      </c>
      <c r="H1190" t="s">
        <v>311</v>
      </c>
      <c r="I1190" t="s">
        <v>407</v>
      </c>
      <c r="K1190" t="s">
        <v>466</v>
      </c>
      <c r="L1190" t="s">
        <v>469</v>
      </c>
      <c r="M1190" t="s">
        <v>472</v>
      </c>
      <c r="N1190" t="s">
        <v>628</v>
      </c>
      <c r="O1190" t="s">
        <v>867</v>
      </c>
      <c r="P1190" s="1">
        <f>HYPERLINK("https://ec.europa.eu/info/funding-tenders/opportunities/portal/screen/opportunities/topic-details/horizon-cl6-2023-governance-01-6", "HORIZON-CL6-2023-GOVERNANCE-01-6")</f>
        <v>0</v>
      </c>
      <c r="Q1190" t="s">
        <v>2135</v>
      </c>
    </row>
    <row r="1191" spans="1:17">
      <c r="A1191">
        <v>45650987</v>
      </c>
      <c r="B1191">
        <v>2023</v>
      </c>
      <c r="C1191" t="s">
        <v>21</v>
      </c>
      <c r="D1191" t="s">
        <v>41</v>
      </c>
      <c r="E1191" t="s">
        <v>85</v>
      </c>
      <c r="F1191" t="s">
        <v>142</v>
      </c>
      <c r="G1191" t="s">
        <v>248</v>
      </c>
      <c r="H1191" t="s">
        <v>311</v>
      </c>
      <c r="I1191" t="s">
        <v>407</v>
      </c>
      <c r="K1191" t="s">
        <v>466</v>
      </c>
      <c r="L1191" t="s">
        <v>469</v>
      </c>
      <c r="M1191" t="s">
        <v>471</v>
      </c>
      <c r="N1191" t="s">
        <v>628</v>
      </c>
      <c r="O1191" t="s">
        <v>867</v>
      </c>
      <c r="P1191" s="1">
        <f>HYPERLINK("https://ec.europa.eu/info/funding-tenders/opportunities/portal/screen/opportunities/topic-details/horizon-cl6-2023-governance-01-7", "HORIZON-CL6-2023-GOVERNANCE-01-7")</f>
        <v>0</v>
      </c>
      <c r="Q1191" t="s">
        <v>2136</v>
      </c>
    </row>
    <row r="1192" spans="1:17">
      <c r="A1192">
        <v>45651075</v>
      </c>
      <c r="B1192">
        <v>2023</v>
      </c>
      <c r="C1192" t="s">
        <v>21</v>
      </c>
      <c r="D1192" t="s">
        <v>41</v>
      </c>
      <c r="E1192" t="s">
        <v>85</v>
      </c>
      <c r="F1192" t="s">
        <v>142</v>
      </c>
      <c r="G1192" t="s">
        <v>248</v>
      </c>
      <c r="H1192" t="s">
        <v>311</v>
      </c>
      <c r="I1192" t="s">
        <v>407</v>
      </c>
      <c r="K1192" t="s">
        <v>466</v>
      </c>
      <c r="L1192" t="s">
        <v>469</v>
      </c>
      <c r="M1192" t="s">
        <v>472</v>
      </c>
      <c r="N1192" t="s">
        <v>628</v>
      </c>
      <c r="O1192" t="s">
        <v>867</v>
      </c>
      <c r="P1192" s="1">
        <f>HYPERLINK("https://ec.europa.eu/info/funding-tenders/opportunities/portal/screen/opportunities/topic-details/horizon-cl6-2023-governance-01-8", "HORIZON-CL6-2023-GOVERNANCE-01-8")</f>
        <v>0</v>
      </c>
      <c r="Q1192" t="s">
        <v>2137</v>
      </c>
    </row>
    <row r="1193" spans="1:17">
      <c r="A1193">
        <v>45657501</v>
      </c>
      <c r="B1193">
        <v>2023</v>
      </c>
      <c r="C1193" t="s">
        <v>21</v>
      </c>
      <c r="D1193" t="s">
        <v>41</v>
      </c>
      <c r="E1193" t="s">
        <v>85</v>
      </c>
      <c r="F1193" t="s">
        <v>142</v>
      </c>
      <c r="G1193" t="s">
        <v>248</v>
      </c>
      <c r="H1193" t="s">
        <v>311</v>
      </c>
      <c r="I1193" t="s">
        <v>407</v>
      </c>
      <c r="K1193" t="s">
        <v>466</v>
      </c>
      <c r="L1193" t="s">
        <v>469</v>
      </c>
      <c r="M1193" t="s">
        <v>472</v>
      </c>
      <c r="N1193" t="s">
        <v>628</v>
      </c>
      <c r="O1193" t="s">
        <v>867</v>
      </c>
      <c r="P1193" s="1">
        <f>HYPERLINK("https://ec.europa.eu/info/funding-tenders/opportunities/portal/screen/opportunities/topic-details/horizon-cl6-2023-governance-01-9", "HORIZON-CL6-2023-GOVERNANCE-01-9")</f>
        <v>0</v>
      </c>
      <c r="Q1193" t="s">
        <v>2138</v>
      </c>
    </row>
    <row r="1194" spans="1:17">
      <c r="A1194">
        <v>45658095</v>
      </c>
      <c r="B1194">
        <v>2023</v>
      </c>
      <c r="C1194" t="s">
        <v>21</v>
      </c>
      <c r="D1194" t="s">
        <v>41</v>
      </c>
      <c r="E1194" t="s">
        <v>85</v>
      </c>
      <c r="F1194" t="s">
        <v>149</v>
      </c>
      <c r="G1194" t="s">
        <v>248</v>
      </c>
      <c r="H1194" t="s">
        <v>329</v>
      </c>
      <c r="I1194" t="s">
        <v>370</v>
      </c>
      <c r="K1194" t="s">
        <v>466</v>
      </c>
      <c r="L1194" t="s">
        <v>469</v>
      </c>
      <c r="M1194" t="s">
        <v>472</v>
      </c>
      <c r="N1194" t="s">
        <v>629</v>
      </c>
      <c r="O1194" t="s">
        <v>869</v>
      </c>
      <c r="P1194" s="1">
        <f>HYPERLINK("https://ec.europa.eu/info/funding-tenders/opportunities/portal/screen/opportunities/topic-details/horizon-cl6-2023-governance-02-1", "HORIZON-CL6-2023-GOVERNANCE-02-1")</f>
        <v>0</v>
      </c>
      <c r="Q1194" t="s">
        <v>2139</v>
      </c>
    </row>
    <row r="1195" spans="1:17">
      <c r="A1195">
        <v>45649910</v>
      </c>
      <c r="B1195">
        <v>2023</v>
      </c>
      <c r="C1195" t="s">
        <v>21</v>
      </c>
      <c r="D1195" t="s">
        <v>41</v>
      </c>
      <c r="E1195" t="s">
        <v>85</v>
      </c>
      <c r="F1195" t="s">
        <v>143</v>
      </c>
      <c r="G1195" t="s">
        <v>248</v>
      </c>
      <c r="H1195" t="s">
        <v>311</v>
      </c>
      <c r="I1195" t="s">
        <v>385</v>
      </c>
      <c r="K1195" t="s">
        <v>466</v>
      </c>
      <c r="L1195" t="s">
        <v>469</v>
      </c>
      <c r="M1195" t="s">
        <v>471</v>
      </c>
      <c r="N1195" t="s">
        <v>630</v>
      </c>
      <c r="O1195" t="s">
        <v>868</v>
      </c>
      <c r="P1195" s="1">
        <f>HYPERLINK("https://ec.europa.eu/info/funding-tenders/opportunities/portal/screen/opportunities/topic-details/horizon-cl6-2023-zeropollution-01-1", "HORIZON-CL6-2023-ZEROPOLLUTION-01-1")</f>
        <v>0</v>
      </c>
      <c r="Q1195" t="s">
        <v>2140</v>
      </c>
    </row>
    <row r="1196" spans="1:17">
      <c r="A1196">
        <v>45649955</v>
      </c>
      <c r="B1196">
        <v>2023</v>
      </c>
      <c r="C1196" t="s">
        <v>21</v>
      </c>
      <c r="D1196" t="s">
        <v>41</v>
      </c>
      <c r="E1196" t="s">
        <v>85</v>
      </c>
      <c r="F1196" t="s">
        <v>143</v>
      </c>
      <c r="G1196" t="s">
        <v>248</v>
      </c>
      <c r="H1196" t="s">
        <v>311</v>
      </c>
      <c r="I1196" t="s">
        <v>385</v>
      </c>
      <c r="K1196" t="s">
        <v>466</v>
      </c>
      <c r="L1196" t="s">
        <v>469</v>
      </c>
      <c r="M1196" t="s">
        <v>471</v>
      </c>
      <c r="N1196" t="s">
        <v>630</v>
      </c>
      <c r="O1196" t="s">
        <v>868</v>
      </c>
      <c r="P1196" s="1">
        <f>HYPERLINK("https://ec.europa.eu/info/funding-tenders/opportunities/portal/screen/opportunities/topic-details/horizon-cl6-2023-zeropollution-01-2", "HORIZON-CL6-2023-ZEROPOLLUTION-01-2")</f>
        <v>0</v>
      </c>
      <c r="Q1196" t="s">
        <v>2141</v>
      </c>
    </row>
    <row r="1197" spans="1:17">
      <c r="A1197">
        <v>45650388</v>
      </c>
      <c r="B1197">
        <v>2023</v>
      </c>
      <c r="C1197" t="s">
        <v>21</v>
      </c>
      <c r="D1197" t="s">
        <v>41</v>
      </c>
      <c r="E1197" t="s">
        <v>85</v>
      </c>
      <c r="F1197" t="s">
        <v>143</v>
      </c>
      <c r="G1197" t="s">
        <v>248</v>
      </c>
      <c r="H1197" t="s">
        <v>311</v>
      </c>
      <c r="I1197" t="s">
        <v>385</v>
      </c>
      <c r="K1197" t="s">
        <v>466</v>
      </c>
      <c r="L1197" t="s">
        <v>469</v>
      </c>
      <c r="M1197" t="s">
        <v>471</v>
      </c>
      <c r="N1197" t="s">
        <v>630</v>
      </c>
      <c r="O1197" t="s">
        <v>868</v>
      </c>
      <c r="P1197" s="1">
        <f>HYPERLINK("https://ec.europa.eu/info/funding-tenders/opportunities/portal/screen/opportunities/topic-details/horizon-cl6-2023-zeropollution-01-3", "HORIZON-CL6-2023-ZEROPOLLUTION-01-3")</f>
        <v>0</v>
      </c>
      <c r="Q1197" t="s">
        <v>2142</v>
      </c>
    </row>
    <row r="1198" spans="1:17">
      <c r="A1198">
        <v>45650430</v>
      </c>
      <c r="B1198">
        <v>2023</v>
      </c>
      <c r="C1198" t="s">
        <v>21</v>
      </c>
      <c r="D1198" t="s">
        <v>41</v>
      </c>
      <c r="E1198" t="s">
        <v>85</v>
      </c>
      <c r="F1198" t="s">
        <v>143</v>
      </c>
      <c r="G1198" t="s">
        <v>248</v>
      </c>
      <c r="H1198" t="s">
        <v>311</v>
      </c>
      <c r="I1198" t="s">
        <v>385</v>
      </c>
      <c r="K1198" t="s">
        <v>466</v>
      </c>
      <c r="L1198" t="s">
        <v>469</v>
      </c>
      <c r="M1198" t="s">
        <v>471</v>
      </c>
      <c r="N1198" t="s">
        <v>630</v>
      </c>
      <c r="O1198" t="s">
        <v>868</v>
      </c>
      <c r="P1198" s="1">
        <f>HYPERLINK("https://ec.europa.eu/info/funding-tenders/opportunities/portal/screen/opportunities/topic-details/horizon-cl6-2023-zeropollution-01-4", "HORIZON-CL6-2023-ZEROPOLLUTION-01-4")</f>
        <v>0</v>
      </c>
      <c r="Q1198" t="s">
        <v>2143</v>
      </c>
    </row>
    <row r="1199" spans="1:17">
      <c r="A1199">
        <v>45650122</v>
      </c>
      <c r="B1199">
        <v>2023</v>
      </c>
      <c r="C1199" t="s">
        <v>21</v>
      </c>
      <c r="D1199" t="s">
        <v>41</v>
      </c>
      <c r="E1199" t="s">
        <v>85</v>
      </c>
      <c r="F1199" t="s">
        <v>143</v>
      </c>
      <c r="G1199" t="s">
        <v>248</v>
      </c>
      <c r="H1199" t="s">
        <v>311</v>
      </c>
      <c r="I1199" t="s">
        <v>385</v>
      </c>
      <c r="K1199" t="s">
        <v>466</v>
      </c>
      <c r="L1199" t="s">
        <v>469</v>
      </c>
      <c r="M1199" t="s">
        <v>473</v>
      </c>
      <c r="N1199" t="s">
        <v>630</v>
      </c>
      <c r="O1199" t="s">
        <v>868</v>
      </c>
      <c r="P1199" s="1">
        <f>HYPERLINK("https://ec.europa.eu/info/funding-tenders/opportunities/portal/screen/opportunities/topic-details/horizon-cl6-2023-zeropollution-01-5", "HORIZON-CL6-2023-ZEROPOLLUTION-01-5")</f>
        <v>0</v>
      </c>
      <c r="Q1199" t="s">
        <v>2144</v>
      </c>
    </row>
    <row r="1200" spans="1:17">
      <c r="A1200">
        <v>45650164</v>
      </c>
      <c r="B1200">
        <v>2023</v>
      </c>
      <c r="C1200" t="s">
        <v>21</v>
      </c>
      <c r="D1200" t="s">
        <v>41</v>
      </c>
      <c r="E1200" t="s">
        <v>85</v>
      </c>
      <c r="F1200" t="s">
        <v>143</v>
      </c>
      <c r="G1200" t="s">
        <v>248</v>
      </c>
      <c r="H1200" t="s">
        <v>311</v>
      </c>
      <c r="I1200" t="s">
        <v>385</v>
      </c>
      <c r="K1200" t="s">
        <v>466</v>
      </c>
      <c r="L1200" t="s">
        <v>469</v>
      </c>
      <c r="M1200" t="s">
        <v>471</v>
      </c>
      <c r="N1200" t="s">
        <v>630</v>
      </c>
      <c r="O1200" t="s">
        <v>868</v>
      </c>
      <c r="P1200" s="1">
        <f>HYPERLINK("https://ec.europa.eu/info/funding-tenders/opportunities/portal/screen/opportunities/topic-details/horizon-cl6-2023-zeropollution-01-6", "HORIZON-CL6-2023-ZEROPOLLUTION-01-6")</f>
        <v>0</v>
      </c>
      <c r="Q1200" t="s">
        <v>2145</v>
      </c>
    </row>
    <row r="1201" spans="1:17">
      <c r="A1201">
        <v>45650204</v>
      </c>
      <c r="B1201">
        <v>2023</v>
      </c>
      <c r="C1201" t="s">
        <v>21</v>
      </c>
      <c r="D1201" t="s">
        <v>41</v>
      </c>
      <c r="E1201" t="s">
        <v>85</v>
      </c>
      <c r="F1201" t="s">
        <v>143</v>
      </c>
      <c r="G1201" t="s">
        <v>248</v>
      </c>
      <c r="H1201" t="s">
        <v>311</v>
      </c>
      <c r="I1201" t="s">
        <v>385</v>
      </c>
      <c r="K1201" t="s">
        <v>466</v>
      </c>
      <c r="L1201" t="s">
        <v>469</v>
      </c>
      <c r="M1201" t="s">
        <v>471</v>
      </c>
      <c r="N1201" t="s">
        <v>630</v>
      </c>
      <c r="O1201" t="s">
        <v>868</v>
      </c>
      <c r="P1201" s="1">
        <f>HYPERLINK("https://ec.europa.eu/info/funding-tenders/opportunities/portal/screen/opportunities/topic-details/horizon-cl6-2023-zeropollution-01-7", "HORIZON-CL6-2023-ZEROPOLLUTION-01-7")</f>
        <v>0</v>
      </c>
      <c r="Q1201" t="s">
        <v>2146</v>
      </c>
    </row>
    <row r="1202" spans="1:17">
      <c r="A1202">
        <v>45649826</v>
      </c>
      <c r="B1202">
        <v>2023</v>
      </c>
      <c r="C1202" t="s">
        <v>21</v>
      </c>
      <c r="D1202" t="s">
        <v>41</v>
      </c>
      <c r="E1202" t="s">
        <v>85</v>
      </c>
      <c r="F1202" t="s">
        <v>150</v>
      </c>
      <c r="G1202" t="s">
        <v>248</v>
      </c>
      <c r="H1202" t="s">
        <v>311</v>
      </c>
      <c r="I1202" t="s">
        <v>385</v>
      </c>
      <c r="J1202" t="s">
        <v>462</v>
      </c>
      <c r="K1202" t="s">
        <v>466</v>
      </c>
      <c r="L1202" t="s">
        <v>470</v>
      </c>
      <c r="M1202" t="s">
        <v>471</v>
      </c>
      <c r="N1202" t="s">
        <v>631</v>
      </c>
      <c r="O1202" t="s">
        <v>868</v>
      </c>
      <c r="P1202" s="1">
        <f>HYPERLINK("https://ec.europa.eu/info/funding-tenders/opportunities/portal/screen/opportunities/topic-details/horizon-cl6-2023-zeropollution-02-1-two-stage", "HORIZON-CL6-2023-ZEROPOLLUTION-02-1-two-stage")</f>
        <v>0</v>
      </c>
      <c r="Q1202" t="s">
        <v>2147</v>
      </c>
    </row>
    <row r="1203" spans="1:17">
      <c r="A1203">
        <v>45650052</v>
      </c>
      <c r="B1203">
        <v>2023</v>
      </c>
      <c r="C1203" t="s">
        <v>21</v>
      </c>
      <c r="D1203" t="s">
        <v>41</v>
      </c>
      <c r="E1203" t="s">
        <v>85</v>
      </c>
      <c r="F1203" t="s">
        <v>150</v>
      </c>
      <c r="G1203" t="s">
        <v>248</v>
      </c>
      <c r="H1203" t="s">
        <v>311</v>
      </c>
      <c r="I1203" t="s">
        <v>385</v>
      </c>
      <c r="J1203" t="s">
        <v>462</v>
      </c>
      <c r="K1203" t="s">
        <v>466</v>
      </c>
      <c r="L1203" t="s">
        <v>470</v>
      </c>
      <c r="M1203" t="s">
        <v>471</v>
      </c>
      <c r="N1203" t="s">
        <v>631</v>
      </c>
      <c r="O1203" t="s">
        <v>868</v>
      </c>
      <c r="P1203" s="1">
        <f>HYPERLINK("https://ec.europa.eu/info/funding-tenders/opportunities/portal/screen/opportunities/topic-details/horizon-cl6-2023-zeropollution-02-2-two-stage", "HORIZON-CL6-2023-ZEROPOLLUTION-02-2-two-stage")</f>
        <v>0</v>
      </c>
      <c r="Q1203" t="s">
        <v>2148</v>
      </c>
    </row>
    <row r="1204" spans="1:17">
      <c r="A1204">
        <v>45657366</v>
      </c>
      <c r="B1204">
        <v>2024</v>
      </c>
      <c r="C1204" t="s">
        <v>21</v>
      </c>
      <c r="D1204" t="s">
        <v>41</v>
      </c>
      <c r="E1204" t="s">
        <v>85</v>
      </c>
      <c r="F1204" t="s">
        <v>136</v>
      </c>
      <c r="G1204" t="s">
        <v>248</v>
      </c>
      <c r="H1204" t="s">
        <v>330</v>
      </c>
      <c r="I1204" t="s">
        <v>408</v>
      </c>
      <c r="K1204" t="s">
        <v>466</v>
      </c>
      <c r="L1204" t="s">
        <v>469</v>
      </c>
      <c r="M1204" t="s">
        <v>473</v>
      </c>
      <c r="N1204" t="s">
        <v>632</v>
      </c>
      <c r="O1204" t="s">
        <v>862</v>
      </c>
      <c r="P1204" s="1">
        <f>HYPERLINK("https://ec.europa.eu/info/funding-tenders/opportunities/portal/screen/opportunities/topic-details/horizon-cl6-2024-biodiv-01-1", "HORIZON-CL6-2024-BIODIV-01-1")</f>
        <v>0</v>
      </c>
      <c r="Q1204" t="s">
        <v>2149</v>
      </c>
    </row>
    <row r="1205" spans="1:17">
      <c r="A1205">
        <v>45654634</v>
      </c>
      <c r="B1205">
        <v>2024</v>
      </c>
      <c r="C1205" t="s">
        <v>21</v>
      </c>
      <c r="D1205" t="s">
        <v>41</v>
      </c>
      <c r="E1205" t="s">
        <v>85</v>
      </c>
      <c r="F1205" t="s">
        <v>136</v>
      </c>
      <c r="G1205" t="s">
        <v>248</v>
      </c>
      <c r="H1205" t="s">
        <v>330</v>
      </c>
      <c r="I1205" t="s">
        <v>408</v>
      </c>
      <c r="K1205" t="s">
        <v>466</v>
      </c>
      <c r="L1205" t="s">
        <v>469</v>
      </c>
      <c r="M1205" t="s">
        <v>473</v>
      </c>
      <c r="N1205" t="s">
        <v>632</v>
      </c>
      <c r="O1205" t="s">
        <v>862</v>
      </c>
      <c r="P1205" s="1">
        <f>HYPERLINK("https://ec.europa.eu/info/funding-tenders/opportunities/portal/screen/opportunities/topic-details/horizon-cl6-2024-biodiv-01-2", "HORIZON-CL6-2024-BIODIV-01-2")</f>
        <v>0</v>
      </c>
      <c r="Q1205" t="s">
        <v>2150</v>
      </c>
    </row>
    <row r="1206" spans="1:17">
      <c r="A1206">
        <v>45654831</v>
      </c>
      <c r="B1206">
        <v>2024</v>
      </c>
      <c r="C1206" t="s">
        <v>21</v>
      </c>
      <c r="D1206" t="s">
        <v>41</v>
      </c>
      <c r="E1206" t="s">
        <v>85</v>
      </c>
      <c r="F1206" t="s">
        <v>136</v>
      </c>
      <c r="G1206" t="s">
        <v>248</v>
      </c>
      <c r="H1206" t="s">
        <v>330</v>
      </c>
      <c r="I1206" t="s">
        <v>408</v>
      </c>
      <c r="K1206" t="s">
        <v>466</v>
      </c>
      <c r="L1206" t="s">
        <v>469</v>
      </c>
      <c r="M1206" t="s">
        <v>471</v>
      </c>
      <c r="N1206" t="s">
        <v>632</v>
      </c>
      <c r="O1206" t="s">
        <v>862</v>
      </c>
      <c r="P1206" s="1">
        <f>HYPERLINK("https://ec.europa.eu/info/funding-tenders/opportunities/portal/screen/opportunities/topic-details/horizon-cl6-2024-biodiv-01-3", "HORIZON-CL6-2024-BIODIV-01-3")</f>
        <v>0</v>
      </c>
      <c r="Q1206" t="s">
        <v>2151</v>
      </c>
    </row>
    <row r="1207" spans="1:17">
      <c r="A1207">
        <v>45655361</v>
      </c>
      <c r="B1207">
        <v>2024</v>
      </c>
      <c r="C1207" t="s">
        <v>21</v>
      </c>
      <c r="D1207" t="s">
        <v>41</v>
      </c>
      <c r="E1207" t="s">
        <v>85</v>
      </c>
      <c r="F1207" t="s">
        <v>136</v>
      </c>
      <c r="G1207" t="s">
        <v>248</v>
      </c>
      <c r="H1207" t="s">
        <v>330</v>
      </c>
      <c r="I1207" t="s">
        <v>408</v>
      </c>
      <c r="K1207" t="s">
        <v>466</v>
      </c>
      <c r="L1207" t="s">
        <v>469</v>
      </c>
      <c r="M1207" t="s">
        <v>471</v>
      </c>
      <c r="N1207" t="s">
        <v>632</v>
      </c>
      <c r="O1207" t="s">
        <v>862</v>
      </c>
      <c r="P1207" s="1">
        <f>HYPERLINK("https://ec.europa.eu/info/funding-tenders/opportunities/portal/screen/opportunities/topic-details/horizon-cl6-2024-biodiv-01-4", "HORIZON-CL6-2024-BIODIV-01-4")</f>
        <v>0</v>
      </c>
      <c r="Q1207" t="s">
        <v>2152</v>
      </c>
    </row>
    <row r="1208" spans="1:17">
      <c r="A1208">
        <v>45655433</v>
      </c>
      <c r="B1208">
        <v>2024</v>
      </c>
      <c r="C1208" t="s">
        <v>21</v>
      </c>
      <c r="D1208" t="s">
        <v>41</v>
      </c>
      <c r="E1208" t="s">
        <v>85</v>
      </c>
      <c r="F1208" t="s">
        <v>136</v>
      </c>
      <c r="G1208" t="s">
        <v>248</v>
      </c>
      <c r="H1208" t="s">
        <v>330</v>
      </c>
      <c r="I1208" t="s">
        <v>408</v>
      </c>
      <c r="K1208" t="s">
        <v>466</v>
      </c>
      <c r="L1208" t="s">
        <v>469</v>
      </c>
      <c r="M1208" t="s">
        <v>471</v>
      </c>
      <c r="N1208" t="s">
        <v>632</v>
      </c>
      <c r="O1208" t="s">
        <v>862</v>
      </c>
      <c r="P1208" s="1">
        <f>HYPERLINK("https://ec.europa.eu/info/funding-tenders/opportunities/portal/screen/opportunities/topic-details/horizon-cl6-2024-biodiv-01-5", "HORIZON-CL6-2024-BIODIV-01-5")</f>
        <v>0</v>
      </c>
      <c r="Q1208" t="s">
        <v>2153</v>
      </c>
    </row>
    <row r="1209" spans="1:17">
      <c r="A1209">
        <v>45655672</v>
      </c>
      <c r="B1209">
        <v>2024</v>
      </c>
      <c r="C1209" t="s">
        <v>21</v>
      </c>
      <c r="D1209" t="s">
        <v>41</v>
      </c>
      <c r="E1209" t="s">
        <v>85</v>
      </c>
      <c r="F1209" t="s">
        <v>136</v>
      </c>
      <c r="G1209" t="s">
        <v>248</v>
      </c>
      <c r="H1209" t="s">
        <v>330</v>
      </c>
      <c r="I1209" t="s">
        <v>408</v>
      </c>
      <c r="K1209" t="s">
        <v>466</v>
      </c>
      <c r="L1209" t="s">
        <v>469</v>
      </c>
      <c r="M1209" t="s">
        <v>471</v>
      </c>
      <c r="N1209" t="s">
        <v>632</v>
      </c>
      <c r="O1209" t="s">
        <v>862</v>
      </c>
      <c r="P1209" s="1">
        <f>HYPERLINK("https://ec.europa.eu/info/funding-tenders/opportunities/portal/screen/opportunities/topic-details/horizon-cl6-2024-biodiv-01-6", "HORIZON-CL6-2024-BIODIV-01-6")</f>
        <v>0</v>
      </c>
      <c r="Q1209" t="s">
        <v>2154</v>
      </c>
    </row>
    <row r="1210" spans="1:17">
      <c r="A1210">
        <v>45655759</v>
      </c>
      <c r="B1210">
        <v>2024</v>
      </c>
      <c r="C1210" t="s">
        <v>21</v>
      </c>
      <c r="D1210" t="s">
        <v>41</v>
      </c>
      <c r="E1210" t="s">
        <v>85</v>
      </c>
      <c r="F1210" t="s">
        <v>136</v>
      </c>
      <c r="G1210" t="s">
        <v>248</v>
      </c>
      <c r="H1210" t="s">
        <v>330</v>
      </c>
      <c r="I1210" t="s">
        <v>408</v>
      </c>
      <c r="K1210" t="s">
        <v>466</v>
      </c>
      <c r="L1210" t="s">
        <v>469</v>
      </c>
      <c r="M1210" t="s">
        <v>471</v>
      </c>
      <c r="N1210" t="s">
        <v>632</v>
      </c>
      <c r="O1210" t="s">
        <v>862</v>
      </c>
      <c r="P1210" s="1">
        <f>HYPERLINK("https://ec.europa.eu/info/funding-tenders/opportunities/portal/screen/opportunities/topic-details/horizon-cl6-2024-biodiv-01-7", "HORIZON-CL6-2024-BIODIV-01-7")</f>
        <v>0</v>
      </c>
      <c r="Q1210" t="s">
        <v>2155</v>
      </c>
    </row>
    <row r="1211" spans="1:17">
      <c r="A1211">
        <v>45655815</v>
      </c>
      <c r="B1211">
        <v>2024</v>
      </c>
      <c r="C1211" t="s">
        <v>21</v>
      </c>
      <c r="D1211" t="s">
        <v>41</v>
      </c>
      <c r="E1211" t="s">
        <v>85</v>
      </c>
      <c r="F1211" t="s">
        <v>136</v>
      </c>
      <c r="G1211" t="s">
        <v>248</v>
      </c>
      <c r="H1211" t="s">
        <v>330</v>
      </c>
      <c r="I1211" t="s">
        <v>408</v>
      </c>
      <c r="K1211" t="s">
        <v>466</v>
      </c>
      <c r="L1211" t="s">
        <v>469</v>
      </c>
      <c r="M1211" t="s">
        <v>471</v>
      </c>
      <c r="N1211" t="s">
        <v>632</v>
      </c>
      <c r="O1211" t="s">
        <v>862</v>
      </c>
      <c r="P1211" s="1">
        <f>HYPERLINK("https://ec.europa.eu/info/funding-tenders/opportunities/portal/screen/opportunities/topic-details/horizon-cl6-2024-biodiv-01-8", "HORIZON-CL6-2024-BIODIV-01-8")</f>
        <v>0</v>
      </c>
      <c r="Q1211" t="s">
        <v>2156</v>
      </c>
    </row>
    <row r="1212" spans="1:17">
      <c r="A1212">
        <v>45655845</v>
      </c>
      <c r="B1212">
        <v>2024</v>
      </c>
      <c r="C1212" t="s">
        <v>21</v>
      </c>
      <c r="D1212" t="s">
        <v>41</v>
      </c>
      <c r="E1212" t="s">
        <v>85</v>
      </c>
      <c r="F1212" t="s">
        <v>136</v>
      </c>
      <c r="G1212" t="s">
        <v>248</v>
      </c>
      <c r="H1212" t="s">
        <v>330</v>
      </c>
      <c r="I1212" t="s">
        <v>408</v>
      </c>
      <c r="K1212" t="s">
        <v>466</v>
      </c>
      <c r="L1212" t="s">
        <v>469</v>
      </c>
      <c r="M1212" t="s">
        <v>471</v>
      </c>
      <c r="N1212" t="s">
        <v>632</v>
      </c>
      <c r="O1212" t="s">
        <v>862</v>
      </c>
      <c r="P1212" s="1">
        <f>HYPERLINK("https://ec.europa.eu/info/funding-tenders/opportunities/portal/screen/opportunities/topic-details/horizon-cl6-2024-biodiv-01-9", "HORIZON-CL6-2024-BIODIV-01-9")</f>
        <v>0</v>
      </c>
      <c r="Q1212" t="s">
        <v>2157</v>
      </c>
    </row>
    <row r="1213" spans="1:17">
      <c r="A1213">
        <v>45654953</v>
      </c>
      <c r="B1213">
        <v>2024</v>
      </c>
      <c r="C1213" t="s">
        <v>21</v>
      </c>
      <c r="D1213" t="s">
        <v>41</v>
      </c>
      <c r="E1213" t="s">
        <v>85</v>
      </c>
      <c r="F1213" t="s">
        <v>137</v>
      </c>
      <c r="G1213" t="s">
        <v>248</v>
      </c>
      <c r="H1213" t="s">
        <v>330</v>
      </c>
      <c r="I1213" t="s">
        <v>408</v>
      </c>
      <c r="J1213" t="s">
        <v>327</v>
      </c>
      <c r="K1213" t="s">
        <v>466</v>
      </c>
      <c r="L1213" t="s">
        <v>470</v>
      </c>
      <c r="M1213" t="s">
        <v>473</v>
      </c>
      <c r="N1213" t="s">
        <v>633</v>
      </c>
      <c r="O1213" t="s">
        <v>862</v>
      </c>
      <c r="P1213" s="1">
        <f>HYPERLINK("https://ec.europa.eu/info/funding-tenders/opportunities/portal/screen/opportunities/topic-details/horizon-cl6-2024-biodiv-02-1-two-stage", "HORIZON-CL6-2024-BIODIV-02-1-two-stage")</f>
        <v>0</v>
      </c>
      <c r="Q1213" t="s">
        <v>2158</v>
      </c>
    </row>
    <row r="1214" spans="1:17">
      <c r="A1214">
        <v>45655025</v>
      </c>
      <c r="B1214">
        <v>2024</v>
      </c>
      <c r="C1214" t="s">
        <v>21</v>
      </c>
      <c r="D1214" t="s">
        <v>41</v>
      </c>
      <c r="E1214" t="s">
        <v>85</v>
      </c>
      <c r="F1214" t="s">
        <v>137</v>
      </c>
      <c r="G1214" t="s">
        <v>248</v>
      </c>
      <c r="H1214" t="s">
        <v>330</v>
      </c>
      <c r="I1214" t="s">
        <v>408</v>
      </c>
      <c r="J1214" t="s">
        <v>327</v>
      </c>
      <c r="K1214" t="s">
        <v>466</v>
      </c>
      <c r="L1214" t="s">
        <v>470</v>
      </c>
      <c r="M1214" t="s">
        <v>473</v>
      </c>
      <c r="N1214" t="s">
        <v>633</v>
      </c>
      <c r="O1214" t="s">
        <v>862</v>
      </c>
      <c r="P1214" s="1">
        <f>HYPERLINK("https://ec.europa.eu/info/funding-tenders/opportunities/portal/screen/opportunities/topic-details/horizon-cl6-2024-biodiv-02-2-two-stage", "HORIZON-CL6-2024-BIODIV-02-2-two-stage")</f>
        <v>0</v>
      </c>
      <c r="Q1214" t="s">
        <v>2159</v>
      </c>
    </row>
    <row r="1215" spans="1:17">
      <c r="A1215">
        <v>45655712</v>
      </c>
      <c r="B1215">
        <v>2024</v>
      </c>
      <c r="C1215" t="s">
        <v>21</v>
      </c>
      <c r="D1215" t="s">
        <v>41</v>
      </c>
      <c r="E1215" t="s">
        <v>85</v>
      </c>
      <c r="F1215" t="s">
        <v>137</v>
      </c>
      <c r="G1215" t="s">
        <v>248</v>
      </c>
      <c r="H1215" t="s">
        <v>330</v>
      </c>
      <c r="I1215" t="s">
        <v>408</v>
      </c>
      <c r="J1215" t="s">
        <v>327</v>
      </c>
      <c r="K1215" t="s">
        <v>466</v>
      </c>
      <c r="L1215" t="s">
        <v>470</v>
      </c>
      <c r="M1215" t="s">
        <v>471</v>
      </c>
      <c r="N1215" t="s">
        <v>633</v>
      </c>
      <c r="O1215" t="s">
        <v>862</v>
      </c>
      <c r="P1215" s="1">
        <f>HYPERLINK("https://ec.europa.eu/info/funding-tenders/opportunities/portal/screen/opportunities/topic-details/horizon-cl6-2024-biodiv-02-3-two-stage", "HORIZON-CL6-2024-BIODIV-02-3-two-stage")</f>
        <v>0</v>
      </c>
      <c r="Q1215" t="s">
        <v>2160</v>
      </c>
    </row>
    <row r="1216" spans="1:17">
      <c r="A1216">
        <v>45656376</v>
      </c>
      <c r="B1216">
        <v>2024</v>
      </c>
      <c r="C1216" t="s">
        <v>21</v>
      </c>
      <c r="D1216" t="s">
        <v>41</v>
      </c>
      <c r="E1216" t="s">
        <v>85</v>
      </c>
      <c r="F1216" t="s">
        <v>139</v>
      </c>
      <c r="G1216" t="s">
        <v>248</v>
      </c>
      <c r="H1216" t="s">
        <v>330</v>
      </c>
      <c r="I1216" t="s">
        <v>408</v>
      </c>
      <c r="K1216" t="s">
        <v>466</v>
      </c>
      <c r="L1216" t="s">
        <v>469</v>
      </c>
      <c r="M1216" t="s">
        <v>473</v>
      </c>
      <c r="N1216" t="s">
        <v>634</v>
      </c>
      <c r="O1216" t="s">
        <v>870</v>
      </c>
      <c r="P1216" s="1">
        <f>HYPERLINK("https://ec.europa.eu/info/funding-tenders/opportunities/portal/screen/opportunities/topic-details/horizon-cl6-2024-climate-01-1", "HORIZON-CL6-2024-CLIMATE-01-1")</f>
        <v>0</v>
      </c>
      <c r="Q1216" t="s">
        <v>2161</v>
      </c>
    </row>
    <row r="1217" spans="1:17">
      <c r="A1217">
        <v>45656270</v>
      </c>
      <c r="B1217">
        <v>2024</v>
      </c>
      <c r="C1217" t="s">
        <v>21</v>
      </c>
      <c r="D1217" t="s">
        <v>41</v>
      </c>
      <c r="E1217" t="s">
        <v>85</v>
      </c>
      <c r="F1217" t="s">
        <v>139</v>
      </c>
      <c r="G1217" t="s">
        <v>248</v>
      </c>
      <c r="H1217" t="s">
        <v>330</v>
      </c>
      <c r="I1217" t="s">
        <v>408</v>
      </c>
      <c r="K1217" t="s">
        <v>466</v>
      </c>
      <c r="L1217" t="s">
        <v>469</v>
      </c>
      <c r="M1217" t="s">
        <v>471</v>
      </c>
      <c r="N1217" t="s">
        <v>634</v>
      </c>
      <c r="O1217" t="s">
        <v>870</v>
      </c>
      <c r="P1217" s="1">
        <f>HYPERLINK("https://ec.europa.eu/info/funding-tenders/opportunities/portal/screen/opportunities/topic-details/horizon-cl6-2024-climate-01-2", "HORIZON-CL6-2024-CLIMATE-01-2")</f>
        <v>0</v>
      </c>
      <c r="Q1217" t="s">
        <v>2162</v>
      </c>
    </row>
    <row r="1218" spans="1:17">
      <c r="A1218">
        <v>45656420</v>
      </c>
      <c r="B1218">
        <v>2024</v>
      </c>
      <c r="C1218" t="s">
        <v>21</v>
      </c>
      <c r="D1218" t="s">
        <v>41</v>
      </c>
      <c r="E1218" t="s">
        <v>85</v>
      </c>
      <c r="F1218" t="s">
        <v>139</v>
      </c>
      <c r="G1218" t="s">
        <v>248</v>
      </c>
      <c r="H1218" t="s">
        <v>330</v>
      </c>
      <c r="I1218" t="s">
        <v>408</v>
      </c>
      <c r="K1218" t="s">
        <v>466</v>
      </c>
      <c r="L1218" t="s">
        <v>469</v>
      </c>
      <c r="M1218" t="s">
        <v>473</v>
      </c>
      <c r="N1218" t="s">
        <v>634</v>
      </c>
      <c r="O1218" t="s">
        <v>870</v>
      </c>
      <c r="P1218" s="1">
        <f>HYPERLINK("https://ec.europa.eu/info/funding-tenders/opportunities/portal/screen/opportunities/topic-details/horizon-cl6-2024-climate-01-3", "HORIZON-CL6-2024-CLIMATE-01-3")</f>
        <v>0</v>
      </c>
      <c r="Q1218" t="s">
        <v>2163</v>
      </c>
    </row>
    <row r="1219" spans="1:17">
      <c r="A1219">
        <v>45656453</v>
      </c>
      <c r="B1219">
        <v>2024</v>
      </c>
      <c r="C1219" t="s">
        <v>21</v>
      </c>
      <c r="D1219" t="s">
        <v>41</v>
      </c>
      <c r="E1219" t="s">
        <v>85</v>
      </c>
      <c r="F1219" t="s">
        <v>139</v>
      </c>
      <c r="G1219" t="s">
        <v>248</v>
      </c>
      <c r="H1219" t="s">
        <v>330</v>
      </c>
      <c r="I1219" t="s">
        <v>408</v>
      </c>
      <c r="K1219" t="s">
        <v>466</v>
      </c>
      <c r="L1219" t="s">
        <v>469</v>
      </c>
      <c r="M1219" t="s">
        <v>471</v>
      </c>
      <c r="N1219" t="s">
        <v>634</v>
      </c>
      <c r="O1219" t="s">
        <v>870</v>
      </c>
      <c r="P1219" s="1">
        <f>HYPERLINK("https://ec.europa.eu/info/funding-tenders/opportunities/portal/screen/opportunities/topic-details/horizon-cl6-2024-climate-01-4", "HORIZON-CL6-2024-CLIMATE-01-4")</f>
        <v>0</v>
      </c>
      <c r="Q1219" t="s">
        <v>2164</v>
      </c>
    </row>
    <row r="1220" spans="1:17">
      <c r="A1220">
        <v>45656490</v>
      </c>
      <c r="B1220">
        <v>2024</v>
      </c>
      <c r="C1220" t="s">
        <v>21</v>
      </c>
      <c r="D1220" t="s">
        <v>41</v>
      </c>
      <c r="E1220" t="s">
        <v>85</v>
      </c>
      <c r="F1220" t="s">
        <v>139</v>
      </c>
      <c r="G1220" t="s">
        <v>248</v>
      </c>
      <c r="H1220" t="s">
        <v>330</v>
      </c>
      <c r="I1220" t="s">
        <v>408</v>
      </c>
      <c r="K1220" t="s">
        <v>466</v>
      </c>
      <c r="L1220" t="s">
        <v>469</v>
      </c>
      <c r="M1220" t="s">
        <v>471</v>
      </c>
      <c r="N1220" t="s">
        <v>634</v>
      </c>
      <c r="O1220" t="s">
        <v>870</v>
      </c>
      <c r="P1220" s="1">
        <f>HYPERLINK("https://ec.europa.eu/info/funding-tenders/opportunities/portal/screen/opportunities/topic-details/horizon-cl6-2024-climate-01-5", "HORIZON-CL6-2024-CLIMATE-01-5")</f>
        <v>0</v>
      </c>
      <c r="Q1220" t="s">
        <v>2165</v>
      </c>
    </row>
    <row r="1221" spans="1:17">
      <c r="A1221">
        <v>45656575</v>
      </c>
      <c r="B1221">
        <v>2024</v>
      </c>
      <c r="C1221" t="s">
        <v>21</v>
      </c>
      <c r="D1221" t="s">
        <v>41</v>
      </c>
      <c r="E1221" t="s">
        <v>85</v>
      </c>
      <c r="F1221" t="s">
        <v>139</v>
      </c>
      <c r="G1221" t="s">
        <v>248</v>
      </c>
      <c r="H1221" t="s">
        <v>330</v>
      </c>
      <c r="I1221" t="s">
        <v>408</v>
      </c>
      <c r="K1221" t="s">
        <v>466</v>
      </c>
      <c r="L1221" t="s">
        <v>469</v>
      </c>
      <c r="M1221" t="s">
        <v>471</v>
      </c>
      <c r="N1221" t="s">
        <v>634</v>
      </c>
      <c r="O1221" t="s">
        <v>870</v>
      </c>
      <c r="P1221" s="1">
        <f>HYPERLINK("https://ec.europa.eu/info/funding-tenders/opportunities/portal/screen/opportunities/topic-details/horizon-cl6-2024-climate-01-6", "HORIZON-CL6-2024-CLIMATE-01-6")</f>
        <v>0</v>
      </c>
      <c r="Q1221" t="s">
        <v>2166</v>
      </c>
    </row>
    <row r="1222" spans="1:17">
      <c r="A1222">
        <v>45656630</v>
      </c>
      <c r="B1222">
        <v>2024</v>
      </c>
      <c r="C1222" t="s">
        <v>21</v>
      </c>
      <c r="D1222" t="s">
        <v>41</v>
      </c>
      <c r="E1222" t="s">
        <v>85</v>
      </c>
      <c r="F1222" t="s">
        <v>139</v>
      </c>
      <c r="G1222" t="s">
        <v>248</v>
      </c>
      <c r="H1222" t="s">
        <v>330</v>
      </c>
      <c r="I1222" t="s">
        <v>408</v>
      </c>
      <c r="K1222" t="s">
        <v>466</v>
      </c>
      <c r="L1222" t="s">
        <v>469</v>
      </c>
      <c r="M1222" t="s">
        <v>471</v>
      </c>
      <c r="N1222" t="s">
        <v>634</v>
      </c>
      <c r="O1222" t="s">
        <v>870</v>
      </c>
      <c r="P1222" s="1">
        <f>HYPERLINK("https://ec.europa.eu/info/funding-tenders/opportunities/portal/screen/opportunities/topic-details/horizon-cl6-2024-climate-01-7", "HORIZON-CL6-2024-CLIMATE-01-7")</f>
        <v>0</v>
      </c>
      <c r="Q1222" t="s">
        <v>2167</v>
      </c>
    </row>
    <row r="1223" spans="1:17">
      <c r="A1223">
        <v>46906541</v>
      </c>
      <c r="B1223">
        <v>2024</v>
      </c>
      <c r="C1223" t="s">
        <v>21</v>
      </c>
      <c r="D1223" t="s">
        <v>41</v>
      </c>
      <c r="E1223" t="s">
        <v>85</v>
      </c>
      <c r="F1223" t="s">
        <v>151</v>
      </c>
      <c r="G1223" t="s">
        <v>249</v>
      </c>
      <c r="H1223" t="s">
        <v>331</v>
      </c>
      <c r="I1223" t="s">
        <v>409</v>
      </c>
      <c r="K1223" t="s">
        <v>467</v>
      </c>
      <c r="L1223" t="s">
        <v>469</v>
      </c>
      <c r="M1223" t="s">
        <v>471</v>
      </c>
      <c r="N1223" t="s">
        <v>635</v>
      </c>
      <c r="O1223" t="s">
        <v>864</v>
      </c>
      <c r="P1223" s="1">
        <f>HYPERLINK("https://ec.europa.eu/info/funding-tenders/opportunities/portal/screen/opportunities/topic-details/horizon-cl6-2024-climate-02-1", "HORIZON-CL6-2024-CLIMATE-02-1")</f>
        <v>0</v>
      </c>
      <c r="Q1223" t="s">
        <v>2168</v>
      </c>
    </row>
    <row r="1224" spans="1:17">
      <c r="A1224">
        <v>46906574</v>
      </c>
      <c r="B1224">
        <v>2024</v>
      </c>
      <c r="C1224" t="s">
        <v>21</v>
      </c>
      <c r="D1224" t="s">
        <v>41</v>
      </c>
      <c r="E1224" t="s">
        <v>85</v>
      </c>
      <c r="F1224" t="s">
        <v>151</v>
      </c>
      <c r="G1224" t="s">
        <v>249</v>
      </c>
      <c r="H1224" t="s">
        <v>331</v>
      </c>
      <c r="I1224" t="s">
        <v>409</v>
      </c>
      <c r="K1224" t="s">
        <v>467</v>
      </c>
      <c r="L1224" t="s">
        <v>469</v>
      </c>
      <c r="M1224" t="s">
        <v>473</v>
      </c>
      <c r="N1224" t="s">
        <v>635</v>
      </c>
      <c r="O1224" t="s">
        <v>864</v>
      </c>
      <c r="P1224" s="1">
        <f>HYPERLINK("https://ec.europa.eu/info/funding-tenders/opportunities/portal/screen/opportunities/topic-details/horizon-cl6-2024-climate-02-2", "HORIZON-CL6-2024-CLIMATE-02-2")</f>
        <v>0</v>
      </c>
      <c r="Q1224" t="s">
        <v>2169</v>
      </c>
    </row>
    <row r="1225" spans="1:17">
      <c r="A1225">
        <v>46906602</v>
      </c>
      <c r="B1225">
        <v>2024</v>
      </c>
      <c r="C1225" t="s">
        <v>21</v>
      </c>
      <c r="D1225" t="s">
        <v>41</v>
      </c>
      <c r="E1225" t="s">
        <v>85</v>
      </c>
      <c r="F1225" t="s">
        <v>151</v>
      </c>
      <c r="G1225" t="s">
        <v>249</v>
      </c>
      <c r="H1225" t="s">
        <v>331</v>
      </c>
      <c r="I1225" t="s">
        <v>409</v>
      </c>
      <c r="K1225" t="s">
        <v>467</v>
      </c>
      <c r="L1225" t="s">
        <v>469</v>
      </c>
      <c r="M1225" t="s">
        <v>471</v>
      </c>
      <c r="N1225" t="s">
        <v>635</v>
      </c>
      <c r="O1225" t="s">
        <v>864</v>
      </c>
      <c r="P1225" s="1">
        <f>HYPERLINK("https://ec.europa.eu/info/funding-tenders/opportunities/portal/screen/opportunities/topic-details/horizon-cl6-2024-climate-02-3", "HORIZON-CL6-2024-CLIMATE-02-3")</f>
        <v>0</v>
      </c>
      <c r="Q1225" t="s">
        <v>2170</v>
      </c>
    </row>
    <row r="1226" spans="1:17">
      <c r="A1226">
        <v>45656942</v>
      </c>
      <c r="B1226">
        <v>2024</v>
      </c>
      <c r="C1226" t="s">
        <v>21</v>
      </c>
      <c r="D1226" t="s">
        <v>41</v>
      </c>
      <c r="E1226" t="s">
        <v>85</v>
      </c>
      <c r="F1226" t="s">
        <v>140</v>
      </c>
      <c r="G1226" t="s">
        <v>248</v>
      </c>
      <c r="H1226" t="s">
        <v>330</v>
      </c>
      <c r="I1226" t="s">
        <v>408</v>
      </c>
      <c r="K1226" t="s">
        <v>466</v>
      </c>
      <c r="L1226" t="s">
        <v>469</v>
      </c>
      <c r="M1226" t="s">
        <v>473</v>
      </c>
      <c r="N1226" t="s">
        <v>636</v>
      </c>
      <c r="O1226" t="s">
        <v>865</v>
      </c>
      <c r="P1226" s="1">
        <f>HYPERLINK("https://ec.europa.eu/info/funding-tenders/opportunities/portal/screen/opportunities/topic-details/horizon-cl6-2024-communities-01-1", "HORIZON-CL6-2024-COMMUNITIES-01-1")</f>
        <v>0</v>
      </c>
      <c r="Q1226" t="s">
        <v>2171</v>
      </c>
    </row>
    <row r="1227" spans="1:17">
      <c r="A1227">
        <v>45657089</v>
      </c>
      <c r="B1227">
        <v>2024</v>
      </c>
      <c r="C1227" t="s">
        <v>21</v>
      </c>
      <c r="D1227" t="s">
        <v>41</v>
      </c>
      <c r="E1227" t="s">
        <v>85</v>
      </c>
      <c r="F1227" t="s">
        <v>140</v>
      </c>
      <c r="G1227" t="s">
        <v>248</v>
      </c>
      <c r="H1227" t="s">
        <v>330</v>
      </c>
      <c r="I1227" t="s">
        <v>408</v>
      </c>
      <c r="K1227" t="s">
        <v>466</v>
      </c>
      <c r="L1227" t="s">
        <v>469</v>
      </c>
      <c r="M1227" t="s">
        <v>471</v>
      </c>
      <c r="N1227" t="s">
        <v>636</v>
      </c>
      <c r="O1227" t="s">
        <v>865</v>
      </c>
      <c r="P1227" s="1">
        <f>HYPERLINK("https://ec.europa.eu/info/funding-tenders/opportunities/portal/screen/opportunities/topic-details/horizon-cl6-2024-communities-01-2", "HORIZON-CL6-2024-COMMUNITIES-01-2")</f>
        <v>0</v>
      </c>
      <c r="Q1227" t="s">
        <v>2172</v>
      </c>
    </row>
    <row r="1228" spans="1:17">
      <c r="A1228">
        <v>45657173</v>
      </c>
      <c r="B1228">
        <v>2024</v>
      </c>
      <c r="C1228" t="s">
        <v>21</v>
      </c>
      <c r="D1228" t="s">
        <v>41</v>
      </c>
      <c r="E1228" t="s">
        <v>85</v>
      </c>
      <c r="F1228" t="s">
        <v>140</v>
      </c>
      <c r="G1228" t="s">
        <v>248</v>
      </c>
      <c r="H1228" t="s">
        <v>330</v>
      </c>
      <c r="I1228" t="s">
        <v>408</v>
      </c>
      <c r="K1228" t="s">
        <v>466</v>
      </c>
      <c r="L1228" t="s">
        <v>469</v>
      </c>
      <c r="M1228" t="s">
        <v>471</v>
      </c>
      <c r="N1228" t="s">
        <v>636</v>
      </c>
      <c r="O1228" t="s">
        <v>865</v>
      </c>
      <c r="P1228" s="1">
        <f>HYPERLINK("https://ec.europa.eu/info/funding-tenders/opportunities/portal/screen/opportunities/topic-details/horizon-cl6-2024-communities-01-3", "HORIZON-CL6-2024-COMMUNITIES-01-3")</f>
        <v>0</v>
      </c>
      <c r="Q1228" t="s">
        <v>2173</v>
      </c>
    </row>
    <row r="1229" spans="1:17">
      <c r="A1229">
        <v>45657022</v>
      </c>
      <c r="B1229">
        <v>2024</v>
      </c>
      <c r="C1229" t="s">
        <v>21</v>
      </c>
      <c r="D1229" t="s">
        <v>41</v>
      </c>
      <c r="E1229" t="s">
        <v>85</v>
      </c>
      <c r="F1229" t="s">
        <v>152</v>
      </c>
      <c r="G1229" t="s">
        <v>248</v>
      </c>
      <c r="H1229" t="s">
        <v>330</v>
      </c>
      <c r="I1229" t="s">
        <v>408</v>
      </c>
      <c r="J1229" t="s">
        <v>327</v>
      </c>
      <c r="K1229" t="s">
        <v>466</v>
      </c>
      <c r="L1229" t="s">
        <v>470</v>
      </c>
      <c r="M1229" t="s">
        <v>473</v>
      </c>
      <c r="N1229" t="s">
        <v>637</v>
      </c>
      <c r="O1229" t="s">
        <v>865</v>
      </c>
      <c r="P1229" s="1">
        <f>HYPERLINK("https://ec.europa.eu/info/funding-tenders/opportunities/portal/screen/opportunities/topic-details/horizon-cl6-2024-communities-02-1-two-stage", "HORIZON-CL6-2024-COMMUNITIES-02-1-two-stage")</f>
        <v>0</v>
      </c>
      <c r="Q1229" t="s">
        <v>2174</v>
      </c>
    </row>
    <row r="1230" spans="1:17">
      <c r="A1230">
        <v>45657126</v>
      </c>
      <c r="B1230">
        <v>2024</v>
      </c>
      <c r="C1230" t="s">
        <v>21</v>
      </c>
      <c r="D1230" t="s">
        <v>41</v>
      </c>
      <c r="E1230" t="s">
        <v>85</v>
      </c>
      <c r="F1230" t="s">
        <v>152</v>
      </c>
      <c r="G1230" t="s">
        <v>248</v>
      </c>
      <c r="H1230" t="s">
        <v>330</v>
      </c>
      <c r="I1230" t="s">
        <v>408</v>
      </c>
      <c r="J1230" t="s">
        <v>327</v>
      </c>
      <c r="K1230" t="s">
        <v>466</v>
      </c>
      <c r="L1230" t="s">
        <v>470</v>
      </c>
      <c r="M1230" t="s">
        <v>471</v>
      </c>
      <c r="N1230" t="s">
        <v>637</v>
      </c>
      <c r="O1230" t="s">
        <v>865</v>
      </c>
      <c r="P1230" s="1">
        <f>HYPERLINK("https://ec.europa.eu/info/funding-tenders/opportunities/portal/screen/opportunities/topic-details/horizon-cl6-2024-communities-02-2-two-stage", "HORIZON-CL6-2024-COMMUNITIES-02-2-two-stage")</f>
        <v>0</v>
      </c>
      <c r="Q1230" t="s">
        <v>2175</v>
      </c>
    </row>
    <row r="1231" spans="1:17">
      <c r="A1231">
        <v>45652056</v>
      </c>
      <c r="B1231">
        <v>2024</v>
      </c>
      <c r="C1231" t="s">
        <v>21</v>
      </c>
      <c r="D1231" t="s">
        <v>41</v>
      </c>
      <c r="E1231" t="s">
        <v>85</v>
      </c>
      <c r="F1231" t="s">
        <v>138</v>
      </c>
      <c r="G1231" t="s">
        <v>248</v>
      </c>
      <c r="H1231" t="s">
        <v>330</v>
      </c>
      <c r="I1231" t="s">
        <v>408</v>
      </c>
      <c r="K1231" t="s">
        <v>466</v>
      </c>
      <c r="L1231" t="s">
        <v>469</v>
      </c>
      <c r="M1231" t="s">
        <v>472</v>
      </c>
      <c r="N1231" t="s">
        <v>638</v>
      </c>
      <c r="O1231" t="s">
        <v>863</v>
      </c>
      <c r="P1231" s="1">
        <f>HYPERLINK("https://ec.europa.eu/info/funding-tenders/opportunities/portal/screen/opportunities/topic-details/horizon-cl6-2024-circbio-01-1", "HORIZON-CL6-2024-CircBio-01-1")</f>
        <v>0</v>
      </c>
      <c r="Q1231" t="s">
        <v>1895</v>
      </c>
    </row>
    <row r="1232" spans="1:17">
      <c r="A1232">
        <v>45652659</v>
      </c>
      <c r="B1232">
        <v>2024</v>
      </c>
      <c r="C1232" t="s">
        <v>21</v>
      </c>
      <c r="D1232" t="s">
        <v>41</v>
      </c>
      <c r="E1232" t="s">
        <v>85</v>
      </c>
      <c r="F1232" t="s">
        <v>138</v>
      </c>
      <c r="G1232" t="s">
        <v>248</v>
      </c>
      <c r="H1232" t="s">
        <v>330</v>
      </c>
      <c r="I1232" t="s">
        <v>408</v>
      </c>
      <c r="K1232" t="s">
        <v>466</v>
      </c>
      <c r="L1232" t="s">
        <v>469</v>
      </c>
      <c r="M1232" t="s">
        <v>471</v>
      </c>
      <c r="N1232" t="s">
        <v>638</v>
      </c>
      <c r="O1232" t="s">
        <v>863</v>
      </c>
      <c r="P1232" s="1">
        <f>HYPERLINK("https://ec.europa.eu/info/funding-tenders/opportunities/portal/screen/opportunities/topic-details/horizon-cl6-2024-circbio-01-10", "HORIZON-CL6-2024-CircBio-01-10")</f>
        <v>0</v>
      </c>
      <c r="Q1232" t="s">
        <v>2176</v>
      </c>
    </row>
    <row r="1233" spans="1:17">
      <c r="A1233">
        <v>45652172</v>
      </c>
      <c r="B1233">
        <v>2024</v>
      </c>
      <c r="C1233" t="s">
        <v>21</v>
      </c>
      <c r="D1233" t="s">
        <v>41</v>
      </c>
      <c r="E1233" t="s">
        <v>85</v>
      </c>
      <c r="F1233" t="s">
        <v>138</v>
      </c>
      <c r="G1233" t="s">
        <v>248</v>
      </c>
      <c r="H1233" t="s">
        <v>330</v>
      </c>
      <c r="I1233" t="s">
        <v>408</v>
      </c>
      <c r="K1233" t="s">
        <v>466</v>
      </c>
      <c r="L1233" t="s">
        <v>469</v>
      </c>
      <c r="M1233" t="s">
        <v>473</v>
      </c>
      <c r="N1233" t="s">
        <v>638</v>
      </c>
      <c r="O1233" t="s">
        <v>863</v>
      </c>
      <c r="P1233" s="1">
        <f>HYPERLINK("https://ec.europa.eu/info/funding-tenders/opportunities/portal/screen/opportunities/topic-details/horizon-cl6-2024-circbio-01-2", "HORIZON-CL6-2024-CircBio-01-2")</f>
        <v>0</v>
      </c>
      <c r="Q1233" t="s">
        <v>2177</v>
      </c>
    </row>
    <row r="1234" spans="1:17">
      <c r="A1234">
        <v>45652246</v>
      </c>
      <c r="B1234">
        <v>2024</v>
      </c>
      <c r="C1234" t="s">
        <v>21</v>
      </c>
      <c r="D1234" t="s">
        <v>41</v>
      </c>
      <c r="E1234" t="s">
        <v>85</v>
      </c>
      <c r="F1234" t="s">
        <v>138</v>
      </c>
      <c r="G1234" t="s">
        <v>248</v>
      </c>
      <c r="H1234" t="s">
        <v>330</v>
      </c>
      <c r="I1234" t="s">
        <v>408</v>
      </c>
      <c r="K1234" t="s">
        <v>466</v>
      </c>
      <c r="L1234" t="s">
        <v>469</v>
      </c>
      <c r="M1234" t="s">
        <v>473</v>
      </c>
      <c r="N1234" t="s">
        <v>638</v>
      </c>
      <c r="O1234" t="s">
        <v>863</v>
      </c>
      <c r="P1234" s="1">
        <f>HYPERLINK("https://ec.europa.eu/info/funding-tenders/opportunities/portal/screen/opportunities/topic-details/horizon-cl6-2024-circbio-01-3", "HORIZON-CL6-2024-CircBio-01-3")</f>
        <v>0</v>
      </c>
      <c r="Q1234" t="s">
        <v>2178</v>
      </c>
    </row>
    <row r="1235" spans="1:17">
      <c r="A1235">
        <v>45652284</v>
      </c>
      <c r="B1235">
        <v>2024</v>
      </c>
      <c r="C1235" t="s">
        <v>21</v>
      </c>
      <c r="D1235" t="s">
        <v>41</v>
      </c>
      <c r="E1235" t="s">
        <v>85</v>
      </c>
      <c r="F1235" t="s">
        <v>138</v>
      </c>
      <c r="G1235" t="s">
        <v>248</v>
      </c>
      <c r="H1235" t="s">
        <v>330</v>
      </c>
      <c r="I1235" t="s">
        <v>408</v>
      </c>
      <c r="K1235" t="s">
        <v>466</v>
      </c>
      <c r="L1235" t="s">
        <v>469</v>
      </c>
      <c r="M1235" t="s">
        <v>473</v>
      </c>
      <c r="N1235" t="s">
        <v>638</v>
      </c>
      <c r="O1235" t="s">
        <v>863</v>
      </c>
      <c r="P1235" s="1">
        <f>HYPERLINK("https://ec.europa.eu/info/funding-tenders/opportunities/portal/screen/opportunities/topic-details/horizon-cl6-2024-circbio-01-4", "HORIZON-CL6-2024-CircBio-01-4")</f>
        <v>0</v>
      </c>
      <c r="Q1235" t="s">
        <v>2179</v>
      </c>
    </row>
    <row r="1236" spans="1:17">
      <c r="A1236">
        <v>45652538</v>
      </c>
      <c r="B1236">
        <v>2024</v>
      </c>
      <c r="C1236" t="s">
        <v>21</v>
      </c>
      <c r="D1236" t="s">
        <v>41</v>
      </c>
      <c r="E1236" t="s">
        <v>85</v>
      </c>
      <c r="F1236" t="s">
        <v>138</v>
      </c>
      <c r="G1236" t="s">
        <v>248</v>
      </c>
      <c r="H1236" t="s">
        <v>330</v>
      </c>
      <c r="I1236" t="s">
        <v>408</v>
      </c>
      <c r="K1236" t="s">
        <v>466</v>
      </c>
      <c r="L1236" t="s">
        <v>469</v>
      </c>
      <c r="M1236" t="s">
        <v>471</v>
      </c>
      <c r="N1236" t="s">
        <v>638</v>
      </c>
      <c r="O1236" t="s">
        <v>863</v>
      </c>
      <c r="P1236" s="1">
        <f>HYPERLINK("https://ec.europa.eu/info/funding-tenders/opportunities/portal/screen/opportunities/topic-details/horizon-cl6-2024-circbio-01-5", "HORIZON-CL6-2024-CircBio-01-5")</f>
        <v>0</v>
      </c>
      <c r="Q1236" t="s">
        <v>2180</v>
      </c>
    </row>
    <row r="1237" spans="1:17">
      <c r="A1237">
        <v>45652588</v>
      </c>
      <c r="B1237">
        <v>2024</v>
      </c>
      <c r="C1237" t="s">
        <v>21</v>
      </c>
      <c r="D1237" t="s">
        <v>41</v>
      </c>
      <c r="E1237" t="s">
        <v>85</v>
      </c>
      <c r="F1237" t="s">
        <v>138</v>
      </c>
      <c r="G1237" t="s">
        <v>248</v>
      </c>
      <c r="H1237" t="s">
        <v>330</v>
      </c>
      <c r="I1237" t="s">
        <v>408</v>
      </c>
      <c r="K1237" t="s">
        <v>466</v>
      </c>
      <c r="L1237" t="s">
        <v>469</v>
      </c>
      <c r="M1237" t="s">
        <v>471</v>
      </c>
      <c r="N1237" t="s">
        <v>638</v>
      </c>
      <c r="O1237" t="s">
        <v>863</v>
      </c>
      <c r="P1237" s="1">
        <f>HYPERLINK("https://ec.europa.eu/info/funding-tenders/opportunities/portal/screen/opportunities/topic-details/horizon-cl6-2024-circbio-01-6", "HORIZON-CL6-2024-CircBio-01-6")</f>
        <v>0</v>
      </c>
      <c r="Q1237" t="s">
        <v>2181</v>
      </c>
    </row>
    <row r="1238" spans="1:17">
      <c r="A1238">
        <v>45657991</v>
      </c>
      <c r="B1238">
        <v>2024</v>
      </c>
      <c r="C1238" t="s">
        <v>21</v>
      </c>
      <c r="D1238" t="s">
        <v>41</v>
      </c>
      <c r="E1238" t="s">
        <v>85</v>
      </c>
      <c r="F1238" t="s">
        <v>138</v>
      </c>
      <c r="G1238" t="s">
        <v>248</v>
      </c>
      <c r="H1238" t="s">
        <v>330</v>
      </c>
      <c r="I1238" t="s">
        <v>408</v>
      </c>
      <c r="K1238" t="s">
        <v>466</v>
      </c>
      <c r="L1238" t="s">
        <v>469</v>
      </c>
      <c r="M1238" t="s">
        <v>473</v>
      </c>
      <c r="N1238" t="s">
        <v>638</v>
      </c>
      <c r="O1238" t="s">
        <v>863</v>
      </c>
      <c r="P1238" s="1">
        <f>HYPERLINK("https://ec.europa.eu/info/funding-tenders/opportunities/portal/screen/opportunities/topic-details/horizon-cl6-2024-circbio-01-7", "HORIZON-CL6-2024-CircBio-01-7")</f>
        <v>0</v>
      </c>
      <c r="Q1238" t="s">
        <v>2182</v>
      </c>
    </row>
    <row r="1239" spans="1:17">
      <c r="A1239">
        <v>45658045</v>
      </c>
      <c r="B1239">
        <v>2024</v>
      </c>
      <c r="C1239" t="s">
        <v>21</v>
      </c>
      <c r="D1239" t="s">
        <v>41</v>
      </c>
      <c r="E1239" t="s">
        <v>85</v>
      </c>
      <c r="F1239" t="s">
        <v>138</v>
      </c>
      <c r="G1239" t="s">
        <v>248</v>
      </c>
      <c r="H1239" t="s">
        <v>330</v>
      </c>
      <c r="I1239" t="s">
        <v>408</v>
      </c>
      <c r="K1239" t="s">
        <v>466</v>
      </c>
      <c r="L1239" t="s">
        <v>469</v>
      </c>
      <c r="M1239" t="s">
        <v>472</v>
      </c>
      <c r="N1239" t="s">
        <v>638</v>
      </c>
      <c r="O1239" t="s">
        <v>863</v>
      </c>
      <c r="P1239" s="1">
        <f>HYPERLINK("https://ec.europa.eu/info/funding-tenders/opportunities/portal/screen/opportunities/topic-details/horizon-cl6-2024-circbio-01-8", "HORIZON-CL6-2024-CircBio-01-8")</f>
        <v>0</v>
      </c>
      <c r="Q1239" t="s">
        <v>2183</v>
      </c>
    </row>
    <row r="1240" spans="1:17">
      <c r="A1240">
        <v>45649768</v>
      </c>
      <c r="B1240">
        <v>2024</v>
      </c>
      <c r="C1240" t="s">
        <v>21</v>
      </c>
      <c r="D1240" t="s">
        <v>41</v>
      </c>
      <c r="E1240" t="s">
        <v>85</v>
      </c>
      <c r="F1240" t="s">
        <v>138</v>
      </c>
      <c r="G1240" t="s">
        <v>248</v>
      </c>
      <c r="H1240" t="s">
        <v>330</v>
      </c>
      <c r="I1240" t="s">
        <v>408</v>
      </c>
      <c r="K1240" t="s">
        <v>466</v>
      </c>
      <c r="L1240" t="s">
        <v>469</v>
      </c>
      <c r="M1240" t="s">
        <v>472</v>
      </c>
      <c r="N1240" t="s">
        <v>638</v>
      </c>
      <c r="O1240" t="s">
        <v>863</v>
      </c>
      <c r="P1240" s="1">
        <f>HYPERLINK("https://ec.europa.eu/info/funding-tenders/opportunities/portal/screen/opportunities/topic-details/horizon-cl6-2024-circbio-01-9", "HORIZON-CL6-2024-CircBio-01-9")</f>
        <v>0</v>
      </c>
      <c r="Q1240" t="s">
        <v>2184</v>
      </c>
    </row>
    <row r="1241" spans="1:17">
      <c r="A1241">
        <v>45652207</v>
      </c>
      <c r="B1241">
        <v>2024</v>
      </c>
      <c r="C1241" t="s">
        <v>21</v>
      </c>
      <c r="D1241" t="s">
        <v>41</v>
      </c>
      <c r="E1241" t="s">
        <v>85</v>
      </c>
      <c r="F1241" t="s">
        <v>148</v>
      </c>
      <c r="G1241" t="s">
        <v>248</v>
      </c>
      <c r="H1241" t="s">
        <v>330</v>
      </c>
      <c r="I1241" t="s">
        <v>408</v>
      </c>
      <c r="J1241" t="s">
        <v>327</v>
      </c>
      <c r="K1241" t="s">
        <v>466</v>
      </c>
      <c r="L1241" t="s">
        <v>470</v>
      </c>
      <c r="M1241" t="s">
        <v>471</v>
      </c>
      <c r="N1241" t="s">
        <v>639</v>
      </c>
      <c r="O1241" t="s">
        <v>863</v>
      </c>
      <c r="P1241" s="1">
        <f>HYPERLINK("https://ec.europa.eu/info/funding-tenders/opportunities/portal/screen/opportunities/topic-details/horizon-cl6-2024-circbio-02-1-two-stage", "HORIZON-CL6-2024-CircBio-02-1-two-stage")</f>
        <v>0</v>
      </c>
      <c r="Q1241" t="s">
        <v>2185</v>
      </c>
    </row>
    <row r="1242" spans="1:17">
      <c r="A1242">
        <v>45652330</v>
      </c>
      <c r="B1242">
        <v>2024</v>
      </c>
      <c r="C1242" t="s">
        <v>21</v>
      </c>
      <c r="D1242" t="s">
        <v>41</v>
      </c>
      <c r="E1242" t="s">
        <v>85</v>
      </c>
      <c r="F1242" t="s">
        <v>148</v>
      </c>
      <c r="G1242" t="s">
        <v>248</v>
      </c>
      <c r="H1242" t="s">
        <v>330</v>
      </c>
      <c r="I1242" t="s">
        <v>408</v>
      </c>
      <c r="J1242" t="s">
        <v>327</v>
      </c>
      <c r="K1242" t="s">
        <v>466</v>
      </c>
      <c r="L1242" t="s">
        <v>470</v>
      </c>
      <c r="M1242" t="s">
        <v>473</v>
      </c>
      <c r="N1242" t="s">
        <v>639</v>
      </c>
      <c r="O1242" t="s">
        <v>863</v>
      </c>
      <c r="P1242" s="1">
        <f>HYPERLINK("https://ec.europa.eu/info/funding-tenders/opportunities/portal/screen/opportunities/topic-details/horizon-cl6-2024-circbio-02-2-two-stage", "HORIZON-CL6-2024-CircBio-02-2-two-stage")</f>
        <v>0</v>
      </c>
      <c r="Q1242" t="s">
        <v>2186</v>
      </c>
    </row>
    <row r="1243" spans="1:17">
      <c r="A1243">
        <v>45652370</v>
      </c>
      <c r="B1243">
        <v>2024</v>
      </c>
      <c r="C1243" t="s">
        <v>21</v>
      </c>
      <c r="D1243" t="s">
        <v>41</v>
      </c>
      <c r="E1243" t="s">
        <v>85</v>
      </c>
      <c r="F1243" t="s">
        <v>148</v>
      </c>
      <c r="G1243" t="s">
        <v>248</v>
      </c>
      <c r="H1243" t="s">
        <v>330</v>
      </c>
      <c r="I1243" t="s">
        <v>408</v>
      </c>
      <c r="J1243" t="s">
        <v>327</v>
      </c>
      <c r="K1243" t="s">
        <v>466</v>
      </c>
      <c r="L1243" t="s">
        <v>470</v>
      </c>
      <c r="M1243" t="s">
        <v>473</v>
      </c>
      <c r="N1243" t="s">
        <v>639</v>
      </c>
      <c r="O1243" t="s">
        <v>863</v>
      </c>
      <c r="P1243" s="1">
        <f>HYPERLINK("https://ec.europa.eu/info/funding-tenders/opportunities/portal/screen/opportunities/topic-details/horizon-cl6-2024-circbio-02-3-two-stage", "HORIZON-CL6-2024-CircBio-02-3-two-stage")</f>
        <v>0</v>
      </c>
      <c r="Q1243" t="s">
        <v>2187</v>
      </c>
    </row>
    <row r="1244" spans="1:17">
      <c r="A1244">
        <v>45652409</v>
      </c>
      <c r="B1244">
        <v>2024</v>
      </c>
      <c r="C1244" t="s">
        <v>21</v>
      </c>
      <c r="D1244" t="s">
        <v>41</v>
      </c>
      <c r="E1244" t="s">
        <v>85</v>
      </c>
      <c r="F1244" t="s">
        <v>148</v>
      </c>
      <c r="G1244" t="s">
        <v>248</v>
      </c>
      <c r="H1244" t="s">
        <v>330</v>
      </c>
      <c r="I1244" t="s">
        <v>408</v>
      </c>
      <c r="J1244" t="s">
        <v>327</v>
      </c>
      <c r="K1244" t="s">
        <v>466</v>
      </c>
      <c r="L1244" t="s">
        <v>470</v>
      </c>
      <c r="M1244" t="s">
        <v>473</v>
      </c>
      <c r="N1244" t="s">
        <v>639</v>
      </c>
      <c r="O1244" t="s">
        <v>863</v>
      </c>
      <c r="P1244" s="1">
        <f>HYPERLINK("https://ec.europa.eu/info/funding-tenders/opportunities/portal/screen/opportunities/topic-details/horizon-cl6-2024-circbio-02-4-two-stage", "HORIZON-CL6-2024-CircBio-02-4-two-stage")</f>
        <v>0</v>
      </c>
      <c r="Q1244" t="s">
        <v>2188</v>
      </c>
    </row>
    <row r="1245" spans="1:17">
      <c r="A1245">
        <v>45652483</v>
      </c>
      <c r="B1245">
        <v>2024</v>
      </c>
      <c r="C1245" t="s">
        <v>21</v>
      </c>
      <c r="D1245" t="s">
        <v>41</v>
      </c>
      <c r="E1245" t="s">
        <v>85</v>
      </c>
      <c r="F1245" t="s">
        <v>148</v>
      </c>
      <c r="G1245" t="s">
        <v>248</v>
      </c>
      <c r="H1245" t="s">
        <v>330</v>
      </c>
      <c r="I1245" t="s">
        <v>408</v>
      </c>
      <c r="J1245" t="s">
        <v>327</v>
      </c>
      <c r="K1245" t="s">
        <v>466</v>
      </c>
      <c r="L1245" t="s">
        <v>470</v>
      </c>
      <c r="M1245" t="s">
        <v>471</v>
      </c>
      <c r="N1245" t="s">
        <v>639</v>
      </c>
      <c r="O1245" t="s">
        <v>863</v>
      </c>
      <c r="P1245" s="1">
        <f>HYPERLINK("https://ec.europa.eu/info/funding-tenders/opportunities/portal/screen/opportunities/topic-details/horizon-cl6-2024-circbio-02-5-two-stage", "HORIZON-CL6-2024-CircBio-02-5-two-stage")</f>
        <v>0</v>
      </c>
      <c r="Q1245" t="s">
        <v>2189</v>
      </c>
    </row>
    <row r="1246" spans="1:17">
      <c r="A1246">
        <v>45652634</v>
      </c>
      <c r="B1246">
        <v>2024</v>
      </c>
      <c r="C1246" t="s">
        <v>21</v>
      </c>
      <c r="D1246" t="s">
        <v>41</v>
      </c>
      <c r="E1246" t="s">
        <v>85</v>
      </c>
      <c r="F1246" t="s">
        <v>148</v>
      </c>
      <c r="G1246" t="s">
        <v>248</v>
      </c>
      <c r="H1246" t="s">
        <v>330</v>
      </c>
      <c r="I1246" t="s">
        <v>408</v>
      </c>
      <c r="J1246" t="s">
        <v>327</v>
      </c>
      <c r="K1246" t="s">
        <v>466</v>
      </c>
      <c r="L1246" t="s">
        <v>470</v>
      </c>
      <c r="M1246" t="s">
        <v>473</v>
      </c>
      <c r="N1246" t="s">
        <v>639</v>
      </c>
      <c r="O1246" t="s">
        <v>863</v>
      </c>
      <c r="P1246" s="1">
        <f>HYPERLINK("https://ec.europa.eu/info/funding-tenders/opportunities/portal/screen/opportunities/topic-details/horizon-cl6-2024-circbio-02-6-two-stage", "HORIZON-CL6-2024-CircBio-02-6-two-stage")</f>
        <v>0</v>
      </c>
      <c r="Q1246" t="s">
        <v>2190</v>
      </c>
    </row>
    <row r="1247" spans="1:17">
      <c r="A1247">
        <v>45653888</v>
      </c>
      <c r="B1247">
        <v>2024</v>
      </c>
      <c r="C1247" t="s">
        <v>21</v>
      </c>
      <c r="D1247" t="s">
        <v>41</v>
      </c>
      <c r="E1247" t="s">
        <v>85</v>
      </c>
      <c r="F1247" t="s">
        <v>141</v>
      </c>
      <c r="G1247" t="s">
        <v>248</v>
      </c>
      <c r="H1247" t="s">
        <v>330</v>
      </c>
      <c r="I1247" t="s">
        <v>408</v>
      </c>
      <c r="K1247" t="s">
        <v>466</v>
      </c>
      <c r="L1247" t="s">
        <v>469</v>
      </c>
      <c r="M1247" t="s">
        <v>471</v>
      </c>
      <c r="N1247" t="s">
        <v>640</v>
      </c>
      <c r="O1247" t="s">
        <v>866</v>
      </c>
      <c r="P1247" s="1">
        <f>HYPERLINK("https://ec.europa.eu/info/funding-tenders/opportunities/portal/screen/opportunities/topic-details/horizon-cl6-2024-farm2fork-01-1", "HORIZON-CL6-2024-FARM2FORK-01-1")</f>
        <v>0</v>
      </c>
      <c r="Q1247" t="s">
        <v>2191</v>
      </c>
    </row>
    <row r="1248" spans="1:17">
      <c r="A1248">
        <v>45654537</v>
      </c>
      <c r="B1248">
        <v>2024</v>
      </c>
      <c r="C1248" t="s">
        <v>21</v>
      </c>
      <c r="D1248" t="s">
        <v>41</v>
      </c>
      <c r="E1248" t="s">
        <v>85</v>
      </c>
      <c r="F1248" t="s">
        <v>141</v>
      </c>
      <c r="G1248" t="s">
        <v>248</v>
      </c>
      <c r="H1248" t="s">
        <v>330</v>
      </c>
      <c r="I1248" t="s">
        <v>408</v>
      </c>
      <c r="K1248" t="s">
        <v>466</v>
      </c>
      <c r="L1248" t="s">
        <v>469</v>
      </c>
      <c r="M1248" t="s">
        <v>471</v>
      </c>
      <c r="N1248" t="s">
        <v>640</v>
      </c>
      <c r="O1248" t="s">
        <v>866</v>
      </c>
      <c r="P1248" s="1">
        <f>HYPERLINK("https://ec.europa.eu/info/funding-tenders/opportunities/portal/screen/opportunities/topic-details/horizon-cl6-2024-farm2fork-01-10", "HORIZON-CL6-2024-FARM2FORK-01-10")</f>
        <v>0</v>
      </c>
      <c r="Q1248" t="s">
        <v>2192</v>
      </c>
    </row>
    <row r="1249" spans="1:17">
      <c r="A1249">
        <v>45654585</v>
      </c>
      <c r="B1249">
        <v>2024</v>
      </c>
      <c r="C1249" t="s">
        <v>21</v>
      </c>
      <c r="D1249" t="s">
        <v>41</v>
      </c>
      <c r="E1249" t="s">
        <v>85</v>
      </c>
      <c r="F1249" t="s">
        <v>141</v>
      </c>
      <c r="G1249" t="s">
        <v>248</v>
      </c>
      <c r="H1249" t="s">
        <v>330</v>
      </c>
      <c r="I1249" t="s">
        <v>408</v>
      </c>
      <c r="K1249" t="s">
        <v>466</v>
      </c>
      <c r="L1249" t="s">
        <v>469</v>
      </c>
      <c r="M1249" t="s">
        <v>471</v>
      </c>
      <c r="N1249" t="s">
        <v>640</v>
      </c>
      <c r="O1249" t="s">
        <v>866</v>
      </c>
      <c r="P1249" s="1">
        <f>HYPERLINK("https://ec.europa.eu/info/funding-tenders/opportunities/portal/screen/opportunities/topic-details/horizon-cl6-2024-farm2fork-01-11", "HORIZON-CL6-2024-FARM2FORK-01-11")</f>
        <v>0</v>
      </c>
      <c r="Q1249" t="s">
        <v>2193</v>
      </c>
    </row>
    <row r="1250" spans="1:17">
      <c r="A1250">
        <v>45654005</v>
      </c>
      <c r="B1250">
        <v>2024</v>
      </c>
      <c r="C1250" t="s">
        <v>21</v>
      </c>
      <c r="D1250" t="s">
        <v>41</v>
      </c>
      <c r="E1250" t="s">
        <v>85</v>
      </c>
      <c r="F1250" t="s">
        <v>141</v>
      </c>
      <c r="G1250" t="s">
        <v>248</v>
      </c>
      <c r="H1250" t="s">
        <v>330</v>
      </c>
      <c r="I1250" t="s">
        <v>408</v>
      </c>
      <c r="K1250" t="s">
        <v>466</v>
      </c>
      <c r="L1250" t="s">
        <v>469</v>
      </c>
      <c r="M1250" t="s">
        <v>471</v>
      </c>
      <c r="N1250" t="s">
        <v>640</v>
      </c>
      <c r="O1250" t="s">
        <v>866</v>
      </c>
      <c r="P1250" s="1">
        <f>HYPERLINK("https://ec.europa.eu/info/funding-tenders/opportunities/portal/screen/opportunities/topic-details/horizon-cl6-2024-farm2fork-01-2", "HORIZON-CL6-2024-FARM2FORK-01-2")</f>
        <v>0</v>
      </c>
      <c r="Q1250" t="s">
        <v>2194</v>
      </c>
    </row>
    <row r="1251" spans="1:17">
      <c r="A1251">
        <v>45654073</v>
      </c>
      <c r="B1251">
        <v>2024</v>
      </c>
      <c r="C1251" t="s">
        <v>21</v>
      </c>
      <c r="D1251" t="s">
        <v>41</v>
      </c>
      <c r="E1251" t="s">
        <v>85</v>
      </c>
      <c r="F1251" t="s">
        <v>141</v>
      </c>
      <c r="G1251" t="s">
        <v>248</v>
      </c>
      <c r="H1251" t="s">
        <v>330</v>
      </c>
      <c r="I1251" t="s">
        <v>408</v>
      </c>
      <c r="K1251" t="s">
        <v>466</v>
      </c>
      <c r="L1251" t="s">
        <v>469</v>
      </c>
      <c r="M1251" t="s">
        <v>472</v>
      </c>
      <c r="N1251" t="s">
        <v>640</v>
      </c>
      <c r="O1251" t="s">
        <v>866</v>
      </c>
      <c r="P1251" s="1">
        <f>HYPERLINK("https://ec.europa.eu/info/funding-tenders/opportunities/portal/screen/opportunities/topic-details/horizon-cl6-2024-farm2fork-01-3", "HORIZON-CL6-2024-FARM2FORK-01-3")</f>
        <v>0</v>
      </c>
      <c r="Q1251" t="s">
        <v>2195</v>
      </c>
    </row>
    <row r="1252" spans="1:17">
      <c r="A1252">
        <v>45654138</v>
      </c>
      <c r="B1252">
        <v>2024</v>
      </c>
      <c r="C1252" t="s">
        <v>21</v>
      </c>
      <c r="D1252" t="s">
        <v>41</v>
      </c>
      <c r="E1252" t="s">
        <v>85</v>
      </c>
      <c r="F1252" t="s">
        <v>141</v>
      </c>
      <c r="G1252" t="s">
        <v>248</v>
      </c>
      <c r="H1252" t="s">
        <v>330</v>
      </c>
      <c r="I1252" t="s">
        <v>408</v>
      </c>
      <c r="K1252" t="s">
        <v>466</v>
      </c>
      <c r="L1252" t="s">
        <v>469</v>
      </c>
      <c r="M1252" t="s">
        <v>471</v>
      </c>
      <c r="N1252" t="s">
        <v>640</v>
      </c>
      <c r="O1252" t="s">
        <v>866</v>
      </c>
      <c r="P1252" s="1">
        <f>HYPERLINK("https://ec.europa.eu/info/funding-tenders/opportunities/portal/screen/opportunities/topic-details/horizon-cl6-2024-farm2fork-01-4", "HORIZON-CL6-2024-FARM2FORK-01-4")</f>
        <v>0</v>
      </c>
      <c r="Q1252" t="s">
        <v>2196</v>
      </c>
    </row>
    <row r="1253" spans="1:17">
      <c r="A1253">
        <v>45654198</v>
      </c>
      <c r="B1253">
        <v>2024</v>
      </c>
      <c r="C1253" t="s">
        <v>21</v>
      </c>
      <c r="D1253" t="s">
        <v>41</v>
      </c>
      <c r="E1253" t="s">
        <v>85</v>
      </c>
      <c r="F1253" t="s">
        <v>141</v>
      </c>
      <c r="G1253" t="s">
        <v>248</v>
      </c>
      <c r="H1253" t="s">
        <v>330</v>
      </c>
      <c r="I1253" t="s">
        <v>408</v>
      </c>
      <c r="K1253" t="s">
        <v>466</v>
      </c>
      <c r="L1253" t="s">
        <v>469</v>
      </c>
      <c r="M1253" t="s">
        <v>473</v>
      </c>
      <c r="N1253" t="s">
        <v>640</v>
      </c>
      <c r="O1253" t="s">
        <v>866</v>
      </c>
      <c r="P1253" s="1">
        <f>HYPERLINK("https://ec.europa.eu/info/funding-tenders/opportunities/portal/screen/opportunities/topic-details/horizon-cl6-2024-farm2fork-01-5", "HORIZON-CL6-2024-FARM2FORK-01-5")</f>
        <v>0</v>
      </c>
      <c r="Q1253" t="s">
        <v>2197</v>
      </c>
    </row>
    <row r="1254" spans="1:17">
      <c r="A1254">
        <v>45654246</v>
      </c>
      <c r="B1254">
        <v>2024</v>
      </c>
      <c r="C1254" t="s">
        <v>21</v>
      </c>
      <c r="D1254" t="s">
        <v>41</v>
      </c>
      <c r="E1254" t="s">
        <v>85</v>
      </c>
      <c r="F1254" t="s">
        <v>141</v>
      </c>
      <c r="G1254" t="s">
        <v>248</v>
      </c>
      <c r="H1254" t="s">
        <v>330</v>
      </c>
      <c r="I1254" t="s">
        <v>408</v>
      </c>
      <c r="K1254" t="s">
        <v>466</v>
      </c>
      <c r="L1254" t="s">
        <v>469</v>
      </c>
      <c r="M1254" t="s">
        <v>471</v>
      </c>
      <c r="N1254" t="s">
        <v>640</v>
      </c>
      <c r="O1254" t="s">
        <v>866</v>
      </c>
      <c r="P1254" s="1">
        <f>HYPERLINK("https://ec.europa.eu/info/funding-tenders/opportunities/portal/screen/opportunities/topic-details/horizon-cl6-2024-farm2fork-01-6", "HORIZON-CL6-2024-FARM2FORK-01-6")</f>
        <v>0</v>
      </c>
      <c r="Q1254" t="s">
        <v>2198</v>
      </c>
    </row>
    <row r="1255" spans="1:17">
      <c r="A1255">
        <v>45654295</v>
      </c>
      <c r="B1255">
        <v>2024</v>
      </c>
      <c r="C1255" t="s">
        <v>21</v>
      </c>
      <c r="D1255" t="s">
        <v>41</v>
      </c>
      <c r="E1255" t="s">
        <v>85</v>
      </c>
      <c r="F1255" t="s">
        <v>141</v>
      </c>
      <c r="G1255" t="s">
        <v>248</v>
      </c>
      <c r="H1255" t="s">
        <v>330</v>
      </c>
      <c r="I1255" t="s">
        <v>408</v>
      </c>
      <c r="K1255" t="s">
        <v>466</v>
      </c>
      <c r="L1255" t="s">
        <v>469</v>
      </c>
      <c r="M1255" t="s">
        <v>471</v>
      </c>
      <c r="N1255" t="s">
        <v>640</v>
      </c>
      <c r="O1255" t="s">
        <v>866</v>
      </c>
      <c r="P1255" s="1">
        <f>HYPERLINK("https://ec.europa.eu/info/funding-tenders/opportunities/portal/screen/opportunities/topic-details/horizon-cl6-2024-farm2fork-01-7", "HORIZON-CL6-2024-FARM2FORK-01-7")</f>
        <v>0</v>
      </c>
      <c r="Q1255" t="s">
        <v>2199</v>
      </c>
    </row>
    <row r="1256" spans="1:17">
      <c r="A1256">
        <v>45654375</v>
      </c>
      <c r="B1256">
        <v>2024</v>
      </c>
      <c r="C1256" t="s">
        <v>21</v>
      </c>
      <c r="D1256" t="s">
        <v>41</v>
      </c>
      <c r="E1256" t="s">
        <v>85</v>
      </c>
      <c r="F1256" t="s">
        <v>141</v>
      </c>
      <c r="G1256" t="s">
        <v>248</v>
      </c>
      <c r="H1256" t="s">
        <v>330</v>
      </c>
      <c r="I1256" t="s">
        <v>408</v>
      </c>
      <c r="K1256" t="s">
        <v>466</v>
      </c>
      <c r="L1256" t="s">
        <v>469</v>
      </c>
      <c r="M1256" t="s">
        <v>471</v>
      </c>
      <c r="N1256" t="s">
        <v>640</v>
      </c>
      <c r="O1256" t="s">
        <v>866</v>
      </c>
      <c r="P1256" s="1">
        <f>HYPERLINK("https://ec.europa.eu/info/funding-tenders/opportunities/portal/screen/opportunities/topic-details/horizon-cl6-2024-farm2fork-01-8", "HORIZON-CL6-2024-FARM2FORK-01-8")</f>
        <v>0</v>
      </c>
      <c r="Q1256" t="s">
        <v>2200</v>
      </c>
    </row>
    <row r="1257" spans="1:17">
      <c r="A1257">
        <v>45654447</v>
      </c>
      <c r="B1257">
        <v>2024</v>
      </c>
      <c r="C1257" t="s">
        <v>21</v>
      </c>
      <c r="D1257" t="s">
        <v>41</v>
      </c>
      <c r="E1257" t="s">
        <v>85</v>
      </c>
      <c r="F1257" t="s">
        <v>141</v>
      </c>
      <c r="G1257" t="s">
        <v>248</v>
      </c>
      <c r="H1257" t="s">
        <v>330</v>
      </c>
      <c r="I1257" t="s">
        <v>408</v>
      </c>
      <c r="K1257" t="s">
        <v>466</v>
      </c>
      <c r="L1257" t="s">
        <v>469</v>
      </c>
      <c r="M1257" t="s">
        <v>473</v>
      </c>
      <c r="N1257" t="s">
        <v>640</v>
      </c>
      <c r="O1257" t="s">
        <v>866</v>
      </c>
      <c r="P1257" s="1">
        <f>HYPERLINK("https://ec.europa.eu/info/funding-tenders/opportunities/portal/screen/opportunities/topic-details/horizon-cl6-2024-farm2fork-01-9", "HORIZON-CL6-2024-FARM2FORK-01-9")</f>
        <v>0</v>
      </c>
      <c r="Q1257" t="s">
        <v>2201</v>
      </c>
    </row>
    <row r="1258" spans="1:17">
      <c r="A1258">
        <v>45658473</v>
      </c>
      <c r="B1258">
        <v>2024</v>
      </c>
      <c r="C1258" t="s">
        <v>21</v>
      </c>
      <c r="D1258" t="s">
        <v>41</v>
      </c>
      <c r="E1258" t="s">
        <v>85</v>
      </c>
      <c r="F1258" t="s">
        <v>153</v>
      </c>
      <c r="G1258" t="s">
        <v>248</v>
      </c>
      <c r="H1258" t="s">
        <v>330</v>
      </c>
      <c r="I1258" t="s">
        <v>408</v>
      </c>
      <c r="J1258" t="s">
        <v>327</v>
      </c>
      <c r="K1258" t="s">
        <v>466</v>
      </c>
      <c r="L1258" t="s">
        <v>470</v>
      </c>
      <c r="M1258" t="s">
        <v>473</v>
      </c>
      <c r="N1258" t="s">
        <v>641</v>
      </c>
      <c r="O1258" t="s">
        <v>866</v>
      </c>
      <c r="P1258" s="1">
        <f>HYPERLINK("https://ec.europa.eu/info/funding-tenders/opportunities/portal/screen/opportunities/topic-details/horizon-cl6-2024-farm2fork-02-1-two-stage", "HORIZON-CL6-2024-FARM2FORK-02-1-two-stage")</f>
        <v>0</v>
      </c>
      <c r="Q1258" t="s">
        <v>2202</v>
      </c>
    </row>
    <row r="1259" spans="1:17">
      <c r="A1259">
        <v>45653739</v>
      </c>
      <c r="B1259">
        <v>2024</v>
      </c>
      <c r="C1259" t="s">
        <v>21</v>
      </c>
      <c r="D1259" t="s">
        <v>41</v>
      </c>
      <c r="E1259" t="s">
        <v>85</v>
      </c>
      <c r="F1259" t="s">
        <v>153</v>
      </c>
      <c r="G1259" t="s">
        <v>248</v>
      </c>
      <c r="H1259" t="s">
        <v>330</v>
      </c>
      <c r="I1259" t="s">
        <v>408</v>
      </c>
      <c r="J1259" t="s">
        <v>327</v>
      </c>
      <c r="K1259" t="s">
        <v>466</v>
      </c>
      <c r="L1259" t="s">
        <v>470</v>
      </c>
      <c r="M1259" t="s">
        <v>473</v>
      </c>
      <c r="N1259" t="s">
        <v>641</v>
      </c>
      <c r="O1259" t="s">
        <v>866</v>
      </c>
      <c r="P1259" s="1">
        <f>HYPERLINK("https://ec.europa.eu/info/funding-tenders/opportunities/portal/screen/opportunities/topic-details/horizon-cl6-2024-farm2fork-02-2-two-stage", "HORIZON-CL6-2024-FARM2FORK-02-2-two-stage")</f>
        <v>0</v>
      </c>
      <c r="Q1259" t="s">
        <v>2203</v>
      </c>
    </row>
    <row r="1260" spans="1:17">
      <c r="A1260">
        <v>45653776</v>
      </c>
      <c r="B1260">
        <v>2024</v>
      </c>
      <c r="C1260" t="s">
        <v>21</v>
      </c>
      <c r="D1260" t="s">
        <v>41</v>
      </c>
      <c r="E1260" t="s">
        <v>85</v>
      </c>
      <c r="F1260" t="s">
        <v>153</v>
      </c>
      <c r="G1260" t="s">
        <v>248</v>
      </c>
      <c r="H1260" t="s">
        <v>330</v>
      </c>
      <c r="I1260" t="s">
        <v>408</v>
      </c>
      <c r="J1260" t="s">
        <v>327</v>
      </c>
      <c r="K1260" t="s">
        <v>466</v>
      </c>
      <c r="L1260" t="s">
        <v>470</v>
      </c>
      <c r="M1260" t="s">
        <v>473</v>
      </c>
      <c r="N1260" t="s">
        <v>641</v>
      </c>
      <c r="O1260" t="s">
        <v>866</v>
      </c>
      <c r="P1260" s="1">
        <f>HYPERLINK("https://ec.europa.eu/info/funding-tenders/opportunities/portal/screen/opportunities/topic-details/horizon-cl6-2024-farm2fork-02-3-two-stage", "HORIZON-CL6-2024-FARM2FORK-02-3-two-stage")</f>
        <v>0</v>
      </c>
      <c r="Q1260" t="s">
        <v>2204</v>
      </c>
    </row>
    <row r="1261" spans="1:17">
      <c r="A1261">
        <v>45653806</v>
      </c>
      <c r="B1261">
        <v>2024</v>
      </c>
      <c r="C1261" t="s">
        <v>21</v>
      </c>
      <c r="D1261" t="s">
        <v>41</v>
      </c>
      <c r="E1261" t="s">
        <v>85</v>
      </c>
      <c r="F1261" t="s">
        <v>153</v>
      </c>
      <c r="G1261" t="s">
        <v>248</v>
      </c>
      <c r="H1261" t="s">
        <v>330</v>
      </c>
      <c r="I1261" t="s">
        <v>408</v>
      </c>
      <c r="J1261" t="s">
        <v>327</v>
      </c>
      <c r="K1261" t="s">
        <v>466</v>
      </c>
      <c r="L1261" t="s">
        <v>470</v>
      </c>
      <c r="M1261" t="s">
        <v>471</v>
      </c>
      <c r="N1261" t="s">
        <v>641</v>
      </c>
      <c r="O1261" t="s">
        <v>866</v>
      </c>
      <c r="P1261" s="1">
        <f>HYPERLINK("https://ec.europa.eu/info/funding-tenders/opportunities/portal/screen/opportunities/topic-details/horizon-cl6-2024-farm2fork-02-4-two-stage", "HORIZON-CL6-2024-FARM2FORK-02-4-two-stage")</f>
        <v>0</v>
      </c>
      <c r="Q1261" t="s">
        <v>1922</v>
      </c>
    </row>
    <row r="1262" spans="1:17">
      <c r="A1262">
        <v>45653859</v>
      </c>
      <c r="B1262">
        <v>2024</v>
      </c>
      <c r="C1262" t="s">
        <v>21</v>
      </c>
      <c r="D1262" t="s">
        <v>41</v>
      </c>
      <c r="E1262" t="s">
        <v>85</v>
      </c>
      <c r="F1262" t="s">
        <v>153</v>
      </c>
      <c r="G1262" t="s">
        <v>248</v>
      </c>
      <c r="H1262" t="s">
        <v>330</v>
      </c>
      <c r="I1262" t="s">
        <v>408</v>
      </c>
      <c r="J1262" t="s">
        <v>327</v>
      </c>
      <c r="K1262" t="s">
        <v>466</v>
      </c>
      <c r="L1262" t="s">
        <v>470</v>
      </c>
      <c r="M1262" t="s">
        <v>471</v>
      </c>
      <c r="N1262" t="s">
        <v>641</v>
      </c>
      <c r="O1262" t="s">
        <v>866</v>
      </c>
      <c r="P1262" s="1">
        <f>HYPERLINK("https://ec.europa.eu/info/funding-tenders/opportunities/portal/screen/opportunities/topic-details/horizon-cl6-2024-farm2fork-02-5-two-stage", "HORIZON-CL6-2024-FARM2FORK-02-5-two-stage")</f>
        <v>0</v>
      </c>
      <c r="Q1262" t="s">
        <v>2205</v>
      </c>
    </row>
    <row r="1263" spans="1:17">
      <c r="A1263">
        <v>45653922</v>
      </c>
      <c r="B1263">
        <v>2024</v>
      </c>
      <c r="C1263" t="s">
        <v>21</v>
      </c>
      <c r="D1263" t="s">
        <v>41</v>
      </c>
      <c r="E1263" t="s">
        <v>85</v>
      </c>
      <c r="F1263" t="s">
        <v>153</v>
      </c>
      <c r="G1263" t="s">
        <v>248</v>
      </c>
      <c r="H1263" t="s">
        <v>330</v>
      </c>
      <c r="I1263" t="s">
        <v>408</v>
      </c>
      <c r="J1263" t="s">
        <v>327</v>
      </c>
      <c r="K1263" t="s">
        <v>466</v>
      </c>
      <c r="L1263" t="s">
        <v>470</v>
      </c>
      <c r="M1263" t="s">
        <v>473</v>
      </c>
      <c r="N1263" t="s">
        <v>641</v>
      </c>
      <c r="O1263" t="s">
        <v>866</v>
      </c>
      <c r="P1263" s="1">
        <f>HYPERLINK("https://ec.europa.eu/info/funding-tenders/opportunities/portal/screen/opportunities/topic-details/horizon-cl6-2024-farm2fork-02-6-two-stage", "HORIZON-CL6-2024-FARM2FORK-02-6-two-stage")</f>
        <v>0</v>
      </c>
      <c r="Q1263" t="s">
        <v>2206</v>
      </c>
    </row>
    <row r="1264" spans="1:17">
      <c r="A1264">
        <v>45653964</v>
      </c>
      <c r="B1264">
        <v>2024</v>
      </c>
      <c r="C1264" t="s">
        <v>21</v>
      </c>
      <c r="D1264" t="s">
        <v>41</v>
      </c>
      <c r="E1264" t="s">
        <v>85</v>
      </c>
      <c r="F1264" t="s">
        <v>153</v>
      </c>
      <c r="G1264" t="s">
        <v>248</v>
      </c>
      <c r="H1264" t="s">
        <v>330</v>
      </c>
      <c r="I1264" t="s">
        <v>408</v>
      </c>
      <c r="J1264" t="s">
        <v>327</v>
      </c>
      <c r="K1264" t="s">
        <v>466</v>
      </c>
      <c r="L1264" t="s">
        <v>470</v>
      </c>
      <c r="M1264" t="s">
        <v>473</v>
      </c>
      <c r="N1264" t="s">
        <v>641</v>
      </c>
      <c r="O1264" t="s">
        <v>866</v>
      </c>
      <c r="P1264" s="1">
        <f>HYPERLINK("https://ec.europa.eu/info/funding-tenders/opportunities/portal/screen/opportunities/topic-details/horizon-cl6-2024-farm2fork-02-7-two-stage", "HORIZON-CL6-2024-FARM2FORK-02-7-two-stage")</f>
        <v>0</v>
      </c>
      <c r="Q1264" t="s">
        <v>2207</v>
      </c>
    </row>
    <row r="1265" spans="1:17">
      <c r="A1265">
        <v>46906485</v>
      </c>
      <c r="B1265">
        <v>2024</v>
      </c>
      <c r="C1265" t="s">
        <v>21</v>
      </c>
      <c r="D1265" t="s">
        <v>41</v>
      </c>
      <c r="E1265" t="s">
        <v>85</v>
      </c>
      <c r="F1265" t="s">
        <v>154</v>
      </c>
      <c r="G1265" t="s">
        <v>249</v>
      </c>
      <c r="H1265" t="s">
        <v>331</v>
      </c>
      <c r="I1265" t="s">
        <v>409</v>
      </c>
      <c r="K1265" t="s">
        <v>467</v>
      </c>
      <c r="L1265" t="s">
        <v>469</v>
      </c>
      <c r="M1265" t="s">
        <v>471</v>
      </c>
      <c r="N1265" t="s">
        <v>642</v>
      </c>
      <c r="O1265" t="s">
        <v>866</v>
      </c>
      <c r="P1265" s="1">
        <f>HYPERLINK("https://ec.europa.eu/info/funding-tenders/opportunities/portal/screen/opportunities/topic-details/horizon-cl6-2024-farm2fork-03-1", "HORIZON-CL6-2024-FARM2FORK-03-1")</f>
        <v>0</v>
      </c>
      <c r="Q1265" t="s">
        <v>2208</v>
      </c>
    </row>
    <row r="1266" spans="1:17">
      <c r="A1266">
        <v>45650530</v>
      </c>
      <c r="B1266">
        <v>2024</v>
      </c>
      <c r="C1266" t="s">
        <v>21</v>
      </c>
      <c r="D1266" t="s">
        <v>41</v>
      </c>
      <c r="E1266" t="s">
        <v>85</v>
      </c>
      <c r="F1266" t="s">
        <v>142</v>
      </c>
      <c r="G1266" t="s">
        <v>248</v>
      </c>
      <c r="H1266" t="s">
        <v>330</v>
      </c>
      <c r="I1266" t="s">
        <v>410</v>
      </c>
      <c r="K1266" t="s">
        <v>466</v>
      </c>
      <c r="L1266" t="s">
        <v>469</v>
      </c>
      <c r="M1266" t="s">
        <v>476</v>
      </c>
      <c r="N1266" t="s">
        <v>643</v>
      </c>
      <c r="O1266" t="s">
        <v>867</v>
      </c>
      <c r="P1266" s="1">
        <f>HYPERLINK("https://ec.europa.eu/info/funding-tenders/opportunities/portal/screen/opportunities/topic-details/horizon-cl6-2024-governance-01-1", "HORIZON-CL6-2024-GOVERNANCE-01-1")</f>
        <v>0</v>
      </c>
      <c r="Q1266" t="s">
        <v>2209</v>
      </c>
    </row>
    <row r="1267" spans="1:17">
      <c r="A1267">
        <v>45658321</v>
      </c>
      <c r="B1267">
        <v>2024</v>
      </c>
      <c r="C1267" t="s">
        <v>21</v>
      </c>
      <c r="D1267" t="s">
        <v>41</v>
      </c>
      <c r="E1267" t="s">
        <v>85</v>
      </c>
      <c r="F1267" t="s">
        <v>142</v>
      </c>
      <c r="G1267" t="s">
        <v>248</v>
      </c>
      <c r="H1267" t="s">
        <v>330</v>
      </c>
      <c r="I1267" t="s">
        <v>410</v>
      </c>
      <c r="K1267" t="s">
        <v>466</v>
      </c>
      <c r="L1267" t="s">
        <v>469</v>
      </c>
      <c r="M1267" t="s">
        <v>472</v>
      </c>
      <c r="N1267" t="s">
        <v>643</v>
      </c>
      <c r="O1267" t="s">
        <v>867</v>
      </c>
      <c r="P1267" s="1">
        <f>HYPERLINK("https://ec.europa.eu/info/funding-tenders/opportunities/portal/screen/opportunities/topic-details/horizon-cl6-2024-governance-01-10", "HORIZON-CL6-2024-GOVERNANCE-01-10")</f>
        <v>0</v>
      </c>
      <c r="Q1267" t="s">
        <v>2210</v>
      </c>
    </row>
    <row r="1268" spans="1:17">
      <c r="A1268">
        <v>45658349</v>
      </c>
      <c r="B1268">
        <v>2024</v>
      </c>
      <c r="C1268" t="s">
        <v>21</v>
      </c>
      <c r="D1268" t="s">
        <v>41</v>
      </c>
      <c r="E1268" t="s">
        <v>85</v>
      </c>
      <c r="F1268" t="s">
        <v>142</v>
      </c>
      <c r="G1268" t="s">
        <v>248</v>
      </c>
      <c r="H1268" t="s">
        <v>330</v>
      </c>
      <c r="I1268" t="s">
        <v>410</v>
      </c>
      <c r="K1268" t="s">
        <v>466</v>
      </c>
      <c r="L1268" t="s">
        <v>469</v>
      </c>
      <c r="M1268" t="s">
        <v>472</v>
      </c>
      <c r="N1268" t="s">
        <v>643</v>
      </c>
      <c r="O1268" t="s">
        <v>867</v>
      </c>
      <c r="P1268" s="1">
        <f>HYPERLINK("https://ec.europa.eu/info/funding-tenders/opportunities/portal/screen/opportunities/topic-details/horizon-cl6-2024-governance-01-11", "HORIZON-CL6-2024-GOVERNANCE-01-11")</f>
        <v>0</v>
      </c>
      <c r="Q1268" t="s">
        <v>2211</v>
      </c>
    </row>
    <row r="1269" spans="1:17">
      <c r="A1269">
        <v>45658390</v>
      </c>
      <c r="B1269">
        <v>2024</v>
      </c>
      <c r="C1269" t="s">
        <v>21</v>
      </c>
      <c r="D1269" t="s">
        <v>41</v>
      </c>
      <c r="E1269" t="s">
        <v>85</v>
      </c>
      <c r="F1269" t="s">
        <v>142</v>
      </c>
      <c r="G1269" t="s">
        <v>248</v>
      </c>
      <c r="H1269" t="s">
        <v>330</v>
      </c>
      <c r="I1269" t="s">
        <v>410</v>
      </c>
      <c r="K1269" t="s">
        <v>466</v>
      </c>
      <c r="L1269" t="s">
        <v>469</v>
      </c>
      <c r="M1269" t="s">
        <v>472</v>
      </c>
      <c r="N1269" t="s">
        <v>643</v>
      </c>
      <c r="O1269" t="s">
        <v>867</v>
      </c>
      <c r="P1269" s="1">
        <f>HYPERLINK("https://ec.europa.eu/info/funding-tenders/opportunities/portal/screen/opportunities/topic-details/horizon-cl6-2024-governance-01-12", "HORIZON-CL6-2024-GOVERNANCE-01-12")</f>
        <v>0</v>
      </c>
      <c r="Q1269" t="s">
        <v>2212</v>
      </c>
    </row>
    <row r="1270" spans="1:17">
      <c r="A1270">
        <v>45658435</v>
      </c>
      <c r="B1270">
        <v>2024</v>
      </c>
      <c r="C1270" t="s">
        <v>21</v>
      </c>
      <c r="D1270" t="s">
        <v>41</v>
      </c>
      <c r="E1270" t="s">
        <v>85</v>
      </c>
      <c r="F1270" t="s">
        <v>142</v>
      </c>
      <c r="G1270" t="s">
        <v>248</v>
      </c>
      <c r="H1270" t="s">
        <v>330</v>
      </c>
      <c r="I1270" t="s">
        <v>410</v>
      </c>
      <c r="K1270" t="s">
        <v>466</v>
      </c>
      <c r="L1270" t="s">
        <v>469</v>
      </c>
      <c r="M1270" t="s">
        <v>472</v>
      </c>
      <c r="N1270" t="s">
        <v>643</v>
      </c>
      <c r="O1270" t="s">
        <v>867</v>
      </c>
      <c r="P1270" s="1">
        <f>HYPERLINK("https://ec.europa.eu/info/funding-tenders/opportunities/portal/screen/opportunities/topic-details/horizon-cl6-2024-governance-01-13", "HORIZON-CL6-2024-GOVERNANCE-01-13")</f>
        <v>0</v>
      </c>
      <c r="Q1270" t="s">
        <v>2213</v>
      </c>
    </row>
    <row r="1271" spans="1:17">
      <c r="A1271">
        <v>45651519</v>
      </c>
      <c r="B1271">
        <v>2024</v>
      </c>
      <c r="C1271" t="s">
        <v>21</v>
      </c>
      <c r="D1271" t="s">
        <v>41</v>
      </c>
      <c r="E1271" t="s">
        <v>85</v>
      </c>
      <c r="F1271" t="s">
        <v>142</v>
      </c>
      <c r="G1271" t="s">
        <v>248</v>
      </c>
      <c r="H1271" t="s">
        <v>330</v>
      </c>
      <c r="I1271" t="s">
        <v>410</v>
      </c>
      <c r="K1271" t="s">
        <v>466</v>
      </c>
      <c r="L1271" t="s">
        <v>469</v>
      </c>
      <c r="M1271" t="s">
        <v>472</v>
      </c>
      <c r="N1271" t="s">
        <v>643</v>
      </c>
      <c r="O1271" t="s">
        <v>867</v>
      </c>
      <c r="P1271" s="1">
        <f>HYPERLINK("https://ec.europa.eu/info/funding-tenders/opportunities/portal/screen/opportunities/topic-details/horizon-cl6-2024-governance-01-2", "HORIZON-CL6-2024-GOVERNANCE-01-2")</f>
        <v>0</v>
      </c>
      <c r="Q1271" t="s">
        <v>2214</v>
      </c>
    </row>
    <row r="1272" spans="1:17">
      <c r="A1272">
        <v>45657937</v>
      </c>
      <c r="B1272">
        <v>2024</v>
      </c>
      <c r="C1272" t="s">
        <v>21</v>
      </c>
      <c r="D1272" t="s">
        <v>41</v>
      </c>
      <c r="E1272" t="s">
        <v>85</v>
      </c>
      <c r="F1272" t="s">
        <v>142</v>
      </c>
      <c r="G1272" t="s">
        <v>248</v>
      </c>
      <c r="H1272" t="s">
        <v>330</v>
      </c>
      <c r="I1272" t="s">
        <v>410</v>
      </c>
      <c r="K1272" t="s">
        <v>466</v>
      </c>
      <c r="L1272" t="s">
        <v>469</v>
      </c>
      <c r="M1272" t="s">
        <v>472</v>
      </c>
      <c r="N1272" t="s">
        <v>643</v>
      </c>
      <c r="O1272" t="s">
        <v>867</v>
      </c>
      <c r="P1272" s="1">
        <f>HYPERLINK("https://ec.europa.eu/info/funding-tenders/opportunities/portal/screen/opportunities/topic-details/horizon-cl6-2024-governance-01-3", "HORIZON-CL6-2024-GOVERNANCE-01-3")</f>
        <v>0</v>
      </c>
      <c r="Q1272" t="s">
        <v>2215</v>
      </c>
    </row>
    <row r="1273" spans="1:17">
      <c r="A1273">
        <v>45658141</v>
      </c>
      <c r="B1273">
        <v>2024</v>
      </c>
      <c r="C1273" t="s">
        <v>21</v>
      </c>
      <c r="D1273" t="s">
        <v>41</v>
      </c>
      <c r="E1273" t="s">
        <v>85</v>
      </c>
      <c r="F1273" t="s">
        <v>142</v>
      </c>
      <c r="G1273" t="s">
        <v>248</v>
      </c>
      <c r="H1273" t="s">
        <v>330</v>
      </c>
      <c r="I1273" t="s">
        <v>410</v>
      </c>
      <c r="K1273" t="s">
        <v>466</v>
      </c>
      <c r="L1273" t="s">
        <v>469</v>
      </c>
      <c r="M1273" t="s">
        <v>474</v>
      </c>
      <c r="N1273" t="s">
        <v>643</v>
      </c>
      <c r="O1273" t="s">
        <v>867</v>
      </c>
      <c r="P1273" s="1">
        <f>HYPERLINK("https://ec.europa.eu/info/funding-tenders/opportunities/portal/screen/opportunities/topic-details/horizon-cl6-2024-governance-01-5", "HORIZON-CL6-2024-GOVERNANCE-01-5")</f>
        <v>0</v>
      </c>
      <c r="Q1273" t="s">
        <v>2216</v>
      </c>
    </row>
    <row r="1274" spans="1:17">
      <c r="A1274">
        <v>45658182</v>
      </c>
      <c r="B1274">
        <v>2024</v>
      </c>
      <c r="C1274" t="s">
        <v>21</v>
      </c>
      <c r="D1274" t="s">
        <v>41</v>
      </c>
      <c r="E1274" t="s">
        <v>85</v>
      </c>
      <c r="F1274" t="s">
        <v>142</v>
      </c>
      <c r="G1274" t="s">
        <v>248</v>
      </c>
      <c r="H1274" t="s">
        <v>330</v>
      </c>
      <c r="I1274" t="s">
        <v>410</v>
      </c>
      <c r="K1274" t="s">
        <v>466</v>
      </c>
      <c r="L1274" t="s">
        <v>469</v>
      </c>
      <c r="M1274" t="s">
        <v>471</v>
      </c>
      <c r="N1274" t="s">
        <v>643</v>
      </c>
      <c r="O1274" t="s">
        <v>867</v>
      </c>
      <c r="P1274" s="1">
        <f>HYPERLINK("https://ec.europa.eu/info/funding-tenders/opportunities/portal/screen/opportunities/topic-details/horizon-cl6-2024-governance-01-6", "HORIZON-CL6-2024-GOVERNANCE-01-6")</f>
        <v>0</v>
      </c>
      <c r="Q1274" t="s">
        <v>2217</v>
      </c>
    </row>
    <row r="1275" spans="1:17">
      <c r="A1275">
        <v>45658229</v>
      </c>
      <c r="B1275">
        <v>2024</v>
      </c>
      <c r="C1275" t="s">
        <v>21</v>
      </c>
      <c r="D1275" t="s">
        <v>41</v>
      </c>
      <c r="E1275" t="s">
        <v>85</v>
      </c>
      <c r="F1275" t="s">
        <v>142</v>
      </c>
      <c r="G1275" t="s">
        <v>248</v>
      </c>
      <c r="H1275" t="s">
        <v>330</v>
      </c>
      <c r="I1275" t="s">
        <v>410</v>
      </c>
      <c r="K1275" t="s">
        <v>466</v>
      </c>
      <c r="L1275" t="s">
        <v>469</v>
      </c>
      <c r="M1275" t="s">
        <v>471</v>
      </c>
      <c r="N1275" t="s">
        <v>643</v>
      </c>
      <c r="O1275" t="s">
        <v>867</v>
      </c>
      <c r="P1275" s="1">
        <f>HYPERLINK("https://ec.europa.eu/info/funding-tenders/opportunities/portal/screen/opportunities/topic-details/horizon-cl6-2024-governance-01-7", "HORIZON-CL6-2024-GOVERNANCE-01-7")</f>
        <v>0</v>
      </c>
      <c r="Q1275" t="s">
        <v>2218</v>
      </c>
    </row>
    <row r="1276" spans="1:17">
      <c r="A1276">
        <v>45658253</v>
      </c>
      <c r="B1276">
        <v>2024</v>
      </c>
      <c r="C1276" t="s">
        <v>21</v>
      </c>
      <c r="D1276" t="s">
        <v>41</v>
      </c>
      <c r="E1276" t="s">
        <v>85</v>
      </c>
      <c r="F1276" t="s">
        <v>142</v>
      </c>
      <c r="G1276" t="s">
        <v>248</v>
      </c>
      <c r="H1276" t="s">
        <v>330</v>
      </c>
      <c r="I1276" t="s">
        <v>410</v>
      </c>
      <c r="K1276" t="s">
        <v>466</v>
      </c>
      <c r="L1276" t="s">
        <v>469</v>
      </c>
      <c r="M1276" t="s">
        <v>472</v>
      </c>
      <c r="N1276" t="s">
        <v>643</v>
      </c>
      <c r="O1276" t="s">
        <v>867</v>
      </c>
      <c r="P1276" s="1">
        <f>HYPERLINK("https://ec.europa.eu/info/funding-tenders/opportunities/portal/screen/opportunities/topic-details/horizon-cl6-2024-governance-01-8", "HORIZON-CL6-2024-GOVERNANCE-01-8")</f>
        <v>0</v>
      </c>
      <c r="Q1276" t="s">
        <v>2127</v>
      </c>
    </row>
    <row r="1277" spans="1:17">
      <c r="A1277">
        <v>45658290</v>
      </c>
      <c r="B1277">
        <v>2024</v>
      </c>
      <c r="C1277" t="s">
        <v>21</v>
      </c>
      <c r="D1277" t="s">
        <v>41</v>
      </c>
      <c r="E1277" t="s">
        <v>85</v>
      </c>
      <c r="F1277" t="s">
        <v>142</v>
      </c>
      <c r="G1277" t="s">
        <v>248</v>
      </c>
      <c r="H1277" t="s">
        <v>330</v>
      </c>
      <c r="I1277" t="s">
        <v>410</v>
      </c>
      <c r="K1277" t="s">
        <v>466</v>
      </c>
      <c r="L1277" t="s">
        <v>469</v>
      </c>
      <c r="M1277" t="s">
        <v>472</v>
      </c>
      <c r="N1277" t="s">
        <v>643</v>
      </c>
      <c r="O1277" t="s">
        <v>867</v>
      </c>
      <c r="P1277" s="1">
        <f>HYPERLINK("https://ec.europa.eu/info/funding-tenders/opportunities/portal/screen/opportunities/topic-details/horizon-cl6-2024-governance-01-9", "HORIZON-CL6-2024-GOVERNANCE-01-9")</f>
        <v>0</v>
      </c>
      <c r="Q1277" t="s">
        <v>1965</v>
      </c>
    </row>
    <row r="1278" spans="1:17">
      <c r="A1278">
        <v>46906688</v>
      </c>
      <c r="B1278">
        <v>2024</v>
      </c>
      <c r="C1278" t="s">
        <v>21</v>
      </c>
      <c r="D1278" t="s">
        <v>41</v>
      </c>
      <c r="E1278" t="s">
        <v>85</v>
      </c>
      <c r="F1278" t="s">
        <v>149</v>
      </c>
      <c r="G1278" t="s">
        <v>249</v>
      </c>
      <c r="H1278" t="s">
        <v>332</v>
      </c>
      <c r="I1278" t="s">
        <v>411</v>
      </c>
      <c r="K1278" t="s">
        <v>467</v>
      </c>
      <c r="L1278" t="s">
        <v>469</v>
      </c>
      <c r="M1278" t="s">
        <v>476</v>
      </c>
      <c r="N1278" t="s">
        <v>644</v>
      </c>
      <c r="O1278" t="s">
        <v>871</v>
      </c>
      <c r="P1278" s="1">
        <f>HYPERLINK("https://ec.europa.eu/info/funding-tenders/opportunities/portal/screen/opportunities/topic-details/horizon-cl6-2024-governance-02-01", "HORIZON-CL6-2024-GOVERNANCE-02-01")</f>
        <v>0</v>
      </c>
      <c r="Q1278" t="s">
        <v>2219</v>
      </c>
    </row>
    <row r="1279" spans="1:17">
      <c r="A1279">
        <v>45650266</v>
      </c>
      <c r="B1279">
        <v>2024</v>
      </c>
      <c r="C1279" t="s">
        <v>21</v>
      </c>
      <c r="D1279" t="s">
        <v>41</v>
      </c>
      <c r="E1279" t="s">
        <v>85</v>
      </c>
      <c r="F1279" t="s">
        <v>143</v>
      </c>
      <c r="G1279" t="s">
        <v>248</v>
      </c>
      <c r="H1279" t="s">
        <v>330</v>
      </c>
      <c r="I1279" t="s">
        <v>408</v>
      </c>
      <c r="K1279" t="s">
        <v>466</v>
      </c>
      <c r="L1279" t="s">
        <v>469</v>
      </c>
      <c r="M1279" t="s">
        <v>473</v>
      </c>
      <c r="N1279" t="s">
        <v>645</v>
      </c>
      <c r="O1279" t="s">
        <v>868</v>
      </c>
      <c r="P1279" s="1">
        <f>HYPERLINK("https://ec.europa.eu/info/funding-tenders/opportunities/portal/screen/opportunities/topic-details/horizon-cl6-2024-zeropollution-01-1", "HORIZON-CL6-2024-ZEROPOLLUTION-01-1")</f>
        <v>0</v>
      </c>
      <c r="Q1279" t="s">
        <v>2220</v>
      </c>
    </row>
    <row r="1280" spans="1:17">
      <c r="A1280">
        <v>45649860</v>
      </c>
      <c r="B1280">
        <v>2024</v>
      </c>
      <c r="C1280" t="s">
        <v>21</v>
      </c>
      <c r="D1280" t="s">
        <v>41</v>
      </c>
      <c r="E1280" t="s">
        <v>85</v>
      </c>
      <c r="F1280" t="s">
        <v>143</v>
      </c>
      <c r="G1280" t="s">
        <v>248</v>
      </c>
      <c r="H1280" t="s">
        <v>330</v>
      </c>
      <c r="I1280" t="s">
        <v>408</v>
      </c>
      <c r="K1280" t="s">
        <v>466</v>
      </c>
      <c r="L1280" t="s">
        <v>469</v>
      </c>
      <c r="M1280" t="s">
        <v>472</v>
      </c>
      <c r="N1280" t="s">
        <v>645</v>
      </c>
      <c r="O1280" t="s">
        <v>868</v>
      </c>
      <c r="P1280" s="1">
        <f>HYPERLINK("https://ec.europa.eu/info/funding-tenders/opportunities/portal/screen/opportunities/topic-details/horizon-cl6-2024-zeropollution-01-2", "HORIZON-CL6-2024-ZEROPOLLUTION-01-2")</f>
        <v>0</v>
      </c>
      <c r="Q1280" t="s">
        <v>2221</v>
      </c>
    </row>
    <row r="1281" spans="1:17">
      <c r="A1281">
        <v>45650479</v>
      </c>
      <c r="B1281">
        <v>2024</v>
      </c>
      <c r="C1281" t="s">
        <v>21</v>
      </c>
      <c r="D1281" t="s">
        <v>41</v>
      </c>
      <c r="E1281" t="s">
        <v>85</v>
      </c>
      <c r="F1281" t="s">
        <v>143</v>
      </c>
      <c r="G1281" t="s">
        <v>248</v>
      </c>
      <c r="H1281" t="s">
        <v>330</v>
      </c>
      <c r="I1281" t="s">
        <v>408</v>
      </c>
      <c r="K1281" t="s">
        <v>466</v>
      </c>
      <c r="L1281" t="s">
        <v>469</v>
      </c>
      <c r="M1281" t="s">
        <v>471</v>
      </c>
      <c r="N1281" t="s">
        <v>645</v>
      </c>
      <c r="O1281" t="s">
        <v>868</v>
      </c>
      <c r="P1281" s="1">
        <f>HYPERLINK("https://ec.europa.eu/info/funding-tenders/opportunities/portal/screen/opportunities/topic-details/horizon-cl6-2024-zeropollution-01-3", "HORIZON-CL6-2024-ZEROPOLLUTION-01-3")</f>
        <v>0</v>
      </c>
      <c r="Q1281" t="s">
        <v>2222</v>
      </c>
    </row>
    <row r="1282" spans="1:17">
      <c r="A1282">
        <v>45650314</v>
      </c>
      <c r="B1282">
        <v>2024</v>
      </c>
      <c r="C1282" t="s">
        <v>21</v>
      </c>
      <c r="D1282" t="s">
        <v>41</v>
      </c>
      <c r="E1282" t="s">
        <v>85</v>
      </c>
      <c r="F1282" t="s">
        <v>150</v>
      </c>
      <c r="G1282" t="s">
        <v>248</v>
      </c>
      <c r="H1282" t="s">
        <v>330</v>
      </c>
      <c r="I1282" t="s">
        <v>412</v>
      </c>
      <c r="J1282" t="s">
        <v>327</v>
      </c>
      <c r="K1282" t="s">
        <v>466</v>
      </c>
      <c r="L1282" t="s">
        <v>470</v>
      </c>
      <c r="M1282" t="s">
        <v>473</v>
      </c>
      <c r="N1282" t="s">
        <v>646</v>
      </c>
      <c r="O1282" t="s">
        <v>868</v>
      </c>
      <c r="P1282" s="1">
        <f>HYPERLINK("https://ec.europa.eu/info/funding-tenders/opportunities/portal/screen/opportunities/topic-details/horizon-cl6-2024-zeropollution-02-1-two-stage", "HORIZON-CL6-2024-ZEROPOLLUTION-02-1-two-stage")</f>
        <v>0</v>
      </c>
      <c r="Q1282" t="s">
        <v>2223</v>
      </c>
    </row>
    <row r="1283" spans="1:17">
      <c r="A1283">
        <v>45649994</v>
      </c>
      <c r="B1283">
        <v>2024</v>
      </c>
      <c r="C1283" t="s">
        <v>21</v>
      </c>
      <c r="D1283" t="s">
        <v>41</v>
      </c>
      <c r="E1283" t="s">
        <v>85</v>
      </c>
      <c r="F1283" t="s">
        <v>150</v>
      </c>
      <c r="G1283" t="s">
        <v>248</v>
      </c>
      <c r="H1283" t="s">
        <v>330</v>
      </c>
      <c r="I1283" t="s">
        <v>412</v>
      </c>
      <c r="J1283" t="s">
        <v>327</v>
      </c>
      <c r="K1283" t="s">
        <v>466</v>
      </c>
      <c r="L1283" t="s">
        <v>470</v>
      </c>
      <c r="M1283" t="s">
        <v>471</v>
      </c>
      <c r="N1283" t="s">
        <v>646</v>
      </c>
      <c r="O1283" t="s">
        <v>868</v>
      </c>
      <c r="P1283" s="1">
        <f>HYPERLINK("https://ec.europa.eu/info/funding-tenders/opportunities/portal/screen/opportunities/topic-details/horizon-cl6-2024-zeropollution-02-2-two-stage", "HORIZON-CL6-2024-ZEROPOLLUTION-02-2-two-stage")</f>
        <v>0</v>
      </c>
      <c r="Q1283" t="s">
        <v>2224</v>
      </c>
    </row>
    <row r="1284" spans="1:17">
      <c r="A1284">
        <v>45418514</v>
      </c>
      <c r="B1284">
        <v>2022</v>
      </c>
      <c r="C1284" t="s">
        <v>22</v>
      </c>
      <c r="D1284" t="s">
        <v>42</v>
      </c>
      <c r="E1284" t="s">
        <v>88</v>
      </c>
      <c r="F1284" t="s">
        <v>155</v>
      </c>
      <c r="G1284" t="s">
        <v>252</v>
      </c>
      <c r="H1284" t="s">
        <v>252</v>
      </c>
      <c r="I1284" t="s">
        <v>298</v>
      </c>
      <c r="K1284" t="s">
        <v>466</v>
      </c>
      <c r="L1284" t="s">
        <v>469</v>
      </c>
      <c r="M1284" t="s">
        <v>477</v>
      </c>
      <c r="N1284" t="s">
        <v>647</v>
      </c>
      <c r="O1284" t="s">
        <v>872</v>
      </c>
      <c r="P1284" s="1">
        <f>HYPERLINK("https://ec.europa.eu/info/funding-tenders/opportunities/portal/screen/opportunities/topic-details/horizon-er-ju-2022-explr-01", "HORIZON-ER-JU-2022-ExplR-01")</f>
        <v>0</v>
      </c>
      <c r="Q1284" t="s">
        <v>2225</v>
      </c>
    </row>
    <row r="1285" spans="1:17">
      <c r="A1285">
        <v>45418539</v>
      </c>
      <c r="B1285">
        <v>2022</v>
      </c>
      <c r="C1285" t="s">
        <v>22</v>
      </c>
      <c r="D1285" t="s">
        <v>42</v>
      </c>
      <c r="E1285" t="s">
        <v>88</v>
      </c>
      <c r="F1285" t="s">
        <v>155</v>
      </c>
      <c r="G1285" t="s">
        <v>252</v>
      </c>
      <c r="H1285" t="s">
        <v>252</v>
      </c>
      <c r="I1285" t="s">
        <v>298</v>
      </c>
      <c r="K1285" t="s">
        <v>466</v>
      </c>
      <c r="L1285" t="s">
        <v>469</v>
      </c>
      <c r="M1285" t="s">
        <v>478</v>
      </c>
      <c r="N1285" t="s">
        <v>647</v>
      </c>
      <c r="O1285" t="s">
        <v>872</v>
      </c>
      <c r="P1285" s="1">
        <f>HYPERLINK("https://ec.europa.eu/info/funding-tenders/opportunities/portal/screen/opportunities/topic-details/horizon-er-ju-2022-explr-02", "HORIZON-ER-JU-2022-ExplR-02")</f>
        <v>0</v>
      </c>
      <c r="Q1285" t="s">
        <v>2226</v>
      </c>
    </row>
    <row r="1286" spans="1:17">
      <c r="A1286">
        <v>45418519</v>
      </c>
      <c r="B1286">
        <v>2022</v>
      </c>
      <c r="C1286" t="s">
        <v>22</v>
      </c>
      <c r="D1286" t="s">
        <v>42</v>
      </c>
      <c r="E1286" t="s">
        <v>88</v>
      </c>
      <c r="F1286" t="s">
        <v>155</v>
      </c>
      <c r="G1286" t="s">
        <v>252</v>
      </c>
      <c r="H1286" t="s">
        <v>252</v>
      </c>
      <c r="I1286" t="s">
        <v>298</v>
      </c>
      <c r="K1286" t="s">
        <v>466</v>
      </c>
      <c r="L1286" t="s">
        <v>469</v>
      </c>
      <c r="M1286" t="s">
        <v>477</v>
      </c>
      <c r="N1286" t="s">
        <v>647</v>
      </c>
      <c r="O1286" t="s">
        <v>872</v>
      </c>
      <c r="P1286" s="1">
        <f>HYPERLINK("https://ec.europa.eu/info/funding-tenders/opportunities/portal/screen/opportunities/topic-details/horizon-er-ju-2022-explr-03", "HORIZON-ER-JU-2022-ExplR-03")</f>
        <v>0</v>
      </c>
      <c r="Q1286" t="s">
        <v>2227</v>
      </c>
    </row>
    <row r="1287" spans="1:17">
      <c r="A1287">
        <v>45418559</v>
      </c>
      <c r="B1287">
        <v>2022</v>
      </c>
      <c r="C1287" t="s">
        <v>22</v>
      </c>
      <c r="D1287" t="s">
        <v>42</v>
      </c>
      <c r="E1287" t="s">
        <v>88</v>
      </c>
      <c r="F1287" t="s">
        <v>155</v>
      </c>
      <c r="G1287" t="s">
        <v>252</v>
      </c>
      <c r="H1287" t="s">
        <v>252</v>
      </c>
      <c r="I1287" t="s">
        <v>298</v>
      </c>
      <c r="K1287" t="s">
        <v>466</v>
      </c>
      <c r="L1287" t="s">
        <v>469</v>
      </c>
      <c r="M1287" t="s">
        <v>477</v>
      </c>
      <c r="N1287" t="s">
        <v>647</v>
      </c>
      <c r="O1287" t="s">
        <v>872</v>
      </c>
      <c r="P1287" s="1">
        <f>HYPERLINK("https://ec.europa.eu/info/funding-tenders/opportunities/portal/screen/opportunities/topic-details/horizon-er-ju-2022-explr-04", "HORIZON-ER-JU-2022-ExplR-04")</f>
        <v>0</v>
      </c>
      <c r="Q1287" t="s">
        <v>2228</v>
      </c>
    </row>
    <row r="1288" spans="1:17">
      <c r="A1288">
        <v>45418524</v>
      </c>
      <c r="B1288">
        <v>2022</v>
      </c>
      <c r="C1288" t="s">
        <v>22</v>
      </c>
      <c r="D1288" t="s">
        <v>42</v>
      </c>
      <c r="E1288" t="s">
        <v>88</v>
      </c>
      <c r="F1288" t="s">
        <v>155</v>
      </c>
      <c r="G1288" t="s">
        <v>252</v>
      </c>
      <c r="H1288" t="s">
        <v>252</v>
      </c>
      <c r="I1288" t="s">
        <v>298</v>
      </c>
      <c r="K1288" t="s">
        <v>466</v>
      </c>
      <c r="L1288" t="s">
        <v>469</v>
      </c>
      <c r="M1288" t="s">
        <v>477</v>
      </c>
      <c r="N1288" t="s">
        <v>647</v>
      </c>
      <c r="O1288" t="s">
        <v>872</v>
      </c>
      <c r="P1288" s="1">
        <f>HYPERLINK("https://ec.europa.eu/info/funding-tenders/opportunities/portal/screen/opportunities/topic-details/horizon-er-ju-2022-explr-05", "HORIZON-ER-JU-2022-ExplR-05")</f>
        <v>0</v>
      </c>
      <c r="Q1288" t="s">
        <v>2229</v>
      </c>
    </row>
    <row r="1289" spans="1:17">
      <c r="A1289">
        <v>45418529</v>
      </c>
      <c r="B1289">
        <v>2022</v>
      </c>
      <c r="C1289" t="s">
        <v>22</v>
      </c>
      <c r="D1289" t="s">
        <v>42</v>
      </c>
      <c r="E1289" t="s">
        <v>88</v>
      </c>
      <c r="F1289" t="s">
        <v>155</v>
      </c>
      <c r="G1289" t="s">
        <v>252</v>
      </c>
      <c r="H1289" t="s">
        <v>252</v>
      </c>
      <c r="I1289" t="s">
        <v>298</v>
      </c>
      <c r="K1289" t="s">
        <v>466</v>
      </c>
      <c r="L1289" t="s">
        <v>469</v>
      </c>
      <c r="M1289" t="s">
        <v>477</v>
      </c>
      <c r="N1289" t="s">
        <v>647</v>
      </c>
      <c r="O1289" t="s">
        <v>872</v>
      </c>
      <c r="P1289" s="1">
        <f>HYPERLINK("https://ec.europa.eu/info/funding-tenders/opportunities/portal/screen/opportunities/topic-details/horizon-er-ju-2022-explr-06", "HORIZON-ER-JU-2022-ExplR-06")</f>
        <v>0</v>
      </c>
      <c r="Q1289" t="s">
        <v>2230</v>
      </c>
    </row>
    <row r="1290" spans="1:17">
      <c r="A1290">
        <v>45418534</v>
      </c>
      <c r="B1290">
        <v>2022</v>
      </c>
      <c r="C1290" t="s">
        <v>22</v>
      </c>
      <c r="D1290" t="s">
        <v>42</v>
      </c>
      <c r="E1290" t="s">
        <v>88</v>
      </c>
      <c r="F1290" t="s">
        <v>155</v>
      </c>
      <c r="G1290" t="s">
        <v>252</v>
      </c>
      <c r="H1290" t="s">
        <v>252</v>
      </c>
      <c r="I1290" t="s">
        <v>298</v>
      </c>
      <c r="K1290" t="s">
        <v>466</v>
      </c>
      <c r="L1290" t="s">
        <v>469</v>
      </c>
      <c r="M1290" t="s">
        <v>479</v>
      </c>
      <c r="N1290" t="s">
        <v>647</v>
      </c>
      <c r="O1290" t="s">
        <v>872</v>
      </c>
      <c r="P1290" s="1">
        <f>HYPERLINK("https://ec.europa.eu/info/funding-tenders/opportunities/portal/screen/opportunities/topic-details/horizon-er-ju-2022-explr-07", "HORIZON-ER-JU-2022-ExplR-07")</f>
        <v>0</v>
      </c>
      <c r="Q1290" t="s">
        <v>2231</v>
      </c>
    </row>
    <row r="1291" spans="1:17">
      <c r="A1291">
        <v>44839287</v>
      </c>
      <c r="B1291">
        <v>2022</v>
      </c>
      <c r="C1291" t="s">
        <v>22</v>
      </c>
      <c r="D1291" t="s">
        <v>42</v>
      </c>
      <c r="E1291" t="s">
        <v>88</v>
      </c>
      <c r="F1291" t="s">
        <v>156</v>
      </c>
      <c r="G1291" t="s">
        <v>253</v>
      </c>
      <c r="H1291" t="s">
        <v>253</v>
      </c>
      <c r="I1291" t="s">
        <v>413</v>
      </c>
      <c r="K1291" t="s">
        <v>466</v>
      </c>
      <c r="L1291" t="s">
        <v>469</v>
      </c>
      <c r="M1291" t="s">
        <v>478</v>
      </c>
      <c r="N1291" t="s">
        <v>648</v>
      </c>
      <c r="O1291" t="s">
        <v>873</v>
      </c>
      <c r="P1291" s="1">
        <f>HYPERLINK("https://ec.europa.eu/info/funding-tenders/opportunities/portal/screen/opportunities/topic-details/horizon-er-ju-2022-fa1-tt-01", "HORIZON-ER-JU-2022-FA1-TT-01")</f>
        <v>0</v>
      </c>
      <c r="Q1291" t="s">
        <v>2232</v>
      </c>
    </row>
    <row r="1292" spans="1:17">
      <c r="A1292">
        <v>44839302</v>
      </c>
      <c r="B1292">
        <v>2022</v>
      </c>
      <c r="C1292" t="s">
        <v>22</v>
      </c>
      <c r="D1292" t="s">
        <v>42</v>
      </c>
      <c r="E1292" t="s">
        <v>88</v>
      </c>
      <c r="F1292" t="s">
        <v>156</v>
      </c>
      <c r="G1292" t="s">
        <v>253</v>
      </c>
      <c r="H1292" t="s">
        <v>253</v>
      </c>
      <c r="I1292" t="s">
        <v>413</v>
      </c>
      <c r="K1292" t="s">
        <v>466</v>
      </c>
      <c r="L1292" t="s">
        <v>469</v>
      </c>
      <c r="M1292" t="s">
        <v>478</v>
      </c>
      <c r="N1292" t="s">
        <v>648</v>
      </c>
      <c r="O1292" t="s">
        <v>873</v>
      </c>
      <c r="P1292" s="1">
        <f>HYPERLINK("https://ec.europa.eu/info/funding-tenders/opportunities/portal/screen/opportunities/topic-details/horizon-er-ju-2022-fa2-01", "HORIZON-ER-JU-2022-FA2-01")</f>
        <v>0</v>
      </c>
      <c r="Q1292" t="s">
        <v>2233</v>
      </c>
    </row>
    <row r="1293" spans="1:17">
      <c r="A1293">
        <v>44839292</v>
      </c>
      <c r="B1293">
        <v>2022</v>
      </c>
      <c r="C1293" t="s">
        <v>22</v>
      </c>
      <c r="D1293" t="s">
        <v>42</v>
      </c>
      <c r="E1293" t="s">
        <v>88</v>
      </c>
      <c r="F1293" t="s">
        <v>156</v>
      </c>
      <c r="G1293" t="s">
        <v>253</v>
      </c>
      <c r="H1293" t="s">
        <v>253</v>
      </c>
      <c r="I1293" t="s">
        <v>413</v>
      </c>
      <c r="K1293" t="s">
        <v>466</v>
      </c>
      <c r="L1293" t="s">
        <v>469</v>
      </c>
      <c r="M1293" t="s">
        <v>478</v>
      </c>
      <c r="N1293" t="s">
        <v>648</v>
      </c>
      <c r="O1293" t="s">
        <v>873</v>
      </c>
      <c r="P1293" s="1">
        <f>HYPERLINK("https://ec.europa.eu/info/funding-tenders/opportunities/portal/screen/opportunities/topic-details/horizon-er-ju-2022-fa3-01", "HORIZON-ER-JU-2022-FA3-01")</f>
        <v>0</v>
      </c>
      <c r="Q1293" t="s">
        <v>2234</v>
      </c>
    </row>
    <row r="1294" spans="1:17">
      <c r="A1294">
        <v>44839307</v>
      </c>
      <c r="B1294">
        <v>2022</v>
      </c>
      <c r="C1294" t="s">
        <v>22</v>
      </c>
      <c r="D1294" t="s">
        <v>42</v>
      </c>
      <c r="E1294" t="s">
        <v>88</v>
      </c>
      <c r="F1294" t="s">
        <v>156</v>
      </c>
      <c r="G1294" t="s">
        <v>253</v>
      </c>
      <c r="H1294" t="s">
        <v>253</v>
      </c>
      <c r="I1294" t="s">
        <v>413</v>
      </c>
      <c r="K1294" t="s">
        <v>466</v>
      </c>
      <c r="L1294" t="s">
        <v>469</v>
      </c>
      <c r="M1294" t="s">
        <v>478</v>
      </c>
      <c r="N1294" t="s">
        <v>648</v>
      </c>
      <c r="O1294" t="s">
        <v>873</v>
      </c>
      <c r="P1294" s="1">
        <f>HYPERLINK("https://ec.europa.eu/info/funding-tenders/opportunities/portal/screen/opportunities/topic-details/horizon-er-ju-2022-fa4-01", "HORIZON-ER-JU-2022-FA4-01")</f>
        <v>0</v>
      </c>
      <c r="Q1294" t="s">
        <v>2235</v>
      </c>
    </row>
    <row r="1295" spans="1:17">
      <c r="A1295">
        <v>44839312</v>
      </c>
      <c r="B1295">
        <v>2022</v>
      </c>
      <c r="C1295" t="s">
        <v>22</v>
      </c>
      <c r="D1295" t="s">
        <v>42</v>
      </c>
      <c r="E1295" t="s">
        <v>88</v>
      </c>
      <c r="F1295" t="s">
        <v>156</v>
      </c>
      <c r="G1295" t="s">
        <v>253</v>
      </c>
      <c r="H1295" t="s">
        <v>253</v>
      </c>
      <c r="I1295" t="s">
        <v>413</v>
      </c>
      <c r="K1295" t="s">
        <v>466</v>
      </c>
      <c r="L1295" t="s">
        <v>469</v>
      </c>
      <c r="M1295" t="s">
        <v>478</v>
      </c>
      <c r="N1295" t="s">
        <v>648</v>
      </c>
      <c r="O1295" t="s">
        <v>873</v>
      </c>
      <c r="P1295" s="1">
        <f>HYPERLINK("https://ec.europa.eu/info/funding-tenders/opportunities/portal/screen/opportunities/topic-details/horizon-er-ju-2022-fa5-01", "HORIZON-ER-JU-2022-FA5-01")</f>
        <v>0</v>
      </c>
      <c r="Q1295" t="s">
        <v>2236</v>
      </c>
    </row>
    <row r="1296" spans="1:17">
      <c r="A1296">
        <v>44839297</v>
      </c>
      <c r="B1296">
        <v>2022</v>
      </c>
      <c r="C1296" t="s">
        <v>22</v>
      </c>
      <c r="D1296" t="s">
        <v>42</v>
      </c>
      <c r="E1296" t="s">
        <v>88</v>
      </c>
      <c r="F1296" t="s">
        <v>156</v>
      </c>
      <c r="G1296" t="s">
        <v>253</v>
      </c>
      <c r="H1296" t="s">
        <v>253</v>
      </c>
      <c r="I1296" t="s">
        <v>413</v>
      </c>
      <c r="K1296" t="s">
        <v>466</v>
      </c>
      <c r="L1296" t="s">
        <v>469</v>
      </c>
      <c r="M1296" t="s">
        <v>478</v>
      </c>
      <c r="N1296" t="s">
        <v>648</v>
      </c>
      <c r="O1296" t="s">
        <v>873</v>
      </c>
      <c r="P1296" s="1">
        <f>HYPERLINK("https://ec.europa.eu/info/funding-tenders/opportunities/portal/screen/opportunities/topic-details/horizon-er-ju-2022-fa6-01", "HORIZON-ER-JU-2022-FA6-01")</f>
        <v>0</v>
      </c>
      <c r="Q1296" t="s">
        <v>2237</v>
      </c>
    </row>
    <row r="1297" spans="1:17">
      <c r="A1297">
        <v>45418544</v>
      </c>
      <c r="B1297">
        <v>2022</v>
      </c>
      <c r="C1297" t="s">
        <v>22</v>
      </c>
      <c r="D1297" t="s">
        <v>42</v>
      </c>
      <c r="E1297" t="s">
        <v>88</v>
      </c>
      <c r="F1297" t="s">
        <v>155</v>
      </c>
      <c r="G1297" t="s">
        <v>252</v>
      </c>
      <c r="H1297" t="s">
        <v>252</v>
      </c>
      <c r="I1297" t="s">
        <v>298</v>
      </c>
      <c r="K1297" t="s">
        <v>466</v>
      </c>
      <c r="L1297" t="s">
        <v>469</v>
      </c>
      <c r="M1297" t="s">
        <v>477</v>
      </c>
      <c r="N1297" t="s">
        <v>647</v>
      </c>
      <c r="O1297" t="s">
        <v>872</v>
      </c>
      <c r="P1297" s="1">
        <f>HYPERLINK("https://ec.europa.eu/info/funding-tenders/opportunities/portal/screen/opportunities/topic-details/horizon-er-ju-2022-fa7-01", "HORIZON-ER-JU-2022-FA7-01")</f>
        <v>0</v>
      </c>
      <c r="Q1297" t="s">
        <v>2238</v>
      </c>
    </row>
    <row r="1298" spans="1:17">
      <c r="A1298">
        <v>45418549</v>
      </c>
      <c r="B1298">
        <v>2022</v>
      </c>
      <c r="C1298" t="s">
        <v>22</v>
      </c>
      <c r="D1298" t="s">
        <v>42</v>
      </c>
      <c r="E1298" t="s">
        <v>88</v>
      </c>
      <c r="F1298" t="s">
        <v>155</v>
      </c>
      <c r="G1298" t="s">
        <v>252</v>
      </c>
      <c r="H1298" t="s">
        <v>252</v>
      </c>
      <c r="I1298" t="s">
        <v>298</v>
      </c>
      <c r="K1298" t="s">
        <v>466</v>
      </c>
      <c r="L1298" t="s">
        <v>469</v>
      </c>
      <c r="M1298" t="s">
        <v>477</v>
      </c>
      <c r="N1298" t="s">
        <v>647</v>
      </c>
      <c r="O1298" t="s">
        <v>872</v>
      </c>
      <c r="P1298" s="1">
        <f>HYPERLINK("https://ec.europa.eu/info/funding-tenders/opportunities/portal/screen/opportunities/topic-details/horizon-er-ju-2022-fa7-02", "HORIZON-ER-JU-2022-FA7-02")</f>
        <v>0</v>
      </c>
      <c r="Q1298" t="s">
        <v>2239</v>
      </c>
    </row>
    <row r="1299" spans="1:17">
      <c r="A1299">
        <v>45418554</v>
      </c>
      <c r="B1299">
        <v>2022</v>
      </c>
      <c r="C1299" t="s">
        <v>22</v>
      </c>
      <c r="D1299" t="s">
        <v>42</v>
      </c>
      <c r="E1299" t="s">
        <v>88</v>
      </c>
      <c r="F1299" t="s">
        <v>155</v>
      </c>
      <c r="G1299" t="s">
        <v>252</v>
      </c>
      <c r="H1299" t="s">
        <v>252</v>
      </c>
      <c r="I1299" t="s">
        <v>298</v>
      </c>
      <c r="K1299" t="s">
        <v>466</v>
      </c>
      <c r="L1299" t="s">
        <v>469</v>
      </c>
      <c r="M1299" t="s">
        <v>478</v>
      </c>
      <c r="N1299" t="s">
        <v>647</v>
      </c>
      <c r="O1299" t="s">
        <v>872</v>
      </c>
      <c r="P1299" s="1">
        <f>HYPERLINK("https://ec.europa.eu/info/funding-tenders/opportunities/portal/screen/opportunities/topic-details/horizon-er-ju-2022-fa7-03", "HORIZON-ER-JU-2022-FA7-03")</f>
        <v>0</v>
      </c>
      <c r="Q1299" t="s">
        <v>2240</v>
      </c>
    </row>
    <row r="1300" spans="1:17">
      <c r="A1300">
        <v>46281388</v>
      </c>
      <c r="B1300">
        <v>2023</v>
      </c>
      <c r="C1300" t="s">
        <v>23</v>
      </c>
      <c r="D1300" t="s">
        <v>42</v>
      </c>
      <c r="E1300" t="s">
        <v>88</v>
      </c>
      <c r="F1300" t="s">
        <v>156</v>
      </c>
      <c r="G1300" t="s">
        <v>254</v>
      </c>
      <c r="H1300" t="s">
        <v>300</v>
      </c>
      <c r="I1300" t="s">
        <v>371</v>
      </c>
      <c r="K1300" t="s">
        <v>466</v>
      </c>
      <c r="L1300" t="s">
        <v>469</v>
      </c>
      <c r="M1300" t="s">
        <v>477</v>
      </c>
      <c r="N1300" t="s">
        <v>649</v>
      </c>
      <c r="O1300" t="s">
        <v>874</v>
      </c>
      <c r="P1300" s="1">
        <f>HYPERLINK("https://ec.europa.eu/info/funding-tenders/opportunities/portal/screen/opportunities/topic-details/horizon-er-ju-2023-explr-01", "HORIZON-ER-JU-2023-EXPLR-01")</f>
        <v>0</v>
      </c>
      <c r="Q1300" t="s">
        <v>2241</v>
      </c>
    </row>
    <row r="1301" spans="1:17">
      <c r="A1301">
        <v>46281395</v>
      </c>
      <c r="B1301">
        <v>2023</v>
      </c>
      <c r="C1301" t="s">
        <v>23</v>
      </c>
      <c r="D1301" t="s">
        <v>42</v>
      </c>
      <c r="E1301" t="s">
        <v>88</v>
      </c>
      <c r="F1301" t="s">
        <v>156</v>
      </c>
      <c r="G1301" t="s">
        <v>254</v>
      </c>
      <c r="H1301" t="s">
        <v>300</v>
      </c>
      <c r="I1301" t="s">
        <v>371</v>
      </c>
      <c r="K1301" t="s">
        <v>466</v>
      </c>
      <c r="L1301" t="s">
        <v>469</v>
      </c>
      <c r="M1301" t="s">
        <v>477</v>
      </c>
      <c r="N1301" t="s">
        <v>649</v>
      </c>
      <c r="O1301" t="s">
        <v>874</v>
      </c>
      <c r="P1301" s="1">
        <f>HYPERLINK("https://ec.europa.eu/info/funding-tenders/opportunities/portal/screen/opportunities/topic-details/horizon-er-ju-2023-explr-02", "HORIZON-ER-JU-2023-EXPLR-02")</f>
        <v>0</v>
      </c>
      <c r="Q1301" t="s">
        <v>2242</v>
      </c>
    </row>
    <row r="1302" spans="1:17">
      <c r="A1302">
        <v>46281402</v>
      </c>
      <c r="B1302">
        <v>2023</v>
      </c>
      <c r="C1302" t="s">
        <v>23</v>
      </c>
      <c r="D1302" t="s">
        <v>42</v>
      </c>
      <c r="E1302" t="s">
        <v>88</v>
      </c>
      <c r="F1302" t="s">
        <v>156</v>
      </c>
      <c r="G1302" t="s">
        <v>254</v>
      </c>
      <c r="H1302" t="s">
        <v>300</v>
      </c>
      <c r="I1302" t="s">
        <v>371</v>
      </c>
      <c r="K1302" t="s">
        <v>466</v>
      </c>
      <c r="L1302" t="s">
        <v>469</v>
      </c>
      <c r="M1302" t="s">
        <v>479</v>
      </c>
      <c r="N1302" t="s">
        <v>649</v>
      </c>
      <c r="O1302" t="s">
        <v>874</v>
      </c>
      <c r="P1302" s="1">
        <f>HYPERLINK("https://ec.europa.eu/info/funding-tenders/opportunities/portal/screen/opportunities/topic-details/horizon-er-ju-2023-explr-03", "HORIZON-ER-JU-2023-EXPLR-03")</f>
        <v>0</v>
      </c>
      <c r="Q1302" t="s">
        <v>2243</v>
      </c>
    </row>
    <row r="1303" spans="1:17">
      <c r="A1303">
        <v>46281409</v>
      </c>
      <c r="B1303">
        <v>2023</v>
      </c>
      <c r="C1303" t="s">
        <v>23</v>
      </c>
      <c r="D1303" t="s">
        <v>42</v>
      </c>
      <c r="E1303" t="s">
        <v>88</v>
      </c>
      <c r="F1303" t="s">
        <v>156</v>
      </c>
      <c r="G1303" t="s">
        <v>254</v>
      </c>
      <c r="H1303" t="s">
        <v>300</v>
      </c>
      <c r="I1303" t="s">
        <v>371</v>
      </c>
      <c r="K1303" t="s">
        <v>466</v>
      </c>
      <c r="L1303" t="s">
        <v>469</v>
      </c>
      <c r="M1303" t="s">
        <v>477</v>
      </c>
      <c r="N1303" t="s">
        <v>649</v>
      </c>
      <c r="O1303" t="s">
        <v>874</v>
      </c>
      <c r="P1303" s="1">
        <f>HYPERLINK("https://ec.europa.eu/info/funding-tenders/opportunities/portal/screen/opportunities/topic-details/horizon-er-ju-2023-explr-04", "HORIZON-ER-JU-2023-EXPLR-04")</f>
        <v>0</v>
      </c>
      <c r="Q1303" t="s">
        <v>2244</v>
      </c>
    </row>
    <row r="1304" spans="1:17">
      <c r="A1304">
        <v>46281416</v>
      </c>
      <c r="B1304">
        <v>2023</v>
      </c>
      <c r="C1304" t="s">
        <v>23</v>
      </c>
      <c r="D1304" t="s">
        <v>42</v>
      </c>
      <c r="E1304" t="s">
        <v>88</v>
      </c>
      <c r="F1304" t="s">
        <v>156</v>
      </c>
      <c r="G1304" t="s">
        <v>254</v>
      </c>
      <c r="H1304" t="s">
        <v>300</v>
      </c>
      <c r="I1304" t="s">
        <v>371</v>
      </c>
      <c r="K1304" t="s">
        <v>466</v>
      </c>
      <c r="L1304" t="s">
        <v>469</v>
      </c>
      <c r="M1304" t="s">
        <v>477</v>
      </c>
      <c r="N1304" t="s">
        <v>649</v>
      </c>
      <c r="O1304" t="s">
        <v>874</v>
      </c>
      <c r="P1304" s="1">
        <f>HYPERLINK("https://ec.europa.eu/info/funding-tenders/opportunities/portal/screen/opportunities/topic-details/horizon-er-ju-2023-explr-05", "HORIZON-ER-JU-2023-EXPLR-05")</f>
        <v>0</v>
      </c>
      <c r="Q1304" t="s">
        <v>2245</v>
      </c>
    </row>
    <row r="1305" spans="1:17">
      <c r="A1305">
        <v>46281423</v>
      </c>
      <c r="B1305">
        <v>2023</v>
      </c>
      <c r="C1305" t="s">
        <v>23</v>
      </c>
      <c r="D1305" t="s">
        <v>42</v>
      </c>
      <c r="E1305" t="s">
        <v>88</v>
      </c>
      <c r="F1305" t="s">
        <v>156</v>
      </c>
      <c r="G1305" t="s">
        <v>254</v>
      </c>
      <c r="H1305" t="s">
        <v>300</v>
      </c>
      <c r="I1305" t="s">
        <v>371</v>
      </c>
      <c r="K1305" t="s">
        <v>466</v>
      </c>
      <c r="L1305" t="s">
        <v>469</v>
      </c>
      <c r="M1305" t="s">
        <v>479</v>
      </c>
      <c r="N1305" t="s">
        <v>649</v>
      </c>
      <c r="O1305" t="s">
        <v>874</v>
      </c>
      <c r="P1305" s="1">
        <f>HYPERLINK("https://ec.europa.eu/info/funding-tenders/opportunities/portal/screen/opportunities/topic-details/horizon-er-ju-2023-explr-06", "HORIZON-ER-JU-2023-EXPLR-06")</f>
        <v>0</v>
      </c>
      <c r="Q1305" t="s">
        <v>2246</v>
      </c>
    </row>
    <row r="1306" spans="1:17">
      <c r="A1306">
        <v>46281381</v>
      </c>
      <c r="B1306">
        <v>2023</v>
      </c>
      <c r="C1306" t="s">
        <v>23</v>
      </c>
      <c r="D1306" t="s">
        <v>42</v>
      </c>
      <c r="E1306" t="s">
        <v>88</v>
      </c>
      <c r="F1306" t="s">
        <v>156</v>
      </c>
      <c r="G1306" t="s">
        <v>254</v>
      </c>
      <c r="H1306" t="s">
        <v>300</v>
      </c>
      <c r="I1306" t="s">
        <v>371</v>
      </c>
      <c r="K1306" t="s">
        <v>466</v>
      </c>
      <c r="L1306" t="s">
        <v>469</v>
      </c>
      <c r="M1306" t="s">
        <v>478</v>
      </c>
      <c r="N1306" t="s">
        <v>649</v>
      </c>
      <c r="O1306" t="s">
        <v>874</v>
      </c>
      <c r="P1306" s="1">
        <f>HYPERLINK("https://ec.europa.eu/info/funding-tenders/opportunities/portal/screen/opportunities/topic-details/horizon-er-ju-2023-fa1-sesar", "HORIZON-ER-JU-2023-FA1-SESAR")</f>
        <v>0</v>
      </c>
      <c r="Q1306" t="s">
        <v>2247</v>
      </c>
    </row>
    <row r="1307" spans="1:17">
      <c r="A1307">
        <v>46692398</v>
      </c>
      <c r="B1307">
        <v>2024</v>
      </c>
      <c r="C1307" t="s">
        <v>22</v>
      </c>
      <c r="D1307" t="s">
        <v>42</v>
      </c>
      <c r="E1307" t="s">
        <v>88</v>
      </c>
      <c r="F1307" t="s">
        <v>156</v>
      </c>
      <c r="G1307" t="s">
        <v>255</v>
      </c>
      <c r="H1307" t="s">
        <v>333</v>
      </c>
      <c r="I1307" t="s">
        <v>414</v>
      </c>
      <c r="K1307" t="s">
        <v>466</v>
      </c>
      <c r="L1307" t="s">
        <v>469</v>
      </c>
      <c r="M1307" t="s">
        <v>478</v>
      </c>
      <c r="N1307" t="s">
        <v>650</v>
      </c>
      <c r="O1307" t="s">
        <v>875</v>
      </c>
      <c r="P1307" s="1">
        <f>HYPERLINK("https://ec.europa.eu/info/funding-tenders/opportunities/portal/screen/opportunities/topic-details/horizon-er-ju-2024-fa2-sns", "HORIZON-ER-JU-2024-FA2-SNS")</f>
        <v>0</v>
      </c>
      <c r="Q1307" t="s">
        <v>2248</v>
      </c>
    </row>
    <row r="1308" spans="1:17">
      <c r="A1308">
        <v>46692340</v>
      </c>
      <c r="B1308">
        <v>2024</v>
      </c>
      <c r="C1308" t="s">
        <v>22</v>
      </c>
      <c r="D1308" t="s">
        <v>42</v>
      </c>
      <c r="E1308" t="s">
        <v>88</v>
      </c>
      <c r="F1308" t="s">
        <v>156</v>
      </c>
      <c r="G1308" t="s">
        <v>255</v>
      </c>
      <c r="H1308" t="s">
        <v>333</v>
      </c>
      <c r="I1308" t="s">
        <v>414</v>
      </c>
      <c r="K1308" t="s">
        <v>466</v>
      </c>
      <c r="L1308" t="s">
        <v>469</v>
      </c>
      <c r="M1308" t="s">
        <v>478</v>
      </c>
      <c r="N1308" t="s">
        <v>650</v>
      </c>
      <c r="O1308" t="s">
        <v>875</v>
      </c>
      <c r="P1308" s="1">
        <f>HYPERLINK("https://ec.europa.eu/info/funding-tenders/opportunities/portal/screen/opportunities/topic-details/horizon-er-ju-2024-fa5", "HORIZON-ER-JU-2024-FA5")</f>
        <v>0</v>
      </c>
      <c r="Q1308" t="s">
        <v>2249</v>
      </c>
    </row>
    <row r="1309" spans="1:17">
      <c r="A1309">
        <v>46692373</v>
      </c>
      <c r="B1309">
        <v>2024</v>
      </c>
      <c r="C1309" t="s">
        <v>22</v>
      </c>
      <c r="D1309" t="s">
        <v>42</v>
      </c>
      <c r="E1309" t="s">
        <v>88</v>
      </c>
      <c r="F1309" t="s">
        <v>156</v>
      </c>
      <c r="G1309" t="s">
        <v>255</v>
      </c>
      <c r="H1309" t="s">
        <v>333</v>
      </c>
      <c r="I1309" t="s">
        <v>414</v>
      </c>
      <c r="K1309" t="s">
        <v>466</v>
      </c>
      <c r="L1309" t="s">
        <v>469</v>
      </c>
      <c r="M1309" t="s">
        <v>477</v>
      </c>
      <c r="N1309" t="s">
        <v>650</v>
      </c>
      <c r="O1309" t="s">
        <v>875</v>
      </c>
      <c r="P1309" s="1">
        <f>HYPERLINK("https://ec.europa.eu/info/funding-tenders/opportunities/portal/screen/opportunities/topic-details/horizon-er-ju-2024-fa7", "HORIZON-ER-JU-2024-FA7")</f>
        <v>0</v>
      </c>
      <c r="Q1309" t="s">
        <v>2250</v>
      </c>
    </row>
    <row r="1310" spans="1:17">
      <c r="A1310">
        <v>44765754</v>
      </c>
      <c r="B1310">
        <v>2021</v>
      </c>
      <c r="C1310" t="s">
        <v>24</v>
      </c>
      <c r="D1310" t="s">
        <v>43</v>
      </c>
      <c r="E1310" t="s">
        <v>64</v>
      </c>
      <c r="F1310" t="s">
        <v>157</v>
      </c>
      <c r="G1310" t="s">
        <v>256</v>
      </c>
      <c r="H1310" t="s">
        <v>334</v>
      </c>
      <c r="I1310" t="s">
        <v>415</v>
      </c>
      <c r="K1310" t="s">
        <v>466</v>
      </c>
      <c r="L1310" t="s">
        <v>469</v>
      </c>
      <c r="M1310" t="s">
        <v>477</v>
      </c>
      <c r="N1310" t="s">
        <v>651</v>
      </c>
      <c r="O1310" t="s">
        <v>876</v>
      </c>
      <c r="P1310" s="1">
        <f>HYPERLINK("https://ec.europa.eu/info/funding-tenders/opportunities/portal/screen/opportunities/topic-details/horizon-eurohpc-ju-2021-coe-01-01", "HORIZON-EUROHPC-JU-2021-COE-01-01")</f>
        <v>0</v>
      </c>
      <c r="Q1310" t="s">
        <v>2251</v>
      </c>
    </row>
    <row r="1311" spans="1:17">
      <c r="A1311">
        <v>44765768</v>
      </c>
      <c r="B1311">
        <v>2021</v>
      </c>
      <c r="C1311" t="s">
        <v>24</v>
      </c>
      <c r="D1311" t="s">
        <v>43</v>
      </c>
      <c r="E1311" t="s">
        <v>64</v>
      </c>
      <c r="F1311" t="s">
        <v>157</v>
      </c>
      <c r="G1311" t="s">
        <v>256</v>
      </c>
      <c r="H1311" t="s">
        <v>334</v>
      </c>
      <c r="I1311" t="s">
        <v>415</v>
      </c>
      <c r="K1311" t="s">
        <v>466</v>
      </c>
      <c r="L1311" t="s">
        <v>469</v>
      </c>
      <c r="M1311" t="s">
        <v>477</v>
      </c>
      <c r="N1311" t="s">
        <v>651</v>
      </c>
      <c r="O1311" t="s">
        <v>876</v>
      </c>
      <c r="P1311" s="1">
        <f>HYPERLINK("https://ec.europa.eu/info/funding-tenders/opportunities/portal/screen/opportunities/topic-details/horizon-eurohpc-ju-2021-coe-01-02", "HORIZON-EUROHPC-JU-2021-COE-01-02")</f>
        <v>0</v>
      </c>
      <c r="Q1311" t="s">
        <v>2252</v>
      </c>
    </row>
    <row r="1312" spans="1:17">
      <c r="A1312">
        <v>44985659</v>
      </c>
      <c r="B1312">
        <v>2022</v>
      </c>
      <c r="C1312" t="s">
        <v>24</v>
      </c>
      <c r="D1312" t="s">
        <v>43</v>
      </c>
      <c r="E1312" t="s">
        <v>63</v>
      </c>
      <c r="F1312" t="s">
        <v>158</v>
      </c>
      <c r="G1312" t="s">
        <v>257</v>
      </c>
      <c r="H1312" t="s">
        <v>335</v>
      </c>
      <c r="I1312" t="s">
        <v>396</v>
      </c>
      <c r="K1312" t="s">
        <v>466</v>
      </c>
      <c r="L1312" t="s">
        <v>469</v>
      </c>
      <c r="M1312" t="s">
        <v>477</v>
      </c>
      <c r="N1312" t="s">
        <v>652</v>
      </c>
      <c r="O1312" t="s">
        <v>877</v>
      </c>
      <c r="P1312" s="1">
        <f>HYPERLINK("https://ec.europa.eu/info/funding-tenders/opportunities/portal/screen/opportunities/topic-details/horizon-eurohpc-ju-2022-alg-02-01", "HORIZON-EUROHPC-JU-2022-ALG-02-01")</f>
        <v>0</v>
      </c>
      <c r="Q1312" t="s">
        <v>877</v>
      </c>
    </row>
    <row r="1313" spans="1:17">
      <c r="A1313">
        <v>45816003</v>
      </c>
      <c r="B1313">
        <v>2022</v>
      </c>
      <c r="C1313" t="s">
        <v>24</v>
      </c>
      <c r="D1313" t="s">
        <v>43</v>
      </c>
      <c r="E1313" t="s">
        <v>63</v>
      </c>
      <c r="F1313" t="s">
        <v>159</v>
      </c>
      <c r="G1313" t="s">
        <v>258</v>
      </c>
      <c r="H1313" t="s">
        <v>336</v>
      </c>
      <c r="I1313" t="s">
        <v>364</v>
      </c>
      <c r="K1313" t="s">
        <v>466</v>
      </c>
      <c r="L1313" t="s">
        <v>469</v>
      </c>
      <c r="M1313" t="s">
        <v>477</v>
      </c>
      <c r="N1313" t="s">
        <v>653</v>
      </c>
      <c r="O1313" t="s">
        <v>878</v>
      </c>
      <c r="P1313" s="1">
        <f>HYPERLINK("https://ec.europa.eu/info/funding-tenders/opportunities/portal/screen/opportunities/topic-details/horizon-eurohpc-ju-2022-inco-04-01", "HORIZON-EUROHPC-JU-2022-INCO-04-01")</f>
        <v>0</v>
      </c>
      <c r="Q1313" t="s">
        <v>2253</v>
      </c>
    </row>
    <row r="1314" spans="1:17">
      <c r="A1314">
        <v>45816029</v>
      </c>
      <c r="B1314">
        <v>2022</v>
      </c>
      <c r="C1314" t="s">
        <v>24</v>
      </c>
      <c r="D1314" t="s">
        <v>43</v>
      </c>
      <c r="E1314" t="s">
        <v>63</v>
      </c>
      <c r="F1314" t="s">
        <v>160</v>
      </c>
      <c r="G1314" t="s">
        <v>259</v>
      </c>
      <c r="H1314" t="s">
        <v>337</v>
      </c>
      <c r="I1314" t="s">
        <v>416</v>
      </c>
      <c r="K1314" t="s">
        <v>466</v>
      </c>
      <c r="L1314" t="s">
        <v>469</v>
      </c>
      <c r="M1314" t="s">
        <v>475</v>
      </c>
      <c r="N1314" t="s">
        <v>654</v>
      </c>
      <c r="O1314" t="s">
        <v>879</v>
      </c>
      <c r="P1314" s="1">
        <f>HYPERLINK("https://ec.europa.eu/info/funding-tenders/opportunities/portal/screen/opportunities/topic-details/horizon-eurohpc-ju-2022-tech-03-01", "HORIZON-EUROHPC-JU-2022-TECH-03-01")</f>
        <v>0</v>
      </c>
      <c r="Q1314" t="s">
        <v>879</v>
      </c>
    </row>
    <row r="1315" spans="1:17">
      <c r="A1315">
        <v>45908141</v>
      </c>
      <c r="B1315">
        <v>2023</v>
      </c>
      <c r="C1315" t="s">
        <v>24</v>
      </c>
      <c r="D1315" t="s">
        <v>43</v>
      </c>
      <c r="E1315" t="s">
        <v>64</v>
      </c>
      <c r="F1315" t="s">
        <v>157</v>
      </c>
      <c r="G1315" t="s">
        <v>260</v>
      </c>
      <c r="H1315" t="s">
        <v>260</v>
      </c>
      <c r="I1315" t="s">
        <v>417</v>
      </c>
      <c r="K1315" t="s">
        <v>466</v>
      </c>
      <c r="L1315" t="s">
        <v>469</v>
      </c>
      <c r="M1315" t="s">
        <v>477</v>
      </c>
      <c r="N1315" t="s">
        <v>655</v>
      </c>
      <c r="O1315" t="s">
        <v>880</v>
      </c>
      <c r="P1315" s="1">
        <f>HYPERLINK("https://ec.europa.eu/info/funding-tenders/opportunities/portal/screen/opportunities/topic-details/horizon-eurohpc-ju-2023-coe-01-01", "HORIZON-EUROHPC-JU-2023-COE-01-01")</f>
        <v>0</v>
      </c>
      <c r="Q1315" t="s">
        <v>880</v>
      </c>
    </row>
    <row r="1316" spans="1:17">
      <c r="A1316">
        <v>46322775</v>
      </c>
      <c r="B1316">
        <v>2023</v>
      </c>
      <c r="C1316" t="s">
        <v>24</v>
      </c>
      <c r="D1316" t="s">
        <v>43</v>
      </c>
      <c r="E1316" t="s">
        <v>64</v>
      </c>
      <c r="F1316" t="s">
        <v>161</v>
      </c>
      <c r="G1316" t="s">
        <v>261</v>
      </c>
      <c r="H1316" t="s">
        <v>261</v>
      </c>
      <c r="I1316" t="s">
        <v>418</v>
      </c>
      <c r="K1316" t="s">
        <v>466</v>
      </c>
      <c r="L1316" t="s">
        <v>469</v>
      </c>
      <c r="M1316" t="s">
        <v>477</v>
      </c>
      <c r="N1316" t="s">
        <v>656</v>
      </c>
      <c r="O1316" t="s">
        <v>880</v>
      </c>
      <c r="P1316" s="1">
        <f>HYPERLINK("https://ec.europa.eu/info/funding-tenders/opportunities/portal/screen/opportunities/topic-details/horizon-eurohpc-ju-2023-coe-03-01", "HORIZON-EUROHPC-JU-2023-COE-03-01")</f>
        <v>0</v>
      </c>
      <c r="Q1316" t="s">
        <v>880</v>
      </c>
    </row>
    <row r="1317" spans="1:17">
      <c r="A1317">
        <v>46357186</v>
      </c>
      <c r="B1317">
        <v>2023</v>
      </c>
      <c r="C1317" t="s">
        <v>24</v>
      </c>
      <c r="D1317" t="s">
        <v>43</v>
      </c>
      <c r="E1317" t="s">
        <v>64</v>
      </c>
      <c r="F1317" t="s">
        <v>162</v>
      </c>
      <c r="G1317" t="s">
        <v>262</v>
      </c>
      <c r="H1317" t="s">
        <v>262</v>
      </c>
      <c r="I1317" t="s">
        <v>371</v>
      </c>
      <c r="K1317" t="s">
        <v>466</v>
      </c>
      <c r="L1317" t="s">
        <v>469</v>
      </c>
      <c r="M1317" t="s">
        <v>477</v>
      </c>
      <c r="N1317" t="s">
        <v>657</v>
      </c>
      <c r="O1317" t="s">
        <v>881</v>
      </c>
      <c r="P1317" s="1">
        <f>HYPERLINK("https://ec.europa.eu/info/funding-tenders/opportunities/portal/screen/opportunities/topic-details/horizon-eurohpc-ju-2023-energy-04-01", "HORIZON-EUROHPC-JU-2023-ENERGY-04-01")</f>
        <v>0</v>
      </c>
      <c r="Q1317" t="s">
        <v>881</v>
      </c>
    </row>
    <row r="1318" spans="1:17">
      <c r="A1318">
        <v>46616346</v>
      </c>
      <c r="B1318">
        <v>2023</v>
      </c>
      <c r="C1318" t="s">
        <v>24</v>
      </c>
      <c r="D1318" t="s">
        <v>43</v>
      </c>
      <c r="E1318" t="s">
        <v>64</v>
      </c>
      <c r="F1318" t="s">
        <v>163</v>
      </c>
      <c r="G1318" t="s">
        <v>263</v>
      </c>
      <c r="H1318" t="s">
        <v>263</v>
      </c>
      <c r="I1318" t="s">
        <v>419</v>
      </c>
      <c r="K1318" t="s">
        <v>466</v>
      </c>
      <c r="L1318" t="s">
        <v>469</v>
      </c>
      <c r="M1318" t="s">
        <v>477</v>
      </c>
      <c r="N1318" t="s">
        <v>658</v>
      </c>
      <c r="O1318" t="s">
        <v>878</v>
      </c>
      <c r="P1318" s="1">
        <f>HYPERLINK("https://ec.europa.eu/info/funding-tenders/opportunities/portal/screen/opportunities/topic-details/horizon-eurohpc-ju-2023-inco-06-01", "HORIZON-EUROHPC-JU-2023-INCO-06-01")</f>
        <v>0</v>
      </c>
      <c r="Q1318" t="s">
        <v>2254</v>
      </c>
    </row>
    <row r="1319" spans="1:17">
      <c r="A1319">
        <v>46196910</v>
      </c>
      <c r="B1319">
        <v>2023</v>
      </c>
      <c r="C1319" t="s">
        <v>24</v>
      </c>
      <c r="D1319" t="s">
        <v>43</v>
      </c>
      <c r="E1319" t="s">
        <v>64</v>
      </c>
      <c r="F1319" t="s">
        <v>164</v>
      </c>
      <c r="G1319" t="s">
        <v>264</v>
      </c>
      <c r="H1319" t="s">
        <v>264</v>
      </c>
      <c r="I1319" t="s">
        <v>420</v>
      </c>
      <c r="K1319" t="s">
        <v>466</v>
      </c>
      <c r="L1319" t="s">
        <v>469</v>
      </c>
      <c r="M1319" t="s">
        <v>478</v>
      </c>
      <c r="N1319" t="s">
        <v>659</v>
      </c>
      <c r="O1319" t="s">
        <v>882</v>
      </c>
      <c r="P1319" s="1">
        <f>HYPERLINK("https://ec.europa.eu/info/funding-tenders/opportunities/portal/screen/opportunities/topic-details/horizon-eurohpc-ju-2023-inter-02-01", "HORIZON-EUROHPC-JU-2023-INTER-02-01")</f>
        <v>0</v>
      </c>
      <c r="Q1319" t="s">
        <v>882</v>
      </c>
    </row>
    <row r="1320" spans="1:17">
      <c r="A1320">
        <v>46518060</v>
      </c>
      <c r="B1320">
        <v>2023</v>
      </c>
      <c r="C1320" t="s">
        <v>24</v>
      </c>
      <c r="D1320" t="s">
        <v>43</v>
      </c>
      <c r="E1320" t="s">
        <v>64</v>
      </c>
      <c r="F1320" t="s">
        <v>165</v>
      </c>
      <c r="G1320" t="s">
        <v>262</v>
      </c>
      <c r="H1320" t="s">
        <v>262</v>
      </c>
      <c r="I1320" t="s">
        <v>358</v>
      </c>
      <c r="K1320" t="s">
        <v>466</v>
      </c>
      <c r="L1320" t="s">
        <v>469</v>
      </c>
      <c r="M1320" t="s">
        <v>471</v>
      </c>
      <c r="N1320" t="s">
        <v>660</v>
      </c>
      <c r="O1320" t="s">
        <v>883</v>
      </c>
      <c r="P1320" s="1">
        <f>HYPERLINK("https://ec.europa.eu/info/funding-tenders/opportunities/portal/screen/opportunities/topic-details/horizon-eurohpc-ju-2023-qec-05-01", "HORIZON-EUROHPC-JU-2023-QEC-05-01")</f>
        <v>0</v>
      </c>
      <c r="Q1320" t="s">
        <v>883</v>
      </c>
    </row>
    <row r="1321" spans="1:17">
      <c r="A1321">
        <v>46850763</v>
      </c>
      <c r="B1321">
        <v>2024</v>
      </c>
      <c r="C1321" t="s">
        <v>24</v>
      </c>
      <c r="D1321" t="s">
        <v>43</v>
      </c>
      <c r="E1321" t="s">
        <v>64</v>
      </c>
      <c r="F1321" t="s">
        <v>166</v>
      </c>
      <c r="G1321" t="s">
        <v>265</v>
      </c>
      <c r="H1321" t="s">
        <v>265</v>
      </c>
      <c r="I1321" t="s">
        <v>421</v>
      </c>
      <c r="K1321" t="s">
        <v>467</v>
      </c>
      <c r="L1321" t="s">
        <v>469</v>
      </c>
      <c r="M1321" t="s">
        <v>477</v>
      </c>
      <c r="N1321" t="s">
        <v>661</v>
      </c>
      <c r="O1321" t="s">
        <v>884</v>
      </c>
      <c r="P1321" s="1">
        <f>HYPERLINK("https://ec.europa.eu/info/funding-tenders/opportunities/portal/screen/opportunities/topic-details/horizon-eurohpc-ju-2024-dare-sga-04-01", "HORIZON-EUROHPC-JU-2024-DARE-SGA-04-01")</f>
        <v>0</v>
      </c>
      <c r="Q1321" t="s">
        <v>2255</v>
      </c>
    </row>
    <row r="1322" spans="1:17">
      <c r="A1322">
        <v>44366037</v>
      </c>
      <c r="B1322">
        <v>2021</v>
      </c>
      <c r="C1322" t="s">
        <v>25</v>
      </c>
      <c r="D1322" t="s">
        <v>44</v>
      </c>
      <c r="E1322" t="s">
        <v>70</v>
      </c>
      <c r="F1322" t="s">
        <v>167</v>
      </c>
      <c r="G1322" t="s">
        <v>266</v>
      </c>
      <c r="H1322" t="s">
        <v>328</v>
      </c>
      <c r="I1322" t="s">
        <v>380</v>
      </c>
      <c r="K1322" t="s">
        <v>466</v>
      </c>
      <c r="L1322" t="s">
        <v>469</v>
      </c>
      <c r="M1322" t="s">
        <v>473</v>
      </c>
      <c r="N1322" t="s">
        <v>662</v>
      </c>
      <c r="O1322" t="s">
        <v>885</v>
      </c>
      <c r="P1322" s="1">
        <f>HYPERLINK("https://ec.europa.eu/info/funding-tenders/opportunities/portal/screen/opportunities/topic-details/horizon-euspa-2021-space-02-51", "HORIZON-EUSPA-2021-SPACE-02-51")</f>
        <v>0</v>
      </c>
      <c r="Q1322" t="s">
        <v>2256</v>
      </c>
    </row>
    <row r="1323" spans="1:17">
      <c r="A1323">
        <v>44366044</v>
      </c>
      <c r="B1323">
        <v>2021</v>
      </c>
      <c r="C1323" t="s">
        <v>25</v>
      </c>
      <c r="D1323" t="s">
        <v>44</v>
      </c>
      <c r="E1323" t="s">
        <v>70</v>
      </c>
      <c r="F1323" t="s">
        <v>167</v>
      </c>
      <c r="G1323" t="s">
        <v>266</v>
      </c>
      <c r="H1323" t="s">
        <v>328</v>
      </c>
      <c r="I1323" t="s">
        <v>380</v>
      </c>
      <c r="K1323" t="s">
        <v>466</v>
      </c>
      <c r="L1323" t="s">
        <v>469</v>
      </c>
      <c r="M1323" t="s">
        <v>473</v>
      </c>
      <c r="N1323" t="s">
        <v>662</v>
      </c>
      <c r="O1323" t="s">
        <v>885</v>
      </c>
      <c r="P1323" s="1">
        <f>HYPERLINK("https://ec.europa.eu/info/funding-tenders/opportunities/portal/screen/opportunities/topic-details/horizon-euspa-2021-space-02-52", "HORIZON-EUSPA-2021-SPACE-02-52")</f>
        <v>0</v>
      </c>
      <c r="Q1323" t="s">
        <v>2257</v>
      </c>
    </row>
    <row r="1324" spans="1:17">
      <c r="A1324">
        <v>44366051</v>
      </c>
      <c r="B1324">
        <v>2021</v>
      </c>
      <c r="C1324" t="s">
        <v>25</v>
      </c>
      <c r="D1324" t="s">
        <v>44</v>
      </c>
      <c r="E1324" t="s">
        <v>70</v>
      </c>
      <c r="F1324" t="s">
        <v>167</v>
      </c>
      <c r="G1324" t="s">
        <v>266</v>
      </c>
      <c r="H1324" t="s">
        <v>328</v>
      </c>
      <c r="I1324" t="s">
        <v>380</v>
      </c>
      <c r="K1324" t="s">
        <v>466</v>
      </c>
      <c r="L1324" t="s">
        <v>469</v>
      </c>
      <c r="M1324" t="s">
        <v>473</v>
      </c>
      <c r="N1324" t="s">
        <v>662</v>
      </c>
      <c r="O1324" t="s">
        <v>885</v>
      </c>
      <c r="P1324" s="1">
        <f>HYPERLINK("https://ec.europa.eu/info/funding-tenders/opportunities/portal/screen/opportunities/topic-details/horizon-euspa-2021-space-02-53", "HORIZON-EUSPA-2021-SPACE-02-53")</f>
        <v>0</v>
      </c>
      <c r="Q1324" t="s">
        <v>2258</v>
      </c>
    </row>
    <row r="1325" spans="1:17">
      <c r="A1325">
        <v>44366009</v>
      </c>
      <c r="B1325">
        <v>2022</v>
      </c>
      <c r="C1325" t="s">
        <v>25</v>
      </c>
      <c r="D1325" t="s">
        <v>44</v>
      </c>
      <c r="E1325" t="s">
        <v>70</v>
      </c>
      <c r="F1325" t="s">
        <v>168</v>
      </c>
      <c r="G1325" t="s">
        <v>267</v>
      </c>
      <c r="H1325" t="s">
        <v>338</v>
      </c>
      <c r="I1325" t="s">
        <v>422</v>
      </c>
      <c r="K1325" t="s">
        <v>466</v>
      </c>
      <c r="L1325" t="s">
        <v>469</v>
      </c>
      <c r="M1325" t="s">
        <v>480</v>
      </c>
      <c r="N1325" t="s">
        <v>663</v>
      </c>
      <c r="O1325" t="s">
        <v>886</v>
      </c>
      <c r="P1325" s="1">
        <f>HYPERLINK("https://ec.europa.eu/info/funding-tenders/opportunities/portal/screen/opportunities/topic-details/horizon-euspa-2022-maritime-prize", "HORIZON-EUSPA-2022-MARITIME-PRIZE")</f>
        <v>0</v>
      </c>
      <c r="Q1325" t="s">
        <v>2259</v>
      </c>
    </row>
    <row r="1326" spans="1:17">
      <c r="A1326">
        <v>45597635</v>
      </c>
      <c r="B1326">
        <v>2022</v>
      </c>
      <c r="C1326" t="s">
        <v>25</v>
      </c>
      <c r="D1326" t="s">
        <v>44</v>
      </c>
      <c r="E1326" t="s">
        <v>70</v>
      </c>
      <c r="F1326" t="s">
        <v>167</v>
      </c>
      <c r="G1326" t="s">
        <v>268</v>
      </c>
      <c r="H1326" t="s">
        <v>339</v>
      </c>
      <c r="I1326" t="s">
        <v>354</v>
      </c>
      <c r="K1326" t="s">
        <v>466</v>
      </c>
      <c r="L1326" t="s">
        <v>469</v>
      </c>
      <c r="M1326" t="s">
        <v>473</v>
      </c>
      <c r="N1326" t="s">
        <v>664</v>
      </c>
      <c r="O1326" t="s">
        <v>887</v>
      </c>
      <c r="P1326" s="1">
        <f>HYPERLINK("https://ec.europa.eu/info/funding-tenders/opportunities/portal/screen/opportunities/topic-details/horizon-euspa-2022-space-02-51", "HORIZON-EUSPA-2022-SPACE-02-51")</f>
        <v>0</v>
      </c>
      <c r="Q1326" t="s">
        <v>2260</v>
      </c>
    </row>
    <row r="1327" spans="1:17">
      <c r="A1327">
        <v>45597646</v>
      </c>
      <c r="B1327">
        <v>2022</v>
      </c>
      <c r="C1327" t="s">
        <v>25</v>
      </c>
      <c r="D1327" t="s">
        <v>44</v>
      </c>
      <c r="E1327" t="s">
        <v>70</v>
      </c>
      <c r="F1327" t="s">
        <v>167</v>
      </c>
      <c r="G1327" t="s">
        <v>268</v>
      </c>
      <c r="H1327" t="s">
        <v>339</v>
      </c>
      <c r="I1327" t="s">
        <v>354</v>
      </c>
      <c r="K1327" t="s">
        <v>466</v>
      </c>
      <c r="L1327" t="s">
        <v>469</v>
      </c>
      <c r="M1327" t="s">
        <v>474</v>
      </c>
      <c r="N1327" t="s">
        <v>664</v>
      </c>
      <c r="O1327" t="s">
        <v>887</v>
      </c>
      <c r="P1327" s="1">
        <f>HYPERLINK("https://ec.europa.eu/info/funding-tenders/opportunities/portal/screen/opportunities/topic-details/horizon-euspa-2022-space-02-52", "HORIZON-EUSPA-2022-SPACE-02-52")</f>
        <v>0</v>
      </c>
      <c r="Q1327" t="s">
        <v>2261</v>
      </c>
    </row>
    <row r="1328" spans="1:17">
      <c r="A1328">
        <v>45597658</v>
      </c>
      <c r="B1328">
        <v>2022</v>
      </c>
      <c r="C1328" t="s">
        <v>25</v>
      </c>
      <c r="D1328" t="s">
        <v>44</v>
      </c>
      <c r="E1328" t="s">
        <v>70</v>
      </c>
      <c r="F1328" t="s">
        <v>167</v>
      </c>
      <c r="G1328" t="s">
        <v>268</v>
      </c>
      <c r="H1328" t="s">
        <v>339</v>
      </c>
      <c r="I1328" t="s">
        <v>354</v>
      </c>
      <c r="K1328" t="s">
        <v>466</v>
      </c>
      <c r="L1328" t="s">
        <v>469</v>
      </c>
      <c r="M1328" t="s">
        <v>473</v>
      </c>
      <c r="N1328" t="s">
        <v>664</v>
      </c>
      <c r="O1328" t="s">
        <v>887</v>
      </c>
      <c r="P1328" s="1">
        <f>HYPERLINK("https://ec.europa.eu/info/funding-tenders/opportunities/portal/screen/opportunities/topic-details/horizon-euspa-2022-space-02-54", "HORIZON-EUSPA-2022-SPACE-02-54")</f>
        <v>0</v>
      </c>
      <c r="Q1328" t="s">
        <v>2262</v>
      </c>
    </row>
    <row r="1329" spans="1:17">
      <c r="A1329">
        <v>45597667</v>
      </c>
      <c r="B1329">
        <v>2022</v>
      </c>
      <c r="C1329" t="s">
        <v>25</v>
      </c>
      <c r="D1329" t="s">
        <v>44</v>
      </c>
      <c r="E1329" t="s">
        <v>70</v>
      </c>
      <c r="F1329" t="s">
        <v>167</v>
      </c>
      <c r="G1329" t="s">
        <v>268</v>
      </c>
      <c r="H1329" t="s">
        <v>339</v>
      </c>
      <c r="I1329" t="s">
        <v>354</v>
      </c>
      <c r="K1329" t="s">
        <v>466</v>
      </c>
      <c r="L1329" t="s">
        <v>469</v>
      </c>
      <c r="M1329" t="s">
        <v>471</v>
      </c>
      <c r="N1329" t="s">
        <v>664</v>
      </c>
      <c r="O1329" t="s">
        <v>887</v>
      </c>
      <c r="P1329" s="1">
        <f>HYPERLINK("https://ec.europa.eu/info/funding-tenders/opportunities/portal/screen/opportunities/topic-details/horizon-euspa-2022-space-02-55", "HORIZON-EUSPA-2022-SPACE-02-55")</f>
        <v>0</v>
      </c>
      <c r="Q1329" t="s">
        <v>2263</v>
      </c>
    </row>
    <row r="1330" spans="1:17">
      <c r="A1330">
        <v>45597674</v>
      </c>
      <c r="B1330">
        <v>2022</v>
      </c>
      <c r="C1330" t="s">
        <v>25</v>
      </c>
      <c r="D1330" t="s">
        <v>44</v>
      </c>
      <c r="E1330" t="s">
        <v>70</v>
      </c>
      <c r="F1330" t="s">
        <v>167</v>
      </c>
      <c r="G1330" t="s">
        <v>268</v>
      </c>
      <c r="H1330" t="s">
        <v>339</v>
      </c>
      <c r="I1330" t="s">
        <v>354</v>
      </c>
      <c r="K1330" t="s">
        <v>466</v>
      </c>
      <c r="L1330" t="s">
        <v>469</v>
      </c>
      <c r="M1330" t="s">
        <v>471</v>
      </c>
      <c r="N1330" t="s">
        <v>664</v>
      </c>
      <c r="O1330" t="s">
        <v>887</v>
      </c>
      <c r="P1330" s="1">
        <f>HYPERLINK("https://ec.europa.eu/info/funding-tenders/opportunities/portal/screen/opportunities/topic-details/horizon-euspa-2022-space-02-56", "HORIZON-EUSPA-2022-SPACE-02-56")</f>
        <v>0</v>
      </c>
      <c r="Q1330" t="s">
        <v>2264</v>
      </c>
    </row>
    <row r="1331" spans="1:17">
      <c r="A1331">
        <v>45597686</v>
      </c>
      <c r="B1331">
        <v>2022</v>
      </c>
      <c r="C1331" t="s">
        <v>25</v>
      </c>
      <c r="D1331" t="s">
        <v>44</v>
      </c>
      <c r="E1331" t="s">
        <v>70</v>
      </c>
      <c r="F1331" t="s">
        <v>167</v>
      </c>
      <c r="G1331" t="s">
        <v>268</v>
      </c>
      <c r="H1331" t="s">
        <v>339</v>
      </c>
      <c r="I1331" t="s">
        <v>354</v>
      </c>
      <c r="K1331" t="s">
        <v>466</v>
      </c>
      <c r="L1331" t="s">
        <v>469</v>
      </c>
      <c r="M1331" t="s">
        <v>471</v>
      </c>
      <c r="N1331" t="s">
        <v>664</v>
      </c>
      <c r="O1331" t="s">
        <v>887</v>
      </c>
      <c r="P1331" s="1">
        <f>HYPERLINK("https://ec.europa.eu/info/funding-tenders/opportunities/portal/screen/opportunities/topic-details/horizon-euspa-2022-space-02-61", "HORIZON-EUSPA-2022-SPACE-02-61")</f>
        <v>0</v>
      </c>
      <c r="Q1331" t="s">
        <v>2265</v>
      </c>
    </row>
    <row r="1332" spans="1:17">
      <c r="A1332">
        <v>46041437</v>
      </c>
      <c r="B1332">
        <v>2023</v>
      </c>
      <c r="C1332" t="s">
        <v>25</v>
      </c>
      <c r="D1332" t="s">
        <v>44</v>
      </c>
      <c r="E1332" t="s">
        <v>70</v>
      </c>
      <c r="F1332" t="s">
        <v>167</v>
      </c>
      <c r="G1332" t="s">
        <v>269</v>
      </c>
      <c r="H1332" t="s">
        <v>340</v>
      </c>
      <c r="I1332" t="s">
        <v>423</v>
      </c>
      <c r="K1332" t="s">
        <v>466</v>
      </c>
      <c r="L1332" t="s">
        <v>469</v>
      </c>
      <c r="M1332" t="s">
        <v>473</v>
      </c>
      <c r="N1332" t="s">
        <v>665</v>
      </c>
      <c r="O1332" t="s">
        <v>888</v>
      </c>
      <c r="P1332" s="1">
        <f>HYPERLINK("https://ec.europa.eu/info/funding-tenders/opportunities/portal/screen/opportunities/topic-details/horizon-euspa-2023-space-01-41", "HORIZON-EUSPA-2023-SPACE-01-41")</f>
        <v>0</v>
      </c>
      <c r="Q1332" t="s">
        <v>2266</v>
      </c>
    </row>
    <row r="1333" spans="1:17">
      <c r="A1333">
        <v>46041359</v>
      </c>
      <c r="B1333">
        <v>2023</v>
      </c>
      <c r="C1333" t="s">
        <v>25</v>
      </c>
      <c r="D1333" t="s">
        <v>44</v>
      </c>
      <c r="E1333" t="s">
        <v>70</v>
      </c>
      <c r="F1333" t="s">
        <v>167</v>
      </c>
      <c r="G1333" t="s">
        <v>269</v>
      </c>
      <c r="H1333" t="s">
        <v>340</v>
      </c>
      <c r="I1333" t="s">
        <v>423</v>
      </c>
      <c r="K1333" t="s">
        <v>466</v>
      </c>
      <c r="L1333" t="s">
        <v>469</v>
      </c>
      <c r="M1333" t="s">
        <v>473</v>
      </c>
      <c r="N1333" t="s">
        <v>665</v>
      </c>
      <c r="O1333" t="s">
        <v>888</v>
      </c>
      <c r="P1333" s="1">
        <f>HYPERLINK("https://ec.europa.eu/info/funding-tenders/opportunities/portal/screen/opportunities/topic-details/horizon-euspa-2023-space-01-42", "HORIZON-EUSPA-2023-SPACE-01-42")</f>
        <v>0</v>
      </c>
      <c r="Q1333" t="s">
        <v>2267</v>
      </c>
    </row>
    <row r="1334" spans="1:17">
      <c r="A1334">
        <v>46041379</v>
      </c>
      <c r="B1334">
        <v>2023</v>
      </c>
      <c r="C1334" t="s">
        <v>25</v>
      </c>
      <c r="D1334" t="s">
        <v>44</v>
      </c>
      <c r="E1334" t="s">
        <v>70</v>
      </c>
      <c r="F1334" t="s">
        <v>167</v>
      </c>
      <c r="G1334" t="s">
        <v>269</v>
      </c>
      <c r="H1334" t="s">
        <v>340</v>
      </c>
      <c r="I1334" t="s">
        <v>423</v>
      </c>
      <c r="K1334" t="s">
        <v>466</v>
      </c>
      <c r="L1334" t="s">
        <v>469</v>
      </c>
      <c r="M1334" t="s">
        <v>471</v>
      </c>
      <c r="N1334" t="s">
        <v>665</v>
      </c>
      <c r="O1334" t="s">
        <v>888</v>
      </c>
      <c r="P1334" s="1">
        <f>HYPERLINK("https://ec.europa.eu/info/funding-tenders/opportunities/portal/screen/opportunities/topic-details/horizon-euspa-2023-space-01-43", "HORIZON-EUSPA-2023-SPACE-01-43")</f>
        <v>0</v>
      </c>
      <c r="Q1334" t="s">
        <v>2268</v>
      </c>
    </row>
    <row r="1335" spans="1:17">
      <c r="A1335">
        <v>46569958</v>
      </c>
      <c r="B1335">
        <v>2023</v>
      </c>
      <c r="C1335" t="s">
        <v>25</v>
      </c>
      <c r="D1335" t="s">
        <v>44</v>
      </c>
      <c r="E1335" t="s">
        <v>70</v>
      </c>
      <c r="F1335" t="s">
        <v>169</v>
      </c>
      <c r="G1335" t="s">
        <v>270</v>
      </c>
      <c r="H1335" t="s">
        <v>341</v>
      </c>
      <c r="I1335" t="s">
        <v>402</v>
      </c>
      <c r="K1335" t="s">
        <v>468</v>
      </c>
      <c r="L1335" t="s">
        <v>469</v>
      </c>
      <c r="M1335" t="s">
        <v>473</v>
      </c>
      <c r="N1335" t="s">
        <v>666</v>
      </c>
      <c r="O1335" t="s">
        <v>889</v>
      </c>
      <c r="P1335" s="1">
        <f>HYPERLINK("https://ec.europa.eu/info/funding-tenders/opportunities/portal/screen/opportunities/topic-details/horizon-euspa-2023-space-01-44", "HORIZON-EUSPA-2023-SPACE-01-44")</f>
        <v>0</v>
      </c>
      <c r="Q1335" t="s">
        <v>2269</v>
      </c>
    </row>
    <row r="1336" spans="1:17">
      <c r="A1336">
        <v>46569948</v>
      </c>
      <c r="B1336">
        <v>2023</v>
      </c>
      <c r="C1336" t="s">
        <v>25</v>
      </c>
      <c r="D1336" t="s">
        <v>44</v>
      </c>
      <c r="E1336" t="s">
        <v>70</v>
      </c>
      <c r="F1336" t="s">
        <v>170</v>
      </c>
      <c r="G1336" t="s">
        <v>271</v>
      </c>
      <c r="H1336" t="s">
        <v>287</v>
      </c>
      <c r="I1336" t="s">
        <v>424</v>
      </c>
      <c r="K1336" t="s">
        <v>466</v>
      </c>
      <c r="L1336" t="s">
        <v>469</v>
      </c>
      <c r="M1336" t="s">
        <v>473</v>
      </c>
      <c r="N1336" t="s">
        <v>667</v>
      </c>
      <c r="O1336" t="s">
        <v>889</v>
      </c>
      <c r="P1336" s="1">
        <f>HYPERLINK("https://ec.europa.eu/info/funding-tenders/opportunities/portal/screen/opportunities/topic-details/horizon-euspa-2023-space-01-45", "HORIZON-EUSPA-2023-SPACE-01-45")</f>
        <v>0</v>
      </c>
      <c r="Q1336" t="s">
        <v>2270</v>
      </c>
    </row>
    <row r="1337" spans="1:17">
      <c r="A1337">
        <v>46041400</v>
      </c>
      <c r="B1337">
        <v>2023</v>
      </c>
      <c r="C1337" t="s">
        <v>25</v>
      </c>
      <c r="D1337" t="s">
        <v>44</v>
      </c>
      <c r="E1337" t="s">
        <v>70</v>
      </c>
      <c r="F1337" t="s">
        <v>167</v>
      </c>
      <c r="G1337" t="s">
        <v>269</v>
      </c>
      <c r="H1337" t="s">
        <v>340</v>
      </c>
      <c r="I1337" t="s">
        <v>423</v>
      </c>
      <c r="K1337" t="s">
        <v>466</v>
      </c>
      <c r="L1337" t="s">
        <v>469</v>
      </c>
      <c r="M1337" t="s">
        <v>471</v>
      </c>
      <c r="N1337" t="s">
        <v>665</v>
      </c>
      <c r="O1337" t="s">
        <v>888</v>
      </c>
      <c r="P1337" s="1">
        <f>HYPERLINK("https://ec.europa.eu/info/funding-tenders/opportunities/portal/screen/opportunities/topic-details/horizon-euspa-2023-space-01-46", "HORIZON-EUSPA-2023-SPACE-01-46")</f>
        <v>0</v>
      </c>
      <c r="Q1337" t="s">
        <v>2264</v>
      </c>
    </row>
    <row r="1338" spans="1:17">
      <c r="A1338">
        <v>46041421</v>
      </c>
      <c r="B1338">
        <v>2023</v>
      </c>
      <c r="C1338" t="s">
        <v>25</v>
      </c>
      <c r="D1338" t="s">
        <v>44</v>
      </c>
      <c r="E1338" t="s">
        <v>70</v>
      </c>
      <c r="F1338" t="s">
        <v>167</v>
      </c>
      <c r="G1338" t="s">
        <v>269</v>
      </c>
      <c r="H1338" t="s">
        <v>340</v>
      </c>
      <c r="I1338" t="s">
        <v>423</v>
      </c>
      <c r="K1338" t="s">
        <v>466</v>
      </c>
      <c r="L1338" t="s">
        <v>469</v>
      </c>
      <c r="M1338" t="s">
        <v>473</v>
      </c>
      <c r="N1338" t="s">
        <v>665</v>
      </c>
      <c r="O1338" t="s">
        <v>888</v>
      </c>
      <c r="P1338" s="1">
        <f>HYPERLINK("https://ec.europa.eu/info/funding-tenders/opportunities/portal/screen/opportunities/topic-details/horizon-euspa-2023-space-01-61", "HORIZON-EUSPA-2023-SPACE-01-61")</f>
        <v>0</v>
      </c>
      <c r="Q1338" t="s">
        <v>2271</v>
      </c>
    </row>
    <row r="1339" spans="1:17">
      <c r="A1339">
        <v>43970498</v>
      </c>
      <c r="B1339">
        <v>2021</v>
      </c>
      <c r="C1339" t="s">
        <v>26</v>
      </c>
      <c r="D1339" t="s">
        <v>45</v>
      </c>
      <c r="E1339" t="s">
        <v>89</v>
      </c>
      <c r="F1339" t="s">
        <v>171</v>
      </c>
      <c r="G1339" t="s">
        <v>246</v>
      </c>
      <c r="H1339" t="s">
        <v>295</v>
      </c>
      <c r="I1339" t="s">
        <v>425</v>
      </c>
      <c r="K1339" t="s">
        <v>466</v>
      </c>
      <c r="L1339" t="s">
        <v>469</v>
      </c>
      <c r="M1339" t="s">
        <v>471</v>
      </c>
      <c r="N1339" t="s">
        <v>668</v>
      </c>
      <c r="O1339" t="s">
        <v>890</v>
      </c>
      <c r="P1339" s="1">
        <f>HYPERLINK("https://ec.europa.eu/info/funding-tenders/opportunities/portal/screen/opportunities/topic-details/horizon-hlth-2021-care-05-01", "HORIZON-HLTH-2021-CARE-05-01")</f>
        <v>0</v>
      </c>
      <c r="Q1339" t="s">
        <v>2272</v>
      </c>
    </row>
    <row r="1340" spans="1:17">
      <c r="A1340">
        <v>43971214</v>
      </c>
      <c r="B1340">
        <v>2021</v>
      </c>
      <c r="C1340" t="s">
        <v>26</v>
      </c>
      <c r="D1340" t="s">
        <v>45</v>
      </c>
      <c r="E1340" t="s">
        <v>89</v>
      </c>
      <c r="F1340" t="s">
        <v>171</v>
      </c>
      <c r="G1340" t="s">
        <v>246</v>
      </c>
      <c r="H1340" t="s">
        <v>295</v>
      </c>
      <c r="I1340" t="s">
        <v>425</v>
      </c>
      <c r="K1340" t="s">
        <v>466</v>
      </c>
      <c r="L1340" t="s">
        <v>469</v>
      </c>
      <c r="M1340" t="s">
        <v>471</v>
      </c>
      <c r="N1340" t="s">
        <v>668</v>
      </c>
      <c r="O1340" t="s">
        <v>890</v>
      </c>
      <c r="P1340" s="1">
        <f>HYPERLINK("https://ec.europa.eu/info/funding-tenders/opportunities/portal/screen/opportunities/topic-details/horizon-hlth-2021-care-05-02", "HORIZON-HLTH-2021-CARE-05-02")</f>
        <v>0</v>
      </c>
      <c r="Q1340" t="s">
        <v>2273</v>
      </c>
    </row>
    <row r="1341" spans="1:17">
      <c r="A1341">
        <v>43971247</v>
      </c>
      <c r="B1341">
        <v>2021</v>
      </c>
      <c r="C1341" t="s">
        <v>26</v>
      </c>
      <c r="D1341" t="s">
        <v>45</v>
      </c>
      <c r="E1341" t="s">
        <v>89</v>
      </c>
      <c r="F1341" t="s">
        <v>171</v>
      </c>
      <c r="G1341" t="s">
        <v>246</v>
      </c>
      <c r="H1341" t="s">
        <v>295</v>
      </c>
      <c r="I1341" t="s">
        <v>425</v>
      </c>
      <c r="K1341" t="s">
        <v>466</v>
      </c>
      <c r="L1341" t="s">
        <v>469</v>
      </c>
      <c r="M1341" t="s">
        <v>472</v>
      </c>
      <c r="N1341" t="s">
        <v>668</v>
      </c>
      <c r="O1341" t="s">
        <v>890</v>
      </c>
      <c r="P1341" s="1">
        <f>HYPERLINK("https://ec.europa.eu/info/funding-tenders/opportunities/portal/screen/opportunities/topic-details/horizon-hlth-2021-care-05-04", "HORIZON-HLTH-2021-CARE-05-04")</f>
        <v>0</v>
      </c>
      <c r="Q1341" t="s">
        <v>2274</v>
      </c>
    </row>
    <row r="1342" spans="1:17">
      <c r="A1342">
        <v>43631548</v>
      </c>
      <c r="B1342">
        <v>2021</v>
      </c>
      <c r="C1342" t="s">
        <v>26</v>
      </c>
      <c r="D1342" t="s">
        <v>45</v>
      </c>
      <c r="E1342" t="s">
        <v>90</v>
      </c>
      <c r="F1342" t="s">
        <v>172</v>
      </c>
      <c r="G1342" t="s">
        <v>272</v>
      </c>
      <c r="H1342" t="s">
        <v>342</v>
      </c>
      <c r="I1342" t="s">
        <v>426</v>
      </c>
      <c r="K1342" t="s">
        <v>466</v>
      </c>
      <c r="L1342" t="s">
        <v>469</v>
      </c>
      <c r="M1342" t="s">
        <v>471</v>
      </c>
      <c r="N1342" t="s">
        <v>669</v>
      </c>
      <c r="O1342" t="s">
        <v>891</v>
      </c>
      <c r="P1342" s="1">
        <f>HYPERLINK("https://ec.europa.eu/info/funding-tenders/opportunities/portal/screen/opportunities/topic-details/horizon-hlth-2021-corona-01-01", "HORIZON-HLTH-2021-CORONA-01-01")</f>
        <v>0</v>
      </c>
      <c r="Q1342" t="s">
        <v>2275</v>
      </c>
    </row>
    <row r="1343" spans="1:17">
      <c r="A1343">
        <v>43631553</v>
      </c>
      <c r="B1343">
        <v>2021</v>
      </c>
      <c r="C1343" t="s">
        <v>26</v>
      </c>
      <c r="D1343" t="s">
        <v>45</v>
      </c>
      <c r="E1343" t="s">
        <v>90</v>
      </c>
      <c r="F1343" t="s">
        <v>172</v>
      </c>
      <c r="G1343" t="s">
        <v>272</v>
      </c>
      <c r="H1343" t="s">
        <v>342</v>
      </c>
      <c r="I1343" t="s">
        <v>426</v>
      </c>
      <c r="K1343" t="s">
        <v>466</v>
      </c>
      <c r="L1343" t="s">
        <v>469</v>
      </c>
      <c r="M1343" t="s">
        <v>471</v>
      </c>
      <c r="N1343" t="s">
        <v>669</v>
      </c>
      <c r="O1343" t="s">
        <v>891</v>
      </c>
      <c r="P1343" s="1">
        <f>HYPERLINK("https://ec.europa.eu/info/funding-tenders/opportunities/portal/screen/opportunities/topic-details/horizon-hlth-2021-corona-01-02", "HORIZON-HLTH-2021-CORONA-01-02")</f>
        <v>0</v>
      </c>
      <c r="Q1343" t="s">
        <v>2276</v>
      </c>
    </row>
    <row r="1344" spans="1:17">
      <c r="A1344">
        <v>43970438</v>
      </c>
      <c r="B1344">
        <v>2021</v>
      </c>
      <c r="C1344" t="s">
        <v>26</v>
      </c>
      <c r="D1344" t="s">
        <v>45</v>
      </c>
      <c r="E1344" t="s">
        <v>91</v>
      </c>
      <c r="F1344" t="s">
        <v>173</v>
      </c>
      <c r="G1344" t="s">
        <v>246</v>
      </c>
      <c r="H1344" t="s">
        <v>295</v>
      </c>
      <c r="I1344" t="s">
        <v>425</v>
      </c>
      <c r="K1344" t="s">
        <v>466</v>
      </c>
      <c r="L1344" t="s">
        <v>469</v>
      </c>
      <c r="M1344" t="s">
        <v>471</v>
      </c>
      <c r="N1344" t="s">
        <v>670</v>
      </c>
      <c r="O1344" t="s">
        <v>892</v>
      </c>
      <c r="P1344" s="1">
        <f>HYPERLINK("https://ec.europa.eu/info/funding-tenders/opportunities/portal/screen/opportunities/topic-details/horizon-hlth-2021-disease-04-01", "HORIZON-HLTH-2021-DISEASE-04-01")</f>
        <v>0</v>
      </c>
      <c r="Q1344" t="s">
        <v>2277</v>
      </c>
    </row>
    <row r="1345" spans="1:17">
      <c r="A1345">
        <v>43971095</v>
      </c>
      <c r="B1345">
        <v>2021</v>
      </c>
      <c r="C1345" t="s">
        <v>26</v>
      </c>
      <c r="D1345" t="s">
        <v>45</v>
      </c>
      <c r="E1345" t="s">
        <v>92</v>
      </c>
      <c r="F1345" t="s">
        <v>173</v>
      </c>
      <c r="G1345" t="s">
        <v>246</v>
      </c>
      <c r="H1345" t="s">
        <v>295</v>
      </c>
      <c r="I1345" t="s">
        <v>425</v>
      </c>
      <c r="K1345" t="s">
        <v>466</v>
      </c>
      <c r="L1345" t="s">
        <v>469</v>
      </c>
      <c r="M1345" t="s">
        <v>471</v>
      </c>
      <c r="N1345" t="s">
        <v>670</v>
      </c>
      <c r="O1345" t="s">
        <v>892</v>
      </c>
      <c r="P1345" s="1">
        <f>HYPERLINK("https://ec.europa.eu/info/funding-tenders/opportunities/portal/screen/opportunities/topic-details/horizon-hlth-2021-disease-04-02", "HORIZON-HLTH-2021-DISEASE-04-02")</f>
        <v>0</v>
      </c>
      <c r="Q1345" t="s">
        <v>2278</v>
      </c>
    </row>
    <row r="1346" spans="1:17">
      <c r="A1346">
        <v>43970468</v>
      </c>
      <c r="B1346">
        <v>2021</v>
      </c>
      <c r="C1346" t="s">
        <v>26</v>
      </c>
      <c r="D1346" t="s">
        <v>45</v>
      </c>
      <c r="E1346" t="s">
        <v>90</v>
      </c>
      <c r="F1346" t="s">
        <v>173</v>
      </c>
      <c r="G1346" t="s">
        <v>246</v>
      </c>
      <c r="H1346" t="s">
        <v>295</v>
      </c>
      <c r="I1346" t="s">
        <v>425</v>
      </c>
      <c r="K1346" t="s">
        <v>466</v>
      </c>
      <c r="L1346" t="s">
        <v>469</v>
      </c>
      <c r="M1346" t="s">
        <v>471</v>
      </c>
      <c r="N1346" t="s">
        <v>670</v>
      </c>
      <c r="O1346" t="s">
        <v>892</v>
      </c>
      <c r="P1346" s="1">
        <f>HYPERLINK("https://ec.europa.eu/info/funding-tenders/opportunities/portal/screen/opportunities/topic-details/horizon-hlth-2021-disease-04-03", "HORIZON-HLTH-2021-DISEASE-04-03")</f>
        <v>0</v>
      </c>
      <c r="Q1346" t="s">
        <v>2279</v>
      </c>
    </row>
    <row r="1347" spans="1:17">
      <c r="A1347">
        <v>43971524</v>
      </c>
      <c r="B1347">
        <v>2021</v>
      </c>
      <c r="C1347" t="s">
        <v>26</v>
      </c>
      <c r="D1347" t="s">
        <v>45</v>
      </c>
      <c r="E1347" t="s">
        <v>92</v>
      </c>
      <c r="F1347" t="s">
        <v>173</v>
      </c>
      <c r="G1347" t="s">
        <v>246</v>
      </c>
      <c r="H1347" t="s">
        <v>295</v>
      </c>
      <c r="I1347" t="s">
        <v>425</v>
      </c>
      <c r="K1347" t="s">
        <v>466</v>
      </c>
      <c r="L1347" t="s">
        <v>469</v>
      </c>
      <c r="M1347" t="s">
        <v>471</v>
      </c>
      <c r="N1347" t="s">
        <v>670</v>
      </c>
      <c r="O1347" t="s">
        <v>892</v>
      </c>
      <c r="P1347" s="1">
        <f>HYPERLINK("https://ec.europa.eu/info/funding-tenders/opportunities/portal/screen/opportunities/topic-details/horizon-hlth-2021-disease-04-04", "HORIZON-HLTH-2021-DISEASE-04-04")</f>
        <v>0</v>
      </c>
      <c r="Q1347" t="s">
        <v>2280</v>
      </c>
    </row>
    <row r="1348" spans="1:17">
      <c r="A1348">
        <v>43971125</v>
      </c>
      <c r="B1348">
        <v>2021</v>
      </c>
      <c r="C1348" t="s">
        <v>26</v>
      </c>
      <c r="D1348" t="s">
        <v>45</v>
      </c>
      <c r="E1348" t="s">
        <v>90</v>
      </c>
      <c r="F1348" t="s">
        <v>173</v>
      </c>
      <c r="G1348" t="s">
        <v>246</v>
      </c>
      <c r="H1348" t="s">
        <v>295</v>
      </c>
      <c r="I1348" t="s">
        <v>425</v>
      </c>
      <c r="K1348" t="s">
        <v>466</v>
      </c>
      <c r="L1348" t="s">
        <v>469</v>
      </c>
      <c r="M1348" t="s">
        <v>472</v>
      </c>
      <c r="N1348" t="s">
        <v>670</v>
      </c>
      <c r="O1348" t="s">
        <v>892</v>
      </c>
      <c r="P1348" s="1">
        <f>HYPERLINK("https://ec.europa.eu/info/funding-tenders/opportunities/portal/screen/opportunities/topic-details/horizon-hlth-2021-disease-04-05", "HORIZON-HLTH-2021-DISEASE-04-05")</f>
        <v>0</v>
      </c>
      <c r="Q1348" t="s">
        <v>2281</v>
      </c>
    </row>
    <row r="1349" spans="1:17">
      <c r="A1349">
        <v>43971155</v>
      </c>
      <c r="B1349">
        <v>2021</v>
      </c>
      <c r="C1349" t="s">
        <v>26</v>
      </c>
      <c r="D1349" t="s">
        <v>45</v>
      </c>
      <c r="E1349" t="s">
        <v>90</v>
      </c>
      <c r="F1349" t="s">
        <v>173</v>
      </c>
      <c r="G1349" t="s">
        <v>246</v>
      </c>
      <c r="H1349" t="s">
        <v>295</v>
      </c>
      <c r="I1349" t="s">
        <v>425</v>
      </c>
      <c r="K1349" t="s">
        <v>466</v>
      </c>
      <c r="L1349" t="s">
        <v>469</v>
      </c>
      <c r="M1349" t="s">
        <v>472</v>
      </c>
      <c r="N1349" t="s">
        <v>670</v>
      </c>
      <c r="O1349" t="s">
        <v>892</v>
      </c>
      <c r="P1349" s="1">
        <f>HYPERLINK("https://ec.europa.eu/info/funding-tenders/opportunities/portal/screen/opportunities/topic-details/horizon-hlth-2021-disease-04-06", "HORIZON-HLTH-2021-DISEASE-04-06")</f>
        <v>0</v>
      </c>
      <c r="Q1349" t="s">
        <v>2282</v>
      </c>
    </row>
    <row r="1350" spans="1:17">
      <c r="A1350">
        <v>43971555</v>
      </c>
      <c r="B1350">
        <v>2021</v>
      </c>
      <c r="C1350" t="s">
        <v>26</v>
      </c>
      <c r="D1350" t="s">
        <v>45</v>
      </c>
      <c r="E1350" t="s">
        <v>90</v>
      </c>
      <c r="F1350" t="s">
        <v>173</v>
      </c>
      <c r="G1350" t="s">
        <v>246</v>
      </c>
      <c r="H1350" t="s">
        <v>295</v>
      </c>
      <c r="I1350" t="s">
        <v>425</v>
      </c>
      <c r="K1350" t="s">
        <v>466</v>
      </c>
      <c r="L1350" t="s">
        <v>469</v>
      </c>
      <c r="M1350" t="s">
        <v>471</v>
      </c>
      <c r="N1350" t="s">
        <v>670</v>
      </c>
      <c r="O1350" t="s">
        <v>892</v>
      </c>
      <c r="P1350" s="1">
        <f>HYPERLINK("https://ec.europa.eu/info/funding-tenders/opportunities/portal/screen/opportunities/topic-details/horizon-hlth-2021-disease-04-07", "HORIZON-HLTH-2021-DISEASE-04-07")</f>
        <v>0</v>
      </c>
      <c r="Q1350" t="s">
        <v>2283</v>
      </c>
    </row>
    <row r="1351" spans="1:17">
      <c r="A1351">
        <v>43971032</v>
      </c>
      <c r="B1351">
        <v>2021</v>
      </c>
      <c r="C1351" t="s">
        <v>26</v>
      </c>
      <c r="D1351" t="s">
        <v>45</v>
      </c>
      <c r="E1351" t="s">
        <v>93</v>
      </c>
      <c r="F1351" t="s">
        <v>174</v>
      </c>
      <c r="G1351" t="s">
        <v>246</v>
      </c>
      <c r="H1351" t="s">
        <v>295</v>
      </c>
      <c r="I1351" t="s">
        <v>425</v>
      </c>
      <c r="K1351" t="s">
        <v>466</v>
      </c>
      <c r="L1351" t="s">
        <v>469</v>
      </c>
      <c r="M1351" t="s">
        <v>471</v>
      </c>
      <c r="N1351" t="s">
        <v>671</v>
      </c>
      <c r="O1351" t="s">
        <v>893</v>
      </c>
      <c r="P1351" s="1">
        <f>HYPERLINK("https://ec.europa.eu/info/funding-tenders/opportunities/portal/screen/opportunities/topic-details/horizon-hlth-2021-envhlth-02-01", "HORIZON-HLTH-2021-ENVHLTH-02-01")</f>
        <v>0</v>
      </c>
      <c r="Q1351" t="s">
        <v>2284</v>
      </c>
    </row>
    <row r="1352" spans="1:17">
      <c r="A1352">
        <v>43971064</v>
      </c>
      <c r="B1352">
        <v>2021</v>
      </c>
      <c r="C1352" t="s">
        <v>26</v>
      </c>
      <c r="D1352" t="s">
        <v>45</v>
      </c>
      <c r="E1352" t="s">
        <v>93</v>
      </c>
      <c r="F1352" t="s">
        <v>174</v>
      </c>
      <c r="G1352" t="s">
        <v>246</v>
      </c>
      <c r="H1352" t="s">
        <v>295</v>
      </c>
      <c r="I1352" t="s">
        <v>425</v>
      </c>
      <c r="K1352" t="s">
        <v>466</v>
      </c>
      <c r="L1352" t="s">
        <v>469</v>
      </c>
      <c r="M1352" t="s">
        <v>471</v>
      </c>
      <c r="N1352" t="s">
        <v>671</v>
      </c>
      <c r="O1352" t="s">
        <v>893</v>
      </c>
      <c r="P1352" s="1">
        <f>HYPERLINK("https://ec.europa.eu/info/funding-tenders/opportunities/portal/screen/opportunities/topic-details/horizon-hlth-2021-envhlth-02-02", "HORIZON-HLTH-2021-ENVHLTH-02-02")</f>
        <v>0</v>
      </c>
      <c r="Q1352" t="s">
        <v>2285</v>
      </c>
    </row>
    <row r="1353" spans="1:17">
      <c r="A1353">
        <v>43971429</v>
      </c>
      <c r="B1353">
        <v>2021</v>
      </c>
      <c r="C1353" t="s">
        <v>26</v>
      </c>
      <c r="D1353" t="s">
        <v>45</v>
      </c>
      <c r="E1353" t="s">
        <v>93</v>
      </c>
      <c r="F1353" t="s">
        <v>174</v>
      </c>
      <c r="G1353" t="s">
        <v>246</v>
      </c>
      <c r="H1353" t="s">
        <v>295</v>
      </c>
      <c r="I1353" t="s">
        <v>425</v>
      </c>
      <c r="K1353" t="s">
        <v>466</v>
      </c>
      <c r="L1353" t="s">
        <v>469</v>
      </c>
      <c r="M1353" t="s">
        <v>471</v>
      </c>
      <c r="N1353" t="s">
        <v>671</v>
      </c>
      <c r="O1353" t="s">
        <v>893</v>
      </c>
      <c r="P1353" s="1">
        <f>HYPERLINK("https://ec.europa.eu/info/funding-tenders/opportunities/portal/screen/opportunities/topic-details/horizon-hlth-2021-envhlth-02-03", "HORIZON-HLTH-2021-ENVHLTH-02-03")</f>
        <v>0</v>
      </c>
      <c r="Q1353" t="s">
        <v>2286</v>
      </c>
    </row>
    <row r="1354" spans="1:17">
      <c r="A1354">
        <v>43971460</v>
      </c>
      <c r="B1354">
        <v>2021</v>
      </c>
      <c r="C1354" t="s">
        <v>26</v>
      </c>
      <c r="D1354" t="s">
        <v>45</v>
      </c>
      <c r="E1354" t="s">
        <v>93</v>
      </c>
      <c r="F1354" t="s">
        <v>175</v>
      </c>
      <c r="G1354" t="s">
        <v>246</v>
      </c>
      <c r="H1354" t="s">
        <v>295</v>
      </c>
      <c r="I1354" t="s">
        <v>425</v>
      </c>
      <c r="K1354" t="s">
        <v>466</v>
      </c>
      <c r="L1354" t="s">
        <v>469</v>
      </c>
      <c r="M1354" t="s">
        <v>476</v>
      </c>
      <c r="N1354" t="s">
        <v>672</v>
      </c>
      <c r="O1354" t="s">
        <v>894</v>
      </c>
      <c r="P1354" s="1">
        <f>HYPERLINK("https://ec.europa.eu/info/funding-tenders/opportunities/portal/screen/opportunities/topic-details/horizon-hlth-2021-envhlth-03-01", "HORIZON-HLTH-2021-ENVHLTH-03-01")</f>
        <v>0</v>
      </c>
      <c r="Q1354" t="s">
        <v>2287</v>
      </c>
    </row>
    <row r="1355" spans="1:17">
      <c r="A1355">
        <v>43971733</v>
      </c>
      <c r="B1355">
        <v>2021</v>
      </c>
      <c r="C1355" t="s">
        <v>26</v>
      </c>
      <c r="D1355" t="s">
        <v>45</v>
      </c>
      <c r="E1355" t="s">
        <v>92</v>
      </c>
      <c r="F1355" t="s">
        <v>176</v>
      </c>
      <c r="G1355" t="s">
        <v>246</v>
      </c>
      <c r="H1355" t="s">
        <v>295</v>
      </c>
      <c r="I1355" t="s">
        <v>425</v>
      </c>
      <c r="K1355" t="s">
        <v>466</v>
      </c>
      <c r="L1355" t="s">
        <v>469</v>
      </c>
      <c r="M1355" t="s">
        <v>471</v>
      </c>
      <c r="N1355" t="s">
        <v>673</v>
      </c>
      <c r="O1355" t="s">
        <v>895</v>
      </c>
      <c r="P1355" s="1">
        <f>HYPERLINK("https://ec.europa.eu/info/funding-tenders/opportunities/portal/screen/opportunities/topic-details/horizon-hlth-2021-ind-07-01", "HORIZON-HLTH-2021-IND-07-01")</f>
        <v>0</v>
      </c>
      <c r="Q1355" t="s">
        <v>2288</v>
      </c>
    </row>
    <row r="1356" spans="1:17">
      <c r="A1356">
        <v>43970740</v>
      </c>
      <c r="B1356">
        <v>2021</v>
      </c>
      <c r="C1356" t="s">
        <v>26</v>
      </c>
      <c r="D1356" t="s">
        <v>45</v>
      </c>
      <c r="E1356" t="s">
        <v>92</v>
      </c>
      <c r="F1356" t="s">
        <v>176</v>
      </c>
      <c r="G1356" t="s">
        <v>246</v>
      </c>
      <c r="H1356" t="s">
        <v>295</v>
      </c>
      <c r="I1356" t="s">
        <v>425</v>
      </c>
      <c r="K1356" t="s">
        <v>466</v>
      </c>
      <c r="L1356" t="s">
        <v>469</v>
      </c>
      <c r="M1356" t="s">
        <v>472</v>
      </c>
      <c r="N1356" t="s">
        <v>673</v>
      </c>
      <c r="O1356" t="s">
        <v>895</v>
      </c>
      <c r="P1356" s="1">
        <f>HYPERLINK("https://ec.europa.eu/info/funding-tenders/opportunities/portal/screen/opportunities/topic-details/horizon-hlth-2021-ind-07-02", "HORIZON-HLTH-2021-IND-07-02")</f>
        <v>0</v>
      </c>
      <c r="Q1356" t="s">
        <v>2289</v>
      </c>
    </row>
    <row r="1357" spans="1:17">
      <c r="A1357">
        <v>43971762</v>
      </c>
      <c r="B1357">
        <v>2021</v>
      </c>
      <c r="C1357" t="s">
        <v>26</v>
      </c>
      <c r="D1357" t="s">
        <v>45</v>
      </c>
      <c r="E1357" t="s">
        <v>92</v>
      </c>
      <c r="F1357" t="s">
        <v>176</v>
      </c>
      <c r="G1357" t="s">
        <v>246</v>
      </c>
      <c r="H1357" t="s">
        <v>295</v>
      </c>
      <c r="I1357" t="s">
        <v>425</v>
      </c>
      <c r="K1357" t="s">
        <v>466</v>
      </c>
      <c r="L1357" t="s">
        <v>469</v>
      </c>
      <c r="M1357" t="s">
        <v>472</v>
      </c>
      <c r="N1357" t="s">
        <v>673</v>
      </c>
      <c r="O1357" t="s">
        <v>895</v>
      </c>
      <c r="P1357" s="1">
        <f>HYPERLINK("https://ec.europa.eu/info/funding-tenders/opportunities/portal/screen/opportunities/topic-details/horizon-hlth-2021-ind-07-03", "HORIZON-HLTH-2021-IND-07-03")</f>
        <v>0</v>
      </c>
      <c r="Q1357" t="s">
        <v>2290</v>
      </c>
    </row>
    <row r="1358" spans="1:17">
      <c r="A1358">
        <v>43970910</v>
      </c>
      <c r="B1358">
        <v>2021</v>
      </c>
      <c r="C1358" t="s">
        <v>26</v>
      </c>
      <c r="D1358" t="s">
        <v>45</v>
      </c>
      <c r="E1358" t="s">
        <v>93</v>
      </c>
      <c r="F1358" t="s">
        <v>177</v>
      </c>
      <c r="G1358" t="s">
        <v>246</v>
      </c>
      <c r="H1358" t="s">
        <v>295</v>
      </c>
      <c r="I1358" t="s">
        <v>425</v>
      </c>
      <c r="K1358" t="s">
        <v>466</v>
      </c>
      <c r="L1358" t="s">
        <v>469</v>
      </c>
      <c r="M1358" t="s">
        <v>471</v>
      </c>
      <c r="N1358" t="s">
        <v>674</v>
      </c>
      <c r="O1358" t="s">
        <v>896</v>
      </c>
      <c r="P1358" s="1">
        <f>HYPERLINK("https://ec.europa.eu/info/funding-tenders/opportunities/portal/screen/opportunities/topic-details/horizon-hlth-2021-stayhlth-01-02", "HORIZON-HLTH-2021-STAYHLTH-01-02")</f>
        <v>0</v>
      </c>
      <c r="Q1358" t="s">
        <v>2291</v>
      </c>
    </row>
    <row r="1359" spans="1:17">
      <c r="A1359">
        <v>43971370</v>
      </c>
      <c r="B1359">
        <v>2021</v>
      </c>
      <c r="C1359" t="s">
        <v>26</v>
      </c>
      <c r="D1359" t="s">
        <v>45</v>
      </c>
      <c r="E1359" t="s">
        <v>93</v>
      </c>
      <c r="F1359" t="s">
        <v>177</v>
      </c>
      <c r="G1359" t="s">
        <v>246</v>
      </c>
      <c r="H1359" t="s">
        <v>295</v>
      </c>
      <c r="I1359" t="s">
        <v>425</v>
      </c>
      <c r="K1359" t="s">
        <v>466</v>
      </c>
      <c r="L1359" t="s">
        <v>469</v>
      </c>
      <c r="M1359" t="s">
        <v>472</v>
      </c>
      <c r="N1359" t="s">
        <v>674</v>
      </c>
      <c r="O1359" t="s">
        <v>896</v>
      </c>
      <c r="P1359" s="1">
        <f>HYPERLINK("https://ec.europa.eu/info/funding-tenders/opportunities/portal/screen/opportunities/topic-details/horizon-hlth-2021-stayhlth-01-03", "HORIZON-HLTH-2021-STAYHLTH-01-03")</f>
        <v>0</v>
      </c>
      <c r="Q1359" t="s">
        <v>2292</v>
      </c>
    </row>
    <row r="1360" spans="1:17">
      <c r="A1360">
        <v>43970881</v>
      </c>
      <c r="B1360">
        <v>2021</v>
      </c>
      <c r="C1360" t="s">
        <v>26</v>
      </c>
      <c r="D1360" t="s">
        <v>45</v>
      </c>
      <c r="E1360" t="s">
        <v>93</v>
      </c>
      <c r="F1360" t="s">
        <v>177</v>
      </c>
      <c r="G1360" t="s">
        <v>246</v>
      </c>
      <c r="H1360" t="s">
        <v>295</v>
      </c>
      <c r="I1360" t="s">
        <v>425</v>
      </c>
      <c r="K1360" t="s">
        <v>466</v>
      </c>
      <c r="L1360" t="s">
        <v>469</v>
      </c>
      <c r="M1360" t="s">
        <v>472</v>
      </c>
      <c r="N1360" t="s">
        <v>674</v>
      </c>
      <c r="O1360" t="s">
        <v>896</v>
      </c>
      <c r="P1360" s="1">
        <f>HYPERLINK("https://ec.europa.eu/info/funding-tenders/opportunities/portal/screen/opportunities/topic-details/horizon-hlth-2021-stayhlth-01-04", "HORIZON-HLTH-2021-STAYHLTH-01-04")</f>
        <v>0</v>
      </c>
      <c r="Q1360" t="s">
        <v>2293</v>
      </c>
    </row>
    <row r="1361" spans="1:17">
      <c r="A1361">
        <v>43970825</v>
      </c>
      <c r="B1361">
        <v>2021</v>
      </c>
      <c r="C1361" t="s">
        <v>26</v>
      </c>
      <c r="D1361" t="s">
        <v>45</v>
      </c>
      <c r="E1361" t="s">
        <v>93</v>
      </c>
      <c r="F1361" t="s">
        <v>177</v>
      </c>
      <c r="G1361" t="s">
        <v>246</v>
      </c>
      <c r="H1361" t="s">
        <v>295</v>
      </c>
      <c r="I1361" t="s">
        <v>425</v>
      </c>
      <c r="K1361" t="s">
        <v>466</v>
      </c>
      <c r="L1361" t="s">
        <v>469</v>
      </c>
      <c r="M1361" t="s">
        <v>472</v>
      </c>
      <c r="N1361" t="s">
        <v>674</v>
      </c>
      <c r="O1361" t="s">
        <v>896</v>
      </c>
      <c r="P1361" s="1">
        <f>HYPERLINK("https://ec.europa.eu/info/funding-tenders/opportunities/portal/screen/opportunities/topic-details/horizon-hlth-2021-stayhlth-01-05", "HORIZON-HLTH-2021-STAYHLTH-01-05")</f>
        <v>0</v>
      </c>
      <c r="Q1361" t="s">
        <v>2294</v>
      </c>
    </row>
    <row r="1362" spans="1:17">
      <c r="A1362">
        <v>43970528</v>
      </c>
      <c r="B1362">
        <v>2021</v>
      </c>
      <c r="C1362" t="s">
        <v>26</v>
      </c>
      <c r="D1362" t="s">
        <v>45</v>
      </c>
      <c r="E1362" t="s">
        <v>92</v>
      </c>
      <c r="F1362" t="s">
        <v>178</v>
      </c>
      <c r="G1362" t="s">
        <v>247</v>
      </c>
      <c r="H1362" t="s">
        <v>295</v>
      </c>
      <c r="I1362" t="s">
        <v>425</v>
      </c>
      <c r="K1362" t="s">
        <v>466</v>
      </c>
      <c r="L1362" t="s">
        <v>469</v>
      </c>
      <c r="M1362" t="s">
        <v>473</v>
      </c>
      <c r="N1362" t="s">
        <v>675</v>
      </c>
      <c r="O1362" t="s">
        <v>897</v>
      </c>
      <c r="P1362" s="1">
        <f>HYPERLINK("https://ec.europa.eu/info/funding-tenders/opportunities/portal/screen/opportunities/topic-details/horizon-hlth-2021-tool-06-01", "HORIZON-HLTH-2021-TOOL-06-01")</f>
        <v>0</v>
      </c>
      <c r="Q1362" t="s">
        <v>2295</v>
      </c>
    </row>
    <row r="1363" spans="1:17">
      <c r="A1363">
        <v>43970973</v>
      </c>
      <c r="B1363">
        <v>2021</v>
      </c>
      <c r="C1363" t="s">
        <v>26</v>
      </c>
      <c r="D1363" t="s">
        <v>45</v>
      </c>
      <c r="E1363" t="s">
        <v>92</v>
      </c>
      <c r="F1363" t="s">
        <v>178</v>
      </c>
      <c r="G1363" t="s">
        <v>247</v>
      </c>
      <c r="H1363" t="s">
        <v>295</v>
      </c>
      <c r="I1363" t="s">
        <v>425</v>
      </c>
      <c r="K1363" t="s">
        <v>466</v>
      </c>
      <c r="L1363" t="s">
        <v>469</v>
      </c>
      <c r="M1363" t="s">
        <v>471</v>
      </c>
      <c r="N1363" t="s">
        <v>675</v>
      </c>
      <c r="O1363" t="s">
        <v>897</v>
      </c>
      <c r="P1363" s="1">
        <f>HYPERLINK("https://ec.europa.eu/info/funding-tenders/opportunities/portal/screen/opportunities/topic-details/horizon-hlth-2021-tool-06-02", "HORIZON-HLTH-2021-TOOL-06-02")</f>
        <v>0</v>
      </c>
      <c r="Q1363" t="s">
        <v>2296</v>
      </c>
    </row>
    <row r="1364" spans="1:17">
      <c r="A1364">
        <v>43970560</v>
      </c>
      <c r="B1364">
        <v>2021</v>
      </c>
      <c r="C1364" t="s">
        <v>26</v>
      </c>
      <c r="D1364" t="s">
        <v>45</v>
      </c>
      <c r="E1364" t="s">
        <v>92</v>
      </c>
      <c r="F1364" t="s">
        <v>178</v>
      </c>
      <c r="G1364" t="s">
        <v>247</v>
      </c>
      <c r="H1364" t="s">
        <v>295</v>
      </c>
      <c r="I1364" t="s">
        <v>425</v>
      </c>
      <c r="K1364" t="s">
        <v>466</v>
      </c>
      <c r="L1364" t="s">
        <v>469</v>
      </c>
      <c r="M1364" t="s">
        <v>471</v>
      </c>
      <c r="N1364" t="s">
        <v>675</v>
      </c>
      <c r="O1364" t="s">
        <v>897</v>
      </c>
      <c r="P1364" s="1">
        <f>HYPERLINK("https://ec.europa.eu/info/funding-tenders/opportunities/portal/screen/opportunities/topic-details/horizon-hlth-2021-tool-06-03", "HORIZON-HLTH-2021-TOOL-06-03")</f>
        <v>0</v>
      </c>
      <c r="Q1364" t="s">
        <v>2297</v>
      </c>
    </row>
    <row r="1365" spans="1:17">
      <c r="A1365">
        <v>43971278</v>
      </c>
      <c r="B1365">
        <v>2022</v>
      </c>
      <c r="C1365" t="s">
        <v>26</v>
      </c>
      <c r="D1365" t="s">
        <v>45</v>
      </c>
      <c r="E1365" t="s">
        <v>89</v>
      </c>
      <c r="F1365" t="s">
        <v>179</v>
      </c>
      <c r="G1365" t="s">
        <v>246</v>
      </c>
      <c r="H1365" t="s">
        <v>343</v>
      </c>
      <c r="I1365" t="s">
        <v>427</v>
      </c>
      <c r="K1365" t="s">
        <v>466</v>
      </c>
      <c r="L1365" t="s">
        <v>469</v>
      </c>
      <c r="M1365" t="s">
        <v>474</v>
      </c>
      <c r="N1365" t="s">
        <v>676</v>
      </c>
      <c r="O1365" t="s">
        <v>898</v>
      </c>
      <c r="P1365" s="1">
        <f>HYPERLINK("https://ec.europa.eu/info/funding-tenders/opportunities/portal/screen/opportunities/topic-details/horizon-hlth-2022-care-08-02", "HORIZON-HLTH-2022-CARE-08-02")</f>
        <v>0</v>
      </c>
      <c r="Q1365" t="s">
        <v>2298</v>
      </c>
    </row>
    <row r="1366" spans="1:17">
      <c r="A1366">
        <v>43970849</v>
      </c>
      <c r="B1366">
        <v>2022</v>
      </c>
      <c r="C1366" t="s">
        <v>26</v>
      </c>
      <c r="D1366" t="s">
        <v>45</v>
      </c>
      <c r="E1366" t="s">
        <v>89</v>
      </c>
      <c r="F1366" t="s">
        <v>179</v>
      </c>
      <c r="G1366" t="s">
        <v>246</v>
      </c>
      <c r="H1366" t="s">
        <v>343</v>
      </c>
      <c r="I1366" t="s">
        <v>427</v>
      </c>
      <c r="K1366" t="s">
        <v>466</v>
      </c>
      <c r="L1366" t="s">
        <v>469</v>
      </c>
      <c r="M1366" t="s">
        <v>481</v>
      </c>
      <c r="N1366" t="s">
        <v>676</v>
      </c>
      <c r="O1366" t="s">
        <v>898</v>
      </c>
      <c r="P1366" s="1">
        <f>HYPERLINK("https://ec.europa.eu/info/funding-tenders/opportunities/portal/screen/opportunities/topic-details/horizon-hlth-2022-care-08-03", "HORIZON-HLTH-2022-CARE-08-03")</f>
        <v>0</v>
      </c>
      <c r="Q1366" t="s">
        <v>2299</v>
      </c>
    </row>
    <row r="1367" spans="1:17">
      <c r="A1367">
        <v>43971310</v>
      </c>
      <c r="B1367">
        <v>2022</v>
      </c>
      <c r="C1367" t="s">
        <v>26</v>
      </c>
      <c r="D1367" t="s">
        <v>45</v>
      </c>
      <c r="E1367" t="s">
        <v>89</v>
      </c>
      <c r="F1367" t="s">
        <v>179</v>
      </c>
      <c r="G1367" t="s">
        <v>246</v>
      </c>
      <c r="H1367" t="s">
        <v>343</v>
      </c>
      <c r="I1367" t="s">
        <v>427</v>
      </c>
      <c r="K1367" t="s">
        <v>466</v>
      </c>
      <c r="L1367" t="s">
        <v>469</v>
      </c>
      <c r="M1367" t="s">
        <v>471</v>
      </c>
      <c r="N1367" t="s">
        <v>676</v>
      </c>
      <c r="O1367" t="s">
        <v>898</v>
      </c>
      <c r="P1367" s="1">
        <f>HYPERLINK("https://ec.europa.eu/info/funding-tenders/opportunities/portal/screen/opportunities/topic-details/horizon-hlth-2022-care-08-04", "HORIZON-HLTH-2022-CARE-08-04")</f>
        <v>0</v>
      </c>
      <c r="Q1367" t="s">
        <v>2300</v>
      </c>
    </row>
    <row r="1368" spans="1:17">
      <c r="A1368">
        <v>43970939</v>
      </c>
      <c r="B1368">
        <v>2022</v>
      </c>
      <c r="C1368" t="s">
        <v>26</v>
      </c>
      <c r="D1368" t="s">
        <v>45</v>
      </c>
      <c r="E1368" t="s">
        <v>89</v>
      </c>
      <c r="F1368" t="s">
        <v>180</v>
      </c>
      <c r="G1368" t="s">
        <v>247</v>
      </c>
      <c r="H1368" t="s">
        <v>343</v>
      </c>
      <c r="I1368" t="s">
        <v>427</v>
      </c>
      <c r="K1368" t="s">
        <v>466</v>
      </c>
      <c r="L1368" t="s">
        <v>469</v>
      </c>
      <c r="M1368" t="s">
        <v>476</v>
      </c>
      <c r="N1368" t="s">
        <v>677</v>
      </c>
      <c r="O1368" t="s">
        <v>899</v>
      </c>
      <c r="P1368" s="1">
        <f>HYPERLINK("https://ec.europa.eu/info/funding-tenders/opportunities/portal/screen/opportunities/topic-details/horizon-hlth-2022-care-10-01", "HORIZON-HLTH-2022-CARE-10-01")</f>
        <v>0</v>
      </c>
      <c r="Q1368" t="s">
        <v>2301</v>
      </c>
    </row>
    <row r="1369" spans="1:17">
      <c r="A1369">
        <v>43971674</v>
      </c>
      <c r="B1369">
        <v>2022</v>
      </c>
      <c r="C1369" t="s">
        <v>26</v>
      </c>
      <c r="D1369" t="s">
        <v>45</v>
      </c>
      <c r="E1369" t="s">
        <v>89</v>
      </c>
      <c r="F1369" t="s">
        <v>181</v>
      </c>
      <c r="G1369" t="s">
        <v>247</v>
      </c>
      <c r="H1369" t="s">
        <v>344</v>
      </c>
      <c r="I1369" t="s">
        <v>427</v>
      </c>
      <c r="K1369" t="s">
        <v>466</v>
      </c>
      <c r="L1369" t="s">
        <v>469</v>
      </c>
      <c r="M1369" t="s">
        <v>476</v>
      </c>
      <c r="N1369" t="s">
        <v>678</v>
      </c>
      <c r="O1369" t="s">
        <v>899</v>
      </c>
      <c r="P1369" s="1">
        <f>HYPERLINK("https://ec.europa.eu/info/funding-tenders/opportunities/portal/screen/opportunities/topic-details/horizon-hlth-2022-disease-03-01", "HORIZON-HLTH-2022-DISEASE-03-01")</f>
        <v>0</v>
      </c>
      <c r="Q1369" t="s">
        <v>2302</v>
      </c>
    </row>
    <row r="1370" spans="1:17">
      <c r="A1370">
        <v>43971583</v>
      </c>
      <c r="B1370">
        <v>2022</v>
      </c>
      <c r="C1370" t="s">
        <v>26</v>
      </c>
      <c r="D1370" t="s">
        <v>45</v>
      </c>
      <c r="E1370" t="s">
        <v>90</v>
      </c>
      <c r="F1370" t="s">
        <v>182</v>
      </c>
      <c r="G1370" t="s">
        <v>247</v>
      </c>
      <c r="H1370" t="s">
        <v>343</v>
      </c>
      <c r="I1370" t="s">
        <v>428</v>
      </c>
      <c r="J1370" t="s">
        <v>321</v>
      </c>
      <c r="K1370" t="s">
        <v>466</v>
      </c>
      <c r="L1370" t="s">
        <v>470</v>
      </c>
      <c r="M1370" t="s">
        <v>471</v>
      </c>
      <c r="N1370" t="s">
        <v>679</v>
      </c>
      <c r="O1370" t="s">
        <v>900</v>
      </c>
      <c r="P1370" s="1">
        <f>HYPERLINK("https://ec.europa.eu/info/funding-tenders/opportunities/portal/screen/opportunities/topic-details/horizon-hlth-2022-disease-06-02-two-stage", "HORIZON-HLTH-2022-DISEASE-06-02-two-stage")</f>
        <v>0</v>
      </c>
      <c r="Q1370" t="s">
        <v>2303</v>
      </c>
    </row>
    <row r="1371" spans="1:17">
      <c r="A1371">
        <v>43970794</v>
      </c>
      <c r="B1371">
        <v>2022</v>
      </c>
      <c r="C1371" t="s">
        <v>26</v>
      </c>
      <c r="D1371" t="s">
        <v>45</v>
      </c>
      <c r="E1371" t="s">
        <v>90</v>
      </c>
      <c r="F1371" t="s">
        <v>182</v>
      </c>
      <c r="G1371" t="s">
        <v>247</v>
      </c>
      <c r="H1371" t="s">
        <v>343</v>
      </c>
      <c r="I1371" t="s">
        <v>428</v>
      </c>
      <c r="J1371" t="s">
        <v>321</v>
      </c>
      <c r="K1371" t="s">
        <v>466</v>
      </c>
      <c r="L1371" t="s">
        <v>470</v>
      </c>
      <c r="M1371" t="s">
        <v>471</v>
      </c>
      <c r="N1371" t="s">
        <v>679</v>
      </c>
      <c r="O1371" t="s">
        <v>900</v>
      </c>
      <c r="P1371" s="1">
        <f>HYPERLINK("https://ec.europa.eu/info/funding-tenders/opportunities/portal/screen/opportunities/topic-details/horizon-hlth-2022-disease-06-03-two-stage", "HORIZON-HLTH-2022-DISEASE-06-03-two-stage")</f>
        <v>0</v>
      </c>
      <c r="Q1371" t="s">
        <v>2304</v>
      </c>
    </row>
    <row r="1372" spans="1:17">
      <c r="A1372">
        <v>43971611</v>
      </c>
      <c r="B1372">
        <v>2022</v>
      </c>
      <c r="C1372" t="s">
        <v>26</v>
      </c>
      <c r="D1372" t="s">
        <v>45</v>
      </c>
      <c r="E1372" t="s">
        <v>91</v>
      </c>
      <c r="F1372" t="s">
        <v>182</v>
      </c>
      <c r="G1372" t="s">
        <v>247</v>
      </c>
      <c r="H1372" t="s">
        <v>343</v>
      </c>
      <c r="I1372" t="s">
        <v>428</v>
      </c>
      <c r="J1372" t="s">
        <v>321</v>
      </c>
      <c r="K1372" t="s">
        <v>466</v>
      </c>
      <c r="L1372" t="s">
        <v>470</v>
      </c>
      <c r="M1372" t="s">
        <v>471</v>
      </c>
      <c r="N1372" t="s">
        <v>679</v>
      </c>
      <c r="O1372" t="s">
        <v>900</v>
      </c>
      <c r="P1372" s="1">
        <f>HYPERLINK("https://ec.europa.eu/info/funding-tenders/opportunities/portal/screen/opportunities/topic-details/horizon-hlth-2022-disease-06-04-two-stage", "HORIZON-HLTH-2022-DISEASE-06-04-two-stage")</f>
        <v>0</v>
      </c>
      <c r="Q1372" t="s">
        <v>2305</v>
      </c>
    </row>
    <row r="1373" spans="1:17">
      <c r="A1373">
        <v>43970713</v>
      </c>
      <c r="B1373">
        <v>2022</v>
      </c>
      <c r="C1373" t="s">
        <v>26</v>
      </c>
      <c r="D1373" t="s">
        <v>45</v>
      </c>
      <c r="E1373" t="s">
        <v>90</v>
      </c>
      <c r="F1373" t="s">
        <v>183</v>
      </c>
      <c r="G1373" t="s">
        <v>246</v>
      </c>
      <c r="H1373" t="s">
        <v>344</v>
      </c>
      <c r="I1373" t="s">
        <v>427</v>
      </c>
      <c r="K1373" t="s">
        <v>466</v>
      </c>
      <c r="L1373" t="s">
        <v>469</v>
      </c>
      <c r="M1373" t="s">
        <v>472</v>
      </c>
      <c r="N1373" t="s">
        <v>680</v>
      </c>
      <c r="O1373" t="s">
        <v>901</v>
      </c>
      <c r="P1373" s="1">
        <f>HYPERLINK("https://ec.europa.eu/info/funding-tenders/opportunities/portal/screen/opportunities/topic-details/horizon-hlth-2022-disease-07-01", "HORIZON-HLTH-2022-DISEASE-07-01")</f>
        <v>0</v>
      </c>
      <c r="Q1373" t="s">
        <v>2306</v>
      </c>
    </row>
    <row r="1374" spans="1:17">
      <c r="A1374">
        <v>43971186</v>
      </c>
      <c r="B1374">
        <v>2022</v>
      </c>
      <c r="C1374" t="s">
        <v>26</v>
      </c>
      <c r="D1374" t="s">
        <v>45</v>
      </c>
      <c r="E1374" t="s">
        <v>90</v>
      </c>
      <c r="F1374" t="s">
        <v>183</v>
      </c>
      <c r="G1374" t="s">
        <v>246</v>
      </c>
      <c r="H1374" t="s">
        <v>344</v>
      </c>
      <c r="I1374" t="s">
        <v>427</v>
      </c>
      <c r="K1374" t="s">
        <v>466</v>
      </c>
      <c r="L1374" t="s">
        <v>469</v>
      </c>
      <c r="M1374" t="s">
        <v>471</v>
      </c>
      <c r="N1374" t="s">
        <v>680</v>
      </c>
      <c r="O1374" t="s">
        <v>901</v>
      </c>
      <c r="P1374" s="1">
        <f>HYPERLINK("https://ec.europa.eu/info/funding-tenders/opportunities/portal/screen/opportunities/topic-details/horizon-hlth-2022-disease-07-02", "HORIZON-HLTH-2022-DISEASE-07-02")</f>
        <v>0</v>
      </c>
      <c r="Q1374" t="s">
        <v>2307</v>
      </c>
    </row>
    <row r="1375" spans="1:17">
      <c r="A1375">
        <v>43971644</v>
      </c>
      <c r="B1375">
        <v>2022</v>
      </c>
      <c r="C1375" t="s">
        <v>26</v>
      </c>
      <c r="D1375" t="s">
        <v>45</v>
      </c>
      <c r="E1375" t="s">
        <v>91</v>
      </c>
      <c r="F1375" t="s">
        <v>183</v>
      </c>
      <c r="G1375" t="s">
        <v>246</v>
      </c>
      <c r="H1375" t="s">
        <v>344</v>
      </c>
      <c r="I1375" t="s">
        <v>427</v>
      </c>
      <c r="K1375" t="s">
        <v>466</v>
      </c>
      <c r="L1375" t="s">
        <v>469</v>
      </c>
      <c r="M1375" t="s">
        <v>471</v>
      </c>
      <c r="N1375" t="s">
        <v>680</v>
      </c>
      <c r="O1375" t="s">
        <v>901</v>
      </c>
      <c r="P1375" s="1">
        <f>HYPERLINK("https://ec.europa.eu/info/funding-tenders/opportunities/portal/screen/opportunities/topic-details/horizon-hlth-2022-disease-07-03", "HORIZON-HLTH-2022-DISEASE-07-03")</f>
        <v>0</v>
      </c>
      <c r="Q1375" t="s">
        <v>2308</v>
      </c>
    </row>
    <row r="1376" spans="1:17">
      <c r="A1376">
        <v>43971493</v>
      </c>
      <c r="B1376">
        <v>2022</v>
      </c>
      <c r="C1376" t="s">
        <v>26</v>
      </c>
      <c r="D1376" t="s">
        <v>45</v>
      </c>
      <c r="E1376" t="s">
        <v>93</v>
      </c>
      <c r="F1376" t="s">
        <v>184</v>
      </c>
      <c r="G1376" t="s">
        <v>246</v>
      </c>
      <c r="H1376" t="s">
        <v>343</v>
      </c>
      <c r="I1376" t="s">
        <v>427</v>
      </c>
      <c r="K1376" t="s">
        <v>466</v>
      </c>
      <c r="L1376" t="s">
        <v>469</v>
      </c>
      <c r="M1376" t="s">
        <v>471</v>
      </c>
      <c r="N1376" t="s">
        <v>681</v>
      </c>
      <c r="O1376" t="s">
        <v>902</v>
      </c>
      <c r="P1376" s="1">
        <f>HYPERLINK("https://ec.europa.eu/info/funding-tenders/opportunities/portal/screen/opportunities/topic-details/horizon-hlth-2022-envhlth-04-01", "HORIZON-HLTH-2022-ENVHLTH-04-01")</f>
        <v>0</v>
      </c>
      <c r="Q1376" t="s">
        <v>2309</v>
      </c>
    </row>
    <row r="1377" spans="1:17">
      <c r="A1377">
        <v>43970654</v>
      </c>
      <c r="B1377">
        <v>2022</v>
      </c>
      <c r="C1377" t="s">
        <v>26</v>
      </c>
      <c r="D1377" t="s">
        <v>45</v>
      </c>
      <c r="E1377" t="s">
        <v>92</v>
      </c>
      <c r="F1377" t="s">
        <v>185</v>
      </c>
      <c r="G1377" t="s">
        <v>246</v>
      </c>
      <c r="H1377" t="s">
        <v>343</v>
      </c>
      <c r="I1377" t="s">
        <v>427</v>
      </c>
      <c r="K1377" t="s">
        <v>466</v>
      </c>
      <c r="L1377" t="s">
        <v>469</v>
      </c>
      <c r="M1377" t="s">
        <v>471</v>
      </c>
      <c r="N1377" t="s">
        <v>682</v>
      </c>
      <c r="O1377" t="s">
        <v>903</v>
      </c>
      <c r="P1377" s="1">
        <f>HYPERLINK("https://ec.europa.eu/info/funding-tenders/opportunities/portal/screen/opportunities/topic-details/horizon-hlth-2022-ind-13-01", "HORIZON-HLTH-2022-IND-13-01")</f>
        <v>0</v>
      </c>
      <c r="Q1377" t="s">
        <v>2310</v>
      </c>
    </row>
    <row r="1378" spans="1:17">
      <c r="A1378">
        <v>43971793</v>
      </c>
      <c r="B1378">
        <v>2022</v>
      </c>
      <c r="C1378" t="s">
        <v>26</v>
      </c>
      <c r="D1378" t="s">
        <v>45</v>
      </c>
      <c r="E1378" t="s">
        <v>92</v>
      </c>
      <c r="F1378" t="s">
        <v>185</v>
      </c>
      <c r="G1378" t="s">
        <v>246</v>
      </c>
      <c r="H1378" t="s">
        <v>343</v>
      </c>
      <c r="I1378" t="s">
        <v>427</v>
      </c>
      <c r="K1378" t="s">
        <v>466</v>
      </c>
      <c r="L1378" t="s">
        <v>469</v>
      </c>
      <c r="M1378" t="s">
        <v>471</v>
      </c>
      <c r="N1378" t="s">
        <v>682</v>
      </c>
      <c r="O1378" t="s">
        <v>903</v>
      </c>
      <c r="P1378" s="1">
        <f>HYPERLINK("https://ec.europa.eu/info/funding-tenders/opportunities/portal/screen/opportunities/topic-details/horizon-hlth-2022-ind-13-02", "HORIZON-HLTH-2022-IND-13-02")</f>
        <v>0</v>
      </c>
      <c r="Q1378" t="s">
        <v>2311</v>
      </c>
    </row>
    <row r="1379" spans="1:17">
      <c r="A1379">
        <v>43970683</v>
      </c>
      <c r="B1379">
        <v>2022</v>
      </c>
      <c r="C1379" t="s">
        <v>26</v>
      </c>
      <c r="D1379" t="s">
        <v>45</v>
      </c>
      <c r="E1379" t="s">
        <v>92</v>
      </c>
      <c r="F1379" t="s">
        <v>185</v>
      </c>
      <c r="G1379" t="s">
        <v>246</v>
      </c>
      <c r="H1379" t="s">
        <v>343</v>
      </c>
      <c r="I1379" t="s">
        <v>427</v>
      </c>
      <c r="K1379" t="s">
        <v>466</v>
      </c>
      <c r="L1379" t="s">
        <v>469</v>
      </c>
      <c r="M1379" t="s">
        <v>471</v>
      </c>
      <c r="N1379" t="s">
        <v>682</v>
      </c>
      <c r="O1379" t="s">
        <v>903</v>
      </c>
      <c r="P1379" s="1">
        <f>HYPERLINK("https://ec.europa.eu/info/funding-tenders/opportunities/portal/screen/opportunities/topic-details/horizon-hlth-2022-ind-13-03", "HORIZON-HLTH-2022-IND-13-03")</f>
        <v>0</v>
      </c>
      <c r="Q1379" t="s">
        <v>2312</v>
      </c>
    </row>
    <row r="1380" spans="1:17">
      <c r="A1380">
        <v>43971342</v>
      </c>
      <c r="B1380">
        <v>2022</v>
      </c>
      <c r="C1380" t="s">
        <v>26</v>
      </c>
      <c r="D1380" t="s">
        <v>45</v>
      </c>
      <c r="E1380" t="s">
        <v>92</v>
      </c>
      <c r="F1380" t="s">
        <v>185</v>
      </c>
      <c r="G1380" t="s">
        <v>246</v>
      </c>
      <c r="H1380" t="s">
        <v>343</v>
      </c>
      <c r="I1380" t="s">
        <v>427</v>
      </c>
      <c r="K1380" t="s">
        <v>466</v>
      </c>
      <c r="L1380" t="s">
        <v>469</v>
      </c>
      <c r="M1380" t="s">
        <v>472</v>
      </c>
      <c r="N1380" t="s">
        <v>682</v>
      </c>
      <c r="O1380" t="s">
        <v>903</v>
      </c>
      <c r="P1380" s="1">
        <f>HYPERLINK("https://ec.europa.eu/info/funding-tenders/opportunities/portal/screen/opportunities/topic-details/horizon-hlth-2022-ind-13-04", "HORIZON-HLTH-2022-IND-13-04")</f>
        <v>0</v>
      </c>
      <c r="Q1380" t="s">
        <v>2313</v>
      </c>
    </row>
    <row r="1381" spans="1:17">
      <c r="A1381">
        <v>43970767</v>
      </c>
      <c r="B1381">
        <v>2022</v>
      </c>
      <c r="C1381" t="s">
        <v>26</v>
      </c>
      <c r="D1381" t="s">
        <v>45</v>
      </c>
      <c r="E1381" t="s">
        <v>92</v>
      </c>
      <c r="F1381" t="s">
        <v>185</v>
      </c>
      <c r="G1381" t="s">
        <v>246</v>
      </c>
      <c r="H1381" t="s">
        <v>343</v>
      </c>
      <c r="I1381" t="s">
        <v>427</v>
      </c>
      <c r="K1381" t="s">
        <v>466</v>
      </c>
      <c r="L1381" t="s">
        <v>469</v>
      </c>
      <c r="M1381" t="s">
        <v>472</v>
      </c>
      <c r="N1381" t="s">
        <v>682</v>
      </c>
      <c r="O1381" t="s">
        <v>903</v>
      </c>
      <c r="P1381" s="1">
        <f>HYPERLINK("https://ec.europa.eu/info/funding-tenders/opportunities/portal/screen/opportunities/topic-details/horizon-hlth-2022-ind-13-05", "HORIZON-HLTH-2022-IND-13-05")</f>
        <v>0</v>
      </c>
      <c r="Q1381" t="s">
        <v>2314</v>
      </c>
    </row>
    <row r="1382" spans="1:17">
      <c r="A1382">
        <v>43970377</v>
      </c>
      <c r="B1382">
        <v>2022</v>
      </c>
      <c r="C1382" t="s">
        <v>26</v>
      </c>
      <c r="D1382" t="s">
        <v>45</v>
      </c>
      <c r="E1382" t="s">
        <v>93</v>
      </c>
      <c r="F1382" t="s">
        <v>186</v>
      </c>
      <c r="G1382" t="s">
        <v>247</v>
      </c>
      <c r="H1382" t="s">
        <v>343</v>
      </c>
      <c r="I1382" t="s">
        <v>428</v>
      </c>
      <c r="J1382" t="s">
        <v>321</v>
      </c>
      <c r="K1382" t="s">
        <v>466</v>
      </c>
      <c r="L1382" t="s">
        <v>470</v>
      </c>
      <c r="M1382" t="s">
        <v>471</v>
      </c>
      <c r="N1382" t="s">
        <v>683</v>
      </c>
      <c r="O1382" t="s">
        <v>904</v>
      </c>
      <c r="P1382" s="1">
        <f>HYPERLINK("https://ec.europa.eu/info/funding-tenders/opportunities/portal/screen/opportunities/topic-details/horizon-hlth-2022-stayhlth-01-01-two-stage", "HORIZON-HLTH-2022-STAYHLTH-01-01-two-stage")</f>
        <v>0</v>
      </c>
      <c r="Q1382" t="s">
        <v>2315</v>
      </c>
    </row>
    <row r="1383" spans="1:17">
      <c r="A1383">
        <v>43970407</v>
      </c>
      <c r="B1383">
        <v>2022</v>
      </c>
      <c r="C1383" t="s">
        <v>26</v>
      </c>
      <c r="D1383" t="s">
        <v>45</v>
      </c>
      <c r="E1383" t="s">
        <v>93</v>
      </c>
      <c r="F1383" t="s">
        <v>186</v>
      </c>
      <c r="G1383" t="s">
        <v>247</v>
      </c>
      <c r="H1383" t="s">
        <v>343</v>
      </c>
      <c r="I1383" t="s">
        <v>428</v>
      </c>
      <c r="J1383" t="s">
        <v>321</v>
      </c>
      <c r="K1383" t="s">
        <v>466</v>
      </c>
      <c r="L1383" t="s">
        <v>470</v>
      </c>
      <c r="M1383" t="s">
        <v>471</v>
      </c>
      <c r="N1383" t="s">
        <v>683</v>
      </c>
      <c r="O1383" t="s">
        <v>904</v>
      </c>
      <c r="P1383" s="1">
        <f>HYPERLINK("https://ec.europa.eu/info/funding-tenders/opportunities/portal/screen/opportunities/topic-details/horizon-hlth-2022-stayhlth-01-04-two-stage", "HORIZON-HLTH-2022-STAYHLTH-01-04-two-stage")</f>
        <v>0</v>
      </c>
      <c r="Q1383" t="s">
        <v>2316</v>
      </c>
    </row>
    <row r="1384" spans="1:17">
      <c r="A1384">
        <v>43971399</v>
      </c>
      <c r="B1384">
        <v>2022</v>
      </c>
      <c r="C1384" t="s">
        <v>26</v>
      </c>
      <c r="D1384" t="s">
        <v>45</v>
      </c>
      <c r="E1384" t="s">
        <v>93</v>
      </c>
      <c r="F1384" t="s">
        <v>186</v>
      </c>
      <c r="G1384" t="s">
        <v>247</v>
      </c>
      <c r="H1384" t="s">
        <v>343</v>
      </c>
      <c r="I1384" t="s">
        <v>428</v>
      </c>
      <c r="J1384" t="s">
        <v>321</v>
      </c>
      <c r="K1384" t="s">
        <v>466</v>
      </c>
      <c r="L1384" t="s">
        <v>470</v>
      </c>
      <c r="M1384" t="s">
        <v>471</v>
      </c>
      <c r="N1384" t="s">
        <v>683</v>
      </c>
      <c r="O1384" t="s">
        <v>904</v>
      </c>
      <c r="P1384" s="1">
        <f>HYPERLINK("https://ec.europa.eu/info/funding-tenders/opportunities/portal/screen/opportunities/topic-details/horizon-hlth-2022-stayhlth-01-05-two-stage", "HORIZON-HLTH-2022-STAYHLTH-01-05-two-stage")</f>
        <v>0</v>
      </c>
      <c r="Q1384" t="s">
        <v>2317</v>
      </c>
    </row>
    <row r="1385" spans="1:17">
      <c r="A1385">
        <v>43971002</v>
      </c>
      <c r="B1385">
        <v>2022</v>
      </c>
      <c r="C1385" t="s">
        <v>26</v>
      </c>
      <c r="D1385" t="s">
        <v>45</v>
      </c>
      <c r="E1385" t="s">
        <v>93</v>
      </c>
      <c r="F1385" t="s">
        <v>187</v>
      </c>
      <c r="G1385" t="s">
        <v>246</v>
      </c>
      <c r="H1385" t="s">
        <v>343</v>
      </c>
      <c r="I1385" t="s">
        <v>427</v>
      </c>
      <c r="K1385" t="s">
        <v>466</v>
      </c>
      <c r="L1385" t="s">
        <v>469</v>
      </c>
      <c r="M1385" t="s">
        <v>471</v>
      </c>
      <c r="N1385" t="s">
        <v>684</v>
      </c>
      <c r="O1385" t="s">
        <v>905</v>
      </c>
      <c r="P1385" s="1">
        <f>HYPERLINK("https://ec.europa.eu/info/funding-tenders/opportunities/portal/screen/opportunities/topic-details/horizon-hlth-2022-stayhlth-02-01", "HORIZON-HLTH-2022-STAYHLTH-02-01")</f>
        <v>0</v>
      </c>
      <c r="Q1385" t="s">
        <v>2318</v>
      </c>
    </row>
    <row r="1386" spans="1:17">
      <c r="A1386">
        <v>43970592</v>
      </c>
      <c r="B1386">
        <v>2022</v>
      </c>
      <c r="C1386" t="s">
        <v>26</v>
      </c>
      <c r="D1386" t="s">
        <v>45</v>
      </c>
      <c r="E1386" t="s">
        <v>92</v>
      </c>
      <c r="F1386" t="s">
        <v>188</v>
      </c>
      <c r="G1386" t="s">
        <v>246</v>
      </c>
      <c r="H1386" t="s">
        <v>343</v>
      </c>
      <c r="I1386" t="s">
        <v>427</v>
      </c>
      <c r="K1386" t="s">
        <v>466</v>
      </c>
      <c r="L1386" t="s">
        <v>469</v>
      </c>
      <c r="M1386" t="s">
        <v>471</v>
      </c>
      <c r="N1386" t="s">
        <v>685</v>
      </c>
      <c r="O1386" t="s">
        <v>906</v>
      </c>
      <c r="P1386" s="1">
        <f>HYPERLINK("https://ec.europa.eu/info/funding-tenders/opportunities/portal/screen/opportunities/topic-details/horizon-hlth-2022-tool-11-01", "HORIZON-HLTH-2022-TOOL-11-01")</f>
        <v>0</v>
      </c>
      <c r="Q1386" t="s">
        <v>2319</v>
      </c>
    </row>
    <row r="1387" spans="1:17">
      <c r="A1387">
        <v>43971702</v>
      </c>
      <c r="B1387">
        <v>2022</v>
      </c>
      <c r="C1387" t="s">
        <v>26</v>
      </c>
      <c r="D1387" t="s">
        <v>45</v>
      </c>
      <c r="E1387" t="s">
        <v>92</v>
      </c>
      <c r="F1387" t="s">
        <v>188</v>
      </c>
      <c r="G1387" t="s">
        <v>246</v>
      </c>
      <c r="H1387" t="s">
        <v>343</v>
      </c>
      <c r="I1387" t="s">
        <v>427</v>
      </c>
      <c r="K1387" t="s">
        <v>466</v>
      </c>
      <c r="L1387" t="s">
        <v>469</v>
      </c>
      <c r="M1387" t="s">
        <v>471</v>
      </c>
      <c r="N1387" t="s">
        <v>685</v>
      </c>
      <c r="O1387" t="s">
        <v>906</v>
      </c>
      <c r="P1387" s="1">
        <f>HYPERLINK("https://ec.europa.eu/info/funding-tenders/opportunities/portal/screen/opportunities/topic-details/horizon-hlth-2022-tool-11-02", "HORIZON-HLTH-2022-TOOL-11-02")</f>
        <v>0</v>
      </c>
      <c r="Q1387" t="s">
        <v>2320</v>
      </c>
    </row>
    <row r="1388" spans="1:17">
      <c r="A1388">
        <v>43970623</v>
      </c>
      <c r="B1388">
        <v>2022</v>
      </c>
      <c r="C1388" t="s">
        <v>26</v>
      </c>
      <c r="D1388" t="s">
        <v>45</v>
      </c>
      <c r="E1388" t="s">
        <v>92</v>
      </c>
      <c r="F1388" t="s">
        <v>189</v>
      </c>
      <c r="G1388" t="s">
        <v>246</v>
      </c>
      <c r="H1388" t="s">
        <v>343</v>
      </c>
      <c r="I1388" t="s">
        <v>428</v>
      </c>
      <c r="J1388" t="s">
        <v>321</v>
      </c>
      <c r="K1388" t="s">
        <v>466</v>
      </c>
      <c r="L1388" t="s">
        <v>470</v>
      </c>
      <c r="M1388" t="s">
        <v>471</v>
      </c>
      <c r="N1388" t="s">
        <v>686</v>
      </c>
      <c r="O1388" t="s">
        <v>907</v>
      </c>
      <c r="P1388" s="1">
        <f>HYPERLINK("https://ec.europa.eu/info/funding-tenders/opportunities/portal/screen/opportunities/topic-details/horizon-hlth-2022-tool-12-01-two-stage", "HORIZON-HLTH-2022-TOOL-12-01-two-stage")</f>
        <v>0</v>
      </c>
      <c r="Q1388" t="s">
        <v>2321</v>
      </c>
    </row>
    <row r="1389" spans="1:17">
      <c r="A1389">
        <v>45701369</v>
      </c>
      <c r="B1389">
        <v>2023</v>
      </c>
      <c r="C1389" t="s">
        <v>26</v>
      </c>
      <c r="D1389" t="s">
        <v>45</v>
      </c>
      <c r="E1389" t="s">
        <v>92</v>
      </c>
      <c r="F1389" t="s">
        <v>190</v>
      </c>
      <c r="G1389" t="s">
        <v>248</v>
      </c>
      <c r="H1389" t="s">
        <v>345</v>
      </c>
      <c r="I1389" t="s">
        <v>429</v>
      </c>
      <c r="K1389" t="s">
        <v>466</v>
      </c>
      <c r="L1389" t="s">
        <v>469</v>
      </c>
      <c r="M1389" t="s">
        <v>471</v>
      </c>
      <c r="N1389" t="s">
        <v>687</v>
      </c>
      <c r="O1389" t="s">
        <v>908</v>
      </c>
      <c r="P1389" s="1">
        <f>HYPERLINK("https://ec.europa.eu/info/funding-tenders/opportunities/portal/screen/opportunities/topic-details/horizon-hlth-2023-care-04-01", "HORIZON-HLTH-2023-CARE-04-01")</f>
        <v>0</v>
      </c>
      <c r="Q1389" t="s">
        <v>2322</v>
      </c>
    </row>
    <row r="1390" spans="1:17">
      <c r="A1390">
        <v>45701399</v>
      </c>
      <c r="B1390">
        <v>2023</v>
      </c>
      <c r="C1390" t="s">
        <v>26</v>
      </c>
      <c r="D1390" t="s">
        <v>45</v>
      </c>
      <c r="E1390" t="s">
        <v>89</v>
      </c>
      <c r="F1390" t="s">
        <v>190</v>
      </c>
      <c r="G1390" t="s">
        <v>248</v>
      </c>
      <c r="H1390" t="s">
        <v>345</v>
      </c>
      <c r="I1390" t="s">
        <v>429</v>
      </c>
      <c r="K1390" t="s">
        <v>466</v>
      </c>
      <c r="L1390" t="s">
        <v>469</v>
      </c>
      <c r="M1390" t="s">
        <v>471</v>
      </c>
      <c r="N1390" t="s">
        <v>687</v>
      </c>
      <c r="O1390" t="s">
        <v>908</v>
      </c>
      <c r="P1390" s="1">
        <f>HYPERLINK("https://ec.europa.eu/info/funding-tenders/opportunities/portal/screen/opportunities/topic-details/horizon-hlth-2023-care-04-02", "HORIZON-HLTH-2023-CARE-04-02")</f>
        <v>0</v>
      </c>
      <c r="Q1390" t="s">
        <v>2323</v>
      </c>
    </row>
    <row r="1391" spans="1:17">
      <c r="A1391">
        <v>45701441</v>
      </c>
      <c r="B1391">
        <v>2023</v>
      </c>
      <c r="C1391" t="s">
        <v>26</v>
      </c>
      <c r="D1391" t="s">
        <v>45</v>
      </c>
      <c r="E1391" t="s">
        <v>92</v>
      </c>
      <c r="F1391" t="s">
        <v>190</v>
      </c>
      <c r="G1391" t="s">
        <v>248</v>
      </c>
      <c r="H1391" t="s">
        <v>345</v>
      </c>
      <c r="I1391" t="s">
        <v>429</v>
      </c>
      <c r="K1391" t="s">
        <v>466</v>
      </c>
      <c r="L1391" t="s">
        <v>469</v>
      </c>
      <c r="M1391" t="s">
        <v>471</v>
      </c>
      <c r="N1391" t="s">
        <v>687</v>
      </c>
      <c r="O1391" t="s">
        <v>908</v>
      </c>
      <c r="P1391" s="1">
        <f>HYPERLINK("https://ec.europa.eu/info/funding-tenders/opportunities/portal/screen/opportunities/topic-details/horizon-hlth-2023-care-04-03", "HORIZON-HLTH-2023-CARE-04-03")</f>
        <v>0</v>
      </c>
      <c r="Q1391" t="s">
        <v>2324</v>
      </c>
    </row>
    <row r="1392" spans="1:17">
      <c r="A1392">
        <v>45700894</v>
      </c>
      <c r="B1392">
        <v>2023</v>
      </c>
      <c r="C1392" t="s">
        <v>26</v>
      </c>
      <c r="D1392" t="s">
        <v>45</v>
      </c>
      <c r="E1392" t="s">
        <v>89</v>
      </c>
      <c r="F1392" t="s">
        <v>179</v>
      </c>
      <c r="G1392" t="s">
        <v>248</v>
      </c>
      <c r="H1392" t="s">
        <v>345</v>
      </c>
      <c r="I1392" t="s">
        <v>429</v>
      </c>
      <c r="K1392" t="s">
        <v>466</v>
      </c>
      <c r="L1392" t="s">
        <v>469</v>
      </c>
      <c r="M1392" t="s">
        <v>476</v>
      </c>
      <c r="N1392" t="s">
        <v>688</v>
      </c>
      <c r="O1392" t="s">
        <v>909</v>
      </c>
      <c r="P1392" s="1">
        <f>HYPERLINK("https://ec.europa.eu/info/funding-tenders/opportunities/portal/screen/opportunities/topic-details/horizon-hlth-2023-care-08-01", "HORIZON-HLTH-2023-CARE-08-01")</f>
        <v>0</v>
      </c>
      <c r="Q1392" t="s">
        <v>2325</v>
      </c>
    </row>
    <row r="1393" spans="1:17">
      <c r="A1393">
        <v>45700392</v>
      </c>
      <c r="B1393">
        <v>2023</v>
      </c>
      <c r="C1393" t="s">
        <v>26</v>
      </c>
      <c r="D1393" t="s">
        <v>45</v>
      </c>
      <c r="E1393" t="s">
        <v>91</v>
      </c>
      <c r="F1393" t="s">
        <v>181</v>
      </c>
      <c r="G1393" t="s">
        <v>248</v>
      </c>
      <c r="H1393" t="s">
        <v>345</v>
      </c>
      <c r="I1393" t="s">
        <v>429</v>
      </c>
      <c r="K1393" t="s">
        <v>466</v>
      </c>
      <c r="L1393" t="s">
        <v>469</v>
      </c>
      <c r="M1393" t="s">
        <v>471</v>
      </c>
      <c r="N1393" t="s">
        <v>689</v>
      </c>
      <c r="O1393" t="s">
        <v>910</v>
      </c>
      <c r="P1393" s="1">
        <f>HYPERLINK("https://ec.europa.eu/info/funding-tenders/opportunities/portal/screen/opportunities/topic-details/horizon-hlth-2023-disease-03-01", "HORIZON-HLTH-2023-DISEASE-03-01")</f>
        <v>0</v>
      </c>
      <c r="Q1393" t="s">
        <v>2326</v>
      </c>
    </row>
    <row r="1394" spans="1:17">
      <c r="A1394">
        <v>45700519</v>
      </c>
      <c r="B1394">
        <v>2023</v>
      </c>
      <c r="C1394" t="s">
        <v>26</v>
      </c>
      <c r="D1394" t="s">
        <v>45</v>
      </c>
      <c r="E1394" t="s">
        <v>91</v>
      </c>
      <c r="F1394" t="s">
        <v>181</v>
      </c>
      <c r="G1394" t="s">
        <v>248</v>
      </c>
      <c r="H1394" t="s">
        <v>345</v>
      </c>
      <c r="I1394" t="s">
        <v>429</v>
      </c>
      <c r="K1394" t="s">
        <v>466</v>
      </c>
      <c r="L1394" t="s">
        <v>469</v>
      </c>
      <c r="M1394" t="s">
        <v>471</v>
      </c>
      <c r="N1394" t="s">
        <v>689</v>
      </c>
      <c r="O1394" t="s">
        <v>910</v>
      </c>
      <c r="P1394" s="1">
        <f>HYPERLINK("https://ec.europa.eu/info/funding-tenders/opportunities/portal/screen/opportunities/topic-details/horizon-hlth-2023-disease-03-03", "HORIZON-HLTH-2023-DISEASE-03-03")</f>
        <v>0</v>
      </c>
      <c r="Q1394" t="s">
        <v>2327</v>
      </c>
    </row>
    <row r="1395" spans="1:17">
      <c r="A1395">
        <v>45701891</v>
      </c>
      <c r="B1395">
        <v>2023</v>
      </c>
      <c r="C1395" t="s">
        <v>26</v>
      </c>
      <c r="D1395" t="s">
        <v>45</v>
      </c>
      <c r="E1395" t="s">
        <v>90</v>
      </c>
      <c r="F1395" t="s">
        <v>181</v>
      </c>
      <c r="G1395" t="s">
        <v>248</v>
      </c>
      <c r="H1395" t="s">
        <v>345</v>
      </c>
      <c r="I1395" t="s">
        <v>429</v>
      </c>
      <c r="K1395" t="s">
        <v>466</v>
      </c>
      <c r="L1395" t="s">
        <v>469</v>
      </c>
      <c r="M1395" t="s">
        <v>471</v>
      </c>
      <c r="N1395" t="s">
        <v>689</v>
      </c>
      <c r="O1395" t="s">
        <v>910</v>
      </c>
      <c r="P1395" s="1">
        <f>HYPERLINK("https://ec.europa.eu/info/funding-tenders/opportunities/portal/screen/opportunities/topic-details/horizon-hlth-2023-disease-03-04", "HORIZON-HLTH-2023-DISEASE-03-04")</f>
        <v>0</v>
      </c>
      <c r="Q1395" t="s">
        <v>2328</v>
      </c>
    </row>
    <row r="1396" spans="1:17">
      <c r="A1396">
        <v>45701617</v>
      </c>
      <c r="B1396">
        <v>2023</v>
      </c>
      <c r="C1396" t="s">
        <v>26</v>
      </c>
      <c r="D1396" t="s">
        <v>45</v>
      </c>
      <c r="E1396" t="s">
        <v>90</v>
      </c>
      <c r="F1396" t="s">
        <v>181</v>
      </c>
      <c r="G1396" t="s">
        <v>248</v>
      </c>
      <c r="H1396" t="s">
        <v>345</v>
      </c>
      <c r="I1396" t="s">
        <v>429</v>
      </c>
      <c r="K1396" t="s">
        <v>466</v>
      </c>
      <c r="L1396" t="s">
        <v>469</v>
      </c>
      <c r="M1396" t="s">
        <v>472</v>
      </c>
      <c r="N1396" t="s">
        <v>689</v>
      </c>
      <c r="O1396" t="s">
        <v>910</v>
      </c>
      <c r="P1396" s="1">
        <f>HYPERLINK("https://ec.europa.eu/info/funding-tenders/opportunities/portal/screen/opportunities/topic-details/horizon-hlth-2023-disease-03-05", "HORIZON-HLTH-2023-DISEASE-03-05")</f>
        <v>0</v>
      </c>
      <c r="Q1396" t="s">
        <v>2329</v>
      </c>
    </row>
    <row r="1397" spans="1:17">
      <c r="A1397">
        <v>45700589</v>
      </c>
      <c r="B1397">
        <v>2023</v>
      </c>
      <c r="C1397" t="s">
        <v>26</v>
      </c>
      <c r="D1397" t="s">
        <v>45</v>
      </c>
      <c r="E1397" t="s">
        <v>91</v>
      </c>
      <c r="F1397" t="s">
        <v>181</v>
      </c>
      <c r="G1397" t="s">
        <v>248</v>
      </c>
      <c r="H1397" t="s">
        <v>345</v>
      </c>
      <c r="I1397" t="s">
        <v>429</v>
      </c>
      <c r="K1397" t="s">
        <v>466</v>
      </c>
      <c r="L1397" t="s">
        <v>469</v>
      </c>
      <c r="M1397" t="s">
        <v>472</v>
      </c>
      <c r="N1397" t="s">
        <v>689</v>
      </c>
      <c r="O1397" t="s">
        <v>910</v>
      </c>
      <c r="P1397" s="1">
        <f>HYPERLINK("https://ec.europa.eu/info/funding-tenders/opportunities/portal/screen/opportunities/topic-details/horizon-hlth-2023-disease-03-06", "HORIZON-HLTH-2023-DISEASE-03-06")</f>
        <v>0</v>
      </c>
      <c r="Q1397" t="s">
        <v>2330</v>
      </c>
    </row>
    <row r="1398" spans="1:17">
      <c r="A1398">
        <v>45701191</v>
      </c>
      <c r="B1398">
        <v>2023</v>
      </c>
      <c r="C1398" t="s">
        <v>26</v>
      </c>
      <c r="D1398" t="s">
        <v>45</v>
      </c>
      <c r="E1398" t="s">
        <v>91</v>
      </c>
      <c r="F1398" t="s">
        <v>181</v>
      </c>
      <c r="G1398" t="s">
        <v>248</v>
      </c>
      <c r="H1398" t="s">
        <v>345</v>
      </c>
      <c r="I1398" t="s">
        <v>429</v>
      </c>
      <c r="K1398" t="s">
        <v>466</v>
      </c>
      <c r="L1398" t="s">
        <v>469</v>
      </c>
      <c r="M1398" t="s">
        <v>471</v>
      </c>
      <c r="N1398" t="s">
        <v>689</v>
      </c>
      <c r="O1398" t="s">
        <v>910</v>
      </c>
      <c r="P1398" s="1">
        <f>HYPERLINK("https://ec.europa.eu/info/funding-tenders/opportunities/portal/screen/opportunities/topic-details/horizon-hlth-2023-disease-03-07", "HORIZON-HLTH-2023-DISEASE-03-07")</f>
        <v>0</v>
      </c>
      <c r="Q1398" t="s">
        <v>2331</v>
      </c>
    </row>
    <row r="1399" spans="1:17">
      <c r="A1399">
        <v>45701225</v>
      </c>
      <c r="B1399">
        <v>2023</v>
      </c>
      <c r="C1399" t="s">
        <v>26</v>
      </c>
      <c r="D1399" t="s">
        <v>45</v>
      </c>
      <c r="E1399" t="s">
        <v>92</v>
      </c>
      <c r="F1399" t="s">
        <v>181</v>
      </c>
      <c r="G1399" t="s">
        <v>248</v>
      </c>
      <c r="H1399" t="s">
        <v>345</v>
      </c>
      <c r="I1399" t="s">
        <v>429</v>
      </c>
      <c r="K1399" t="s">
        <v>466</v>
      </c>
      <c r="L1399" t="s">
        <v>469</v>
      </c>
      <c r="M1399" t="s">
        <v>471</v>
      </c>
      <c r="N1399" t="s">
        <v>689</v>
      </c>
      <c r="O1399" t="s">
        <v>910</v>
      </c>
      <c r="P1399" s="1">
        <f>HYPERLINK("https://ec.europa.eu/info/funding-tenders/opportunities/portal/screen/opportunities/topic-details/horizon-hlth-2023-disease-03-17", "HORIZON-HLTH-2023-DISEASE-03-17")</f>
        <v>0</v>
      </c>
      <c r="Q1399" t="s">
        <v>2332</v>
      </c>
    </row>
    <row r="1400" spans="1:17">
      <c r="A1400">
        <v>45701263</v>
      </c>
      <c r="B1400">
        <v>2023</v>
      </c>
      <c r="C1400" t="s">
        <v>26</v>
      </c>
      <c r="D1400" t="s">
        <v>45</v>
      </c>
      <c r="E1400" t="s">
        <v>92</v>
      </c>
      <c r="F1400" t="s">
        <v>181</v>
      </c>
      <c r="G1400" t="s">
        <v>248</v>
      </c>
      <c r="H1400" t="s">
        <v>345</v>
      </c>
      <c r="I1400" t="s">
        <v>429</v>
      </c>
      <c r="K1400" t="s">
        <v>466</v>
      </c>
      <c r="L1400" t="s">
        <v>469</v>
      </c>
      <c r="M1400" t="s">
        <v>471</v>
      </c>
      <c r="N1400" t="s">
        <v>689</v>
      </c>
      <c r="O1400" t="s">
        <v>910</v>
      </c>
      <c r="P1400" s="1">
        <f>HYPERLINK("https://ec.europa.eu/info/funding-tenders/opportunities/portal/screen/opportunities/topic-details/horizon-hlth-2023-disease-03-18", "HORIZON-HLTH-2023-DISEASE-03-18")</f>
        <v>0</v>
      </c>
      <c r="Q1400" t="s">
        <v>2333</v>
      </c>
    </row>
    <row r="1401" spans="1:17">
      <c r="A1401">
        <v>45700620</v>
      </c>
      <c r="B1401">
        <v>2023</v>
      </c>
      <c r="C1401" t="s">
        <v>26</v>
      </c>
      <c r="D1401" t="s">
        <v>45</v>
      </c>
      <c r="E1401" t="s">
        <v>89</v>
      </c>
      <c r="F1401" t="s">
        <v>183</v>
      </c>
      <c r="G1401" t="s">
        <v>248</v>
      </c>
      <c r="H1401" t="s">
        <v>345</v>
      </c>
      <c r="I1401" t="s">
        <v>314</v>
      </c>
      <c r="K1401" t="s">
        <v>466</v>
      </c>
      <c r="L1401" t="s">
        <v>469</v>
      </c>
      <c r="M1401" t="s">
        <v>476</v>
      </c>
      <c r="N1401" t="s">
        <v>690</v>
      </c>
      <c r="O1401" t="s">
        <v>909</v>
      </c>
      <c r="P1401" s="1">
        <f>HYPERLINK("https://ec.europa.eu/info/funding-tenders/opportunities/portal/screen/opportunities/topic-details/horizon-hlth-2023-disease-07-01", "HORIZON-HLTH-2023-DISEASE-07-01")</f>
        <v>0</v>
      </c>
      <c r="Q1401" t="s">
        <v>2334</v>
      </c>
    </row>
    <row r="1402" spans="1:17">
      <c r="A1402">
        <v>45700548</v>
      </c>
      <c r="B1402">
        <v>2023</v>
      </c>
      <c r="C1402" t="s">
        <v>26</v>
      </c>
      <c r="D1402" t="s">
        <v>45</v>
      </c>
      <c r="E1402" t="s">
        <v>89</v>
      </c>
      <c r="F1402" t="s">
        <v>174</v>
      </c>
      <c r="G1402" t="s">
        <v>248</v>
      </c>
      <c r="H1402" t="s">
        <v>345</v>
      </c>
      <c r="I1402" t="s">
        <v>429</v>
      </c>
      <c r="K1402" t="s">
        <v>466</v>
      </c>
      <c r="L1402" t="s">
        <v>469</v>
      </c>
      <c r="M1402" t="s">
        <v>471</v>
      </c>
      <c r="N1402" t="s">
        <v>691</v>
      </c>
      <c r="O1402" t="s">
        <v>911</v>
      </c>
      <c r="P1402" s="1">
        <f>HYPERLINK("https://ec.europa.eu/info/funding-tenders/opportunities/portal/screen/opportunities/topic-details/horizon-hlth-2023-envhlth-02-01", "HORIZON-HLTH-2023-ENVHLTH-02-01")</f>
        <v>0</v>
      </c>
      <c r="Q1402" t="s">
        <v>2335</v>
      </c>
    </row>
    <row r="1403" spans="1:17">
      <c r="A1403">
        <v>45701056</v>
      </c>
      <c r="B1403">
        <v>2023</v>
      </c>
      <c r="C1403" t="s">
        <v>26</v>
      </c>
      <c r="D1403" t="s">
        <v>45</v>
      </c>
      <c r="E1403" t="s">
        <v>93</v>
      </c>
      <c r="F1403" t="s">
        <v>174</v>
      </c>
      <c r="G1403" t="s">
        <v>248</v>
      </c>
      <c r="H1403" t="s">
        <v>345</v>
      </c>
      <c r="I1403" t="s">
        <v>429</v>
      </c>
      <c r="K1403" t="s">
        <v>466</v>
      </c>
      <c r="L1403" t="s">
        <v>469</v>
      </c>
      <c r="M1403" t="s">
        <v>471</v>
      </c>
      <c r="N1403" t="s">
        <v>691</v>
      </c>
      <c r="O1403" t="s">
        <v>911</v>
      </c>
      <c r="P1403" s="1">
        <f>HYPERLINK("https://ec.europa.eu/info/funding-tenders/opportunities/portal/screen/opportunities/topic-details/horizon-hlth-2023-envhlth-02-02", "HORIZON-HLTH-2023-ENVHLTH-02-02")</f>
        <v>0</v>
      </c>
      <c r="Q1403" t="s">
        <v>2336</v>
      </c>
    </row>
    <row r="1404" spans="1:17">
      <c r="A1404">
        <v>45701089</v>
      </c>
      <c r="B1404">
        <v>2023</v>
      </c>
      <c r="C1404" t="s">
        <v>26</v>
      </c>
      <c r="D1404" t="s">
        <v>45</v>
      </c>
      <c r="E1404" t="s">
        <v>93</v>
      </c>
      <c r="F1404" t="s">
        <v>174</v>
      </c>
      <c r="G1404" t="s">
        <v>248</v>
      </c>
      <c r="H1404" t="s">
        <v>345</v>
      </c>
      <c r="I1404" t="s">
        <v>429</v>
      </c>
      <c r="K1404" t="s">
        <v>466</v>
      </c>
      <c r="L1404" t="s">
        <v>469</v>
      </c>
      <c r="M1404" t="s">
        <v>471</v>
      </c>
      <c r="N1404" t="s">
        <v>691</v>
      </c>
      <c r="O1404" t="s">
        <v>911</v>
      </c>
      <c r="P1404" s="1">
        <f>HYPERLINK("https://ec.europa.eu/info/funding-tenders/opportunities/portal/screen/opportunities/topic-details/horizon-hlth-2023-envhlth-02-03", "HORIZON-HLTH-2023-ENVHLTH-02-03")</f>
        <v>0</v>
      </c>
      <c r="Q1404" t="s">
        <v>2337</v>
      </c>
    </row>
    <row r="1405" spans="1:17">
      <c r="A1405">
        <v>45701124</v>
      </c>
      <c r="B1405">
        <v>2023</v>
      </c>
      <c r="C1405" t="s">
        <v>26</v>
      </c>
      <c r="D1405" t="s">
        <v>45</v>
      </c>
      <c r="E1405" t="s">
        <v>93</v>
      </c>
      <c r="F1405" t="s">
        <v>174</v>
      </c>
      <c r="G1405" t="s">
        <v>248</v>
      </c>
      <c r="H1405" t="s">
        <v>345</v>
      </c>
      <c r="I1405" t="s">
        <v>429</v>
      </c>
      <c r="K1405" t="s">
        <v>466</v>
      </c>
      <c r="L1405" t="s">
        <v>469</v>
      </c>
      <c r="M1405" t="s">
        <v>472</v>
      </c>
      <c r="N1405" t="s">
        <v>691</v>
      </c>
      <c r="O1405" t="s">
        <v>911</v>
      </c>
      <c r="P1405" s="1">
        <f>HYPERLINK("https://ec.europa.eu/info/funding-tenders/opportunities/portal/screen/opportunities/topic-details/horizon-hlth-2023-envhlth-02-04", "HORIZON-HLTH-2023-ENVHLTH-02-04")</f>
        <v>0</v>
      </c>
      <c r="Q1405" t="s">
        <v>2338</v>
      </c>
    </row>
    <row r="1406" spans="1:17">
      <c r="A1406">
        <v>45701590</v>
      </c>
      <c r="B1406">
        <v>2023</v>
      </c>
      <c r="C1406" t="s">
        <v>26</v>
      </c>
      <c r="D1406" t="s">
        <v>45</v>
      </c>
      <c r="E1406" t="s">
        <v>92</v>
      </c>
      <c r="F1406" t="s">
        <v>191</v>
      </c>
      <c r="G1406" t="s">
        <v>248</v>
      </c>
      <c r="H1406" t="s">
        <v>345</v>
      </c>
      <c r="I1406" t="s">
        <v>429</v>
      </c>
      <c r="K1406" t="s">
        <v>466</v>
      </c>
      <c r="L1406" t="s">
        <v>469</v>
      </c>
      <c r="M1406" t="s">
        <v>472</v>
      </c>
      <c r="N1406" t="s">
        <v>692</v>
      </c>
      <c r="O1406" t="s">
        <v>912</v>
      </c>
      <c r="P1406" s="1">
        <f>HYPERLINK("https://ec.europa.eu/info/funding-tenders/opportunities/portal/screen/opportunities/topic-details/horizon-hlth-2023-ind-06-01", "HORIZON-HLTH-2023-IND-06-01")</f>
        <v>0</v>
      </c>
      <c r="Q1406" t="s">
        <v>2339</v>
      </c>
    </row>
    <row r="1407" spans="1:17">
      <c r="A1407">
        <v>45700979</v>
      </c>
      <c r="B1407">
        <v>2023</v>
      </c>
      <c r="C1407" t="s">
        <v>26</v>
      </c>
      <c r="D1407" t="s">
        <v>45</v>
      </c>
      <c r="E1407" t="s">
        <v>92</v>
      </c>
      <c r="F1407" t="s">
        <v>191</v>
      </c>
      <c r="G1407" t="s">
        <v>248</v>
      </c>
      <c r="H1407" t="s">
        <v>345</v>
      </c>
      <c r="I1407" t="s">
        <v>429</v>
      </c>
      <c r="K1407" t="s">
        <v>466</v>
      </c>
      <c r="L1407" t="s">
        <v>469</v>
      </c>
      <c r="M1407" t="s">
        <v>471</v>
      </c>
      <c r="N1407" t="s">
        <v>692</v>
      </c>
      <c r="O1407" t="s">
        <v>912</v>
      </c>
      <c r="P1407" s="1">
        <f>HYPERLINK("https://ec.europa.eu/info/funding-tenders/opportunities/portal/screen/opportunities/topic-details/horizon-hlth-2023-ind-06-02", "HORIZON-HLTH-2023-IND-06-02")</f>
        <v>0</v>
      </c>
      <c r="Q1407" t="s">
        <v>2340</v>
      </c>
    </row>
    <row r="1408" spans="1:17">
      <c r="A1408">
        <v>45701522</v>
      </c>
      <c r="B1408">
        <v>2023</v>
      </c>
      <c r="C1408" t="s">
        <v>26</v>
      </c>
      <c r="D1408" t="s">
        <v>45</v>
      </c>
      <c r="E1408" t="s">
        <v>92</v>
      </c>
      <c r="F1408" t="s">
        <v>191</v>
      </c>
      <c r="G1408" t="s">
        <v>248</v>
      </c>
      <c r="H1408" t="s">
        <v>345</v>
      </c>
      <c r="I1408" t="s">
        <v>429</v>
      </c>
      <c r="K1408" t="s">
        <v>466</v>
      </c>
      <c r="L1408" t="s">
        <v>469</v>
      </c>
      <c r="M1408" t="s">
        <v>471</v>
      </c>
      <c r="N1408" t="s">
        <v>692</v>
      </c>
      <c r="O1408" t="s">
        <v>912</v>
      </c>
      <c r="P1408" s="1">
        <f>HYPERLINK("https://ec.europa.eu/info/funding-tenders/opportunities/portal/screen/opportunities/topic-details/horizon-hlth-2023-ind-06-04", "HORIZON-HLTH-2023-IND-06-04")</f>
        <v>0</v>
      </c>
      <c r="Q1408" t="s">
        <v>2341</v>
      </c>
    </row>
    <row r="1409" spans="1:17">
      <c r="A1409">
        <v>45700333</v>
      </c>
      <c r="B1409">
        <v>2023</v>
      </c>
      <c r="C1409" t="s">
        <v>26</v>
      </c>
      <c r="D1409" t="s">
        <v>45</v>
      </c>
      <c r="E1409" t="s">
        <v>92</v>
      </c>
      <c r="F1409" t="s">
        <v>191</v>
      </c>
      <c r="G1409" t="s">
        <v>248</v>
      </c>
      <c r="H1409" t="s">
        <v>345</v>
      </c>
      <c r="I1409" t="s">
        <v>429</v>
      </c>
      <c r="K1409" t="s">
        <v>466</v>
      </c>
      <c r="L1409" t="s">
        <v>469</v>
      </c>
      <c r="M1409" t="s">
        <v>472</v>
      </c>
      <c r="N1409" t="s">
        <v>692</v>
      </c>
      <c r="O1409" t="s">
        <v>912</v>
      </c>
      <c r="P1409" s="1">
        <f>HYPERLINK("https://ec.europa.eu/info/funding-tenders/opportunities/portal/screen/opportunities/topic-details/horizon-hlth-2023-ind-06-05", "HORIZON-HLTH-2023-IND-06-05")</f>
        <v>0</v>
      </c>
      <c r="Q1409" t="s">
        <v>2342</v>
      </c>
    </row>
    <row r="1410" spans="1:17">
      <c r="A1410">
        <v>45701556</v>
      </c>
      <c r="B1410">
        <v>2023</v>
      </c>
      <c r="C1410" t="s">
        <v>26</v>
      </c>
      <c r="D1410" t="s">
        <v>45</v>
      </c>
      <c r="E1410" t="s">
        <v>92</v>
      </c>
      <c r="F1410" t="s">
        <v>191</v>
      </c>
      <c r="G1410" t="s">
        <v>248</v>
      </c>
      <c r="H1410" t="s">
        <v>345</v>
      </c>
      <c r="I1410" t="s">
        <v>429</v>
      </c>
      <c r="K1410" t="s">
        <v>466</v>
      </c>
      <c r="L1410" t="s">
        <v>469</v>
      </c>
      <c r="M1410" t="s">
        <v>471</v>
      </c>
      <c r="N1410" t="s">
        <v>692</v>
      </c>
      <c r="O1410" t="s">
        <v>912</v>
      </c>
      <c r="P1410" s="1">
        <f>HYPERLINK("https://ec.europa.eu/info/funding-tenders/opportunities/portal/screen/opportunities/topic-details/horizon-hlth-2023-ind-06-07", "HORIZON-HLTH-2023-IND-06-07")</f>
        <v>0</v>
      </c>
      <c r="Q1410" t="s">
        <v>2343</v>
      </c>
    </row>
    <row r="1411" spans="1:17">
      <c r="A1411">
        <v>45700702</v>
      </c>
      <c r="B1411">
        <v>2023</v>
      </c>
      <c r="C1411" t="s">
        <v>26</v>
      </c>
      <c r="D1411" t="s">
        <v>45</v>
      </c>
      <c r="E1411" t="s">
        <v>92</v>
      </c>
      <c r="F1411" t="s">
        <v>177</v>
      </c>
      <c r="G1411" t="s">
        <v>248</v>
      </c>
      <c r="H1411" t="s">
        <v>345</v>
      </c>
      <c r="I1411" t="s">
        <v>429</v>
      </c>
      <c r="K1411" t="s">
        <v>466</v>
      </c>
      <c r="L1411" t="s">
        <v>469</v>
      </c>
      <c r="M1411" t="s">
        <v>471</v>
      </c>
      <c r="N1411" t="s">
        <v>693</v>
      </c>
      <c r="O1411" t="s">
        <v>913</v>
      </c>
      <c r="P1411" s="1">
        <f>HYPERLINK("https://ec.europa.eu/info/funding-tenders/opportunities/portal/screen/opportunities/topic-details/horizon-hlth-2023-stayhlth-01-01", "HORIZON-HLTH-2023-STAYHLTH-01-01")</f>
        <v>0</v>
      </c>
      <c r="Q1411" t="s">
        <v>2344</v>
      </c>
    </row>
    <row r="1412" spans="1:17">
      <c r="A1412">
        <v>45701864</v>
      </c>
      <c r="B1412">
        <v>2023</v>
      </c>
      <c r="C1412" t="s">
        <v>26</v>
      </c>
      <c r="D1412" t="s">
        <v>45</v>
      </c>
      <c r="E1412" t="s">
        <v>92</v>
      </c>
      <c r="F1412" t="s">
        <v>192</v>
      </c>
      <c r="G1412" t="s">
        <v>248</v>
      </c>
      <c r="H1412" t="s">
        <v>345</v>
      </c>
      <c r="I1412" t="s">
        <v>429</v>
      </c>
      <c r="K1412" t="s">
        <v>466</v>
      </c>
      <c r="L1412" t="s">
        <v>469</v>
      </c>
      <c r="M1412" t="s">
        <v>471</v>
      </c>
      <c r="N1412" t="s">
        <v>694</v>
      </c>
      <c r="O1412" t="s">
        <v>914</v>
      </c>
      <c r="P1412" s="1">
        <f>HYPERLINK("https://ec.europa.eu/info/funding-tenders/opportunities/portal/screen/opportunities/topic-details/horizon-hlth-2023-tool-05-01", "HORIZON-HLTH-2023-TOOL-05-01")</f>
        <v>0</v>
      </c>
      <c r="Q1412" t="s">
        <v>2345</v>
      </c>
    </row>
    <row r="1413" spans="1:17">
      <c r="A1413">
        <v>45701762</v>
      </c>
      <c r="B1413">
        <v>2023</v>
      </c>
      <c r="C1413" t="s">
        <v>26</v>
      </c>
      <c r="D1413" t="s">
        <v>45</v>
      </c>
      <c r="E1413" t="s">
        <v>92</v>
      </c>
      <c r="F1413" t="s">
        <v>192</v>
      </c>
      <c r="G1413" t="s">
        <v>248</v>
      </c>
      <c r="H1413" t="s">
        <v>345</v>
      </c>
      <c r="I1413" t="s">
        <v>429</v>
      </c>
      <c r="K1413" t="s">
        <v>466</v>
      </c>
      <c r="L1413" t="s">
        <v>469</v>
      </c>
      <c r="M1413" t="s">
        <v>471</v>
      </c>
      <c r="N1413" t="s">
        <v>694</v>
      </c>
      <c r="O1413" t="s">
        <v>914</v>
      </c>
      <c r="P1413" s="1">
        <f>HYPERLINK("https://ec.europa.eu/info/funding-tenders/opportunities/portal/screen/opportunities/topic-details/horizon-hlth-2023-tool-05-03", "HORIZON-HLTH-2023-TOOL-05-03")</f>
        <v>0</v>
      </c>
      <c r="Q1413" t="s">
        <v>2346</v>
      </c>
    </row>
    <row r="1414" spans="1:17">
      <c r="A1414">
        <v>45701787</v>
      </c>
      <c r="B1414">
        <v>2023</v>
      </c>
      <c r="C1414" t="s">
        <v>26</v>
      </c>
      <c r="D1414" t="s">
        <v>45</v>
      </c>
      <c r="E1414" t="s">
        <v>92</v>
      </c>
      <c r="F1414" t="s">
        <v>192</v>
      </c>
      <c r="G1414" t="s">
        <v>248</v>
      </c>
      <c r="H1414" t="s">
        <v>345</v>
      </c>
      <c r="I1414" t="s">
        <v>429</v>
      </c>
      <c r="K1414" t="s">
        <v>466</v>
      </c>
      <c r="L1414" t="s">
        <v>469</v>
      </c>
      <c r="M1414" t="s">
        <v>471</v>
      </c>
      <c r="N1414" t="s">
        <v>694</v>
      </c>
      <c r="O1414" t="s">
        <v>914</v>
      </c>
      <c r="P1414" s="1">
        <f>HYPERLINK("https://ec.europa.eu/info/funding-tenders/opportunities/portal/screen/opportunities/topic-details/horizon-hlth-2023-tool-05-04", "HORIZON-HLTH-2023-TOOL-05-04")</f>
        <v>0</v>
      </c>
      <c r="Q1414" t="s">
        <v>2347</v>
      </c>
    </row>
    <row r="1415" spans="1:17">
      <c r="A1415">
        <v>45700302</v>
      </c>
      <c r="B1415">
        <v>2023</v>
      </c>
      <c r="C1415" t="s">
        <v>26</v>
      </c>
      <c r="D1415" t="s">
        <v>45</v>
      </c>
      <c r="E1415" t="s">
        <v>92</v>
      </c>
      <c r="F1415" t="s">
        <v>192</v>
      </c>
      <c r="G1415" t="s">
        <v>248</v>
      </c>
      <c r="H1415" t="s">
        <v>345</v>
      </c>
      <c r="I1415" t="s">
        <v>429</v>
      </c>
      <c r="K1415" t="s">
        <v>466</v>
      </c>
      <c r="L1415" t="s">
        <v>469</v>
      </c>
      <c r="M1415" t="s">
        <v>473</v>
      </c>
      <c r="N1415" t="s">
        <v>694</v>
      </c>
      <c r="O1415" t="s">
        <v>914</v>
      </c>
      <c r="P1415" s="1">
        <f>HYPERLINK("https://ec.europa.eu/info/funding-tenders/opportunities/portal/screen/opportunities/topic-details/horizon-hlth-2023-tool-05-05", "HORIZON-HLTH-2023-TOOL-05-05")</f>
        <v>0</v>
      </c>
      <c r="Q1415" t="s">
        <v>2348</v>
      </c>
    </row>
    <row r="1416" spans="1:17">
      <c r="A1416">
        <v>45700944</v>
      </c>
      <c r="B1416">
        <v>2023</v>
      </c>
      <c r="C1416" t="s">
        <v>26</v>
      </c>
      <c r="D1416" t="s">
        <v>45</v>
      </c>
      <c r="E1416" t="s">
        <v>92</v>
      </c>
      <c r="F1416" t="s">
        <v>192</v>
      </c>
      <c r="G1416" t="s">
        <v>248</v>
      </c>
      <c r="H1416" t="s">
        <v>345</v>
      </c>
      <c r="I1416" t="s">
        <v>429</v>
      </c>
      <c r="K1416" t="s">
        <v>466</v>
      </c>
      <c r="L1416" t="s">
        <v>469</v>
      </c>
      <c r="M1416" t="s">
        <v>473</v>
      </c>
      <c r="N1416" t="s">
        <v>694</v>
      </c>
      <c r="O1416" t="s">
        <v>914</v>
      </c>
      <c r="P1416" s="1">
        <f>HYPERLINK("https://ec.europa.eu/info/funding-tenders/opportunities/portal/screen/opportunities/topic-details/horizon-hlth-2023-tool-05-08", "HORIZON-HLTH-2023-TOOL-05-08")</f>
        <v>0</v>
      </c>
      <c r="Q1416" t="s">
        <v>2349</v>
      </c>
    </row>
    <row r="1417" spans="1:17">
      <c r="A1417">
        <v>45700493</v>
      </c>
      <c r="B1417">
        <v>2023</v>
      </c>
      <c r="C1417" t="s">
        <v>26</v>
      </c>
      <c r="D1417" t="s">
        <v>45</v>
      </c>
      <c r="E1417" t="s">
        <v>92</v>
      </c>
      <c r="F1417" t="s">
        <v>192</v>
      </c>
      <c r="G1417" t="s">
        <v>248</v>
      </c>
      <c r="H1417" t="s">
        <v>345</v>
      </c>
      <c r="I1417" t="s">
        <v>429</v>
      </c>
      <c r="K1417" t="s">
        <v>466</v>
      </c>
      <c r="L1417" t="s">
        <v>469</v>
      </c>
      <c r="M1417" t="s">
        <v>472</v>
      </c>
      <c r="N1417" t="s">
        <v>694</v>
      </c>
      <c r="O1417" t="s">
        <v>914</v>
      </c>
      <c r="P1417" s="1">
        <f>HYPERLINK("https://ec.europa.eu/info/funding-tenders/opportunities/portal/screen/opportunities/topic-details/horizon-hlth-2023-tool-05-09", "HORIZON-HLTH-2023-TOOL-05-09")</f>
        <v>0</v>
      </c>
      <c r="Q1417" t="s">
        <v>2350</v>
      </c>
    </row>
    <row r="1418" spans="1:17">
      <c r="A1418">
        <v>45701475</v>
      </c>
      <c r="B1418">
        <v>2024</v>
      </c>
      <c r="C1418" t="s">
        <v>26</v>
      </c>
      <c r="D1418" t="s">
        <v>45</v>
      </c>
      <c r="E1418" t="s">
        <v>89</v>
      </c>
      <c r="F1418" t="s">
        <v>193</v>
      </c>
      <c r="G1418" t="s">
        <v>248</v>
      </c>
      <c r="H1418" t="s">
        <v>346</v>
      </c>
      <c r="I1418" t="s">
        <v>314</v>
      </c>
      <c r="J1418" t="s">
        <v>278</v>
      </c>
      <c r="K1418" t="s">
        <v>466</v>
      </c>
      <c r="L1418" t="s">
        <v>470</v>
      </c>
      <c r="M1418" t="s">
        <v>471</v>
      </c>
      <c r="N1418" t="s">
        <v>695</v>
      </c>
      <c r="O1418" t="s">
        <v>915</v>
      </c>
      <c r="P1418" s="1">
        <f>HYPERLINK("https://ec.europa.eu/info/funding-tenders/opportunities/portal/screen/opportunities/topic-details/horizon-hlth-2024-care-04-04-two-stage", "HORIZON-HLTH-2024-CARE-04-04-two-stage")</f>
        <v>0</v>
      </c>
      <c r="Q1418" t="s">
        <v>2351</v>
      </c>
    </row>
    <row r="1419" spans="1:17">
      <c r="A1419">
        <v>46951346</v>
      </c>
      <c r="B1419">
        <v>2024</v>
      </c>
      <c r="C1419" t="s">
        <v>26</v>
      </c>
      <c r="D1419" t="s">
        <v>45</v>
      </c>
      <c r="E1419" t="s">
        <v>89</v>
      </c>
      <c r="F1419" t="s">
        <v>194</v>
      </c>
      <c r="G1419" t="s">
        <v>249</v>
      </c>
      <c r="H1419" t="s">
        <v>347</v>
      </c>
      <c r="I1419" t="s">
        <v>430</v>
      </c>
      <c r="K1419" t="s">
        <v>467</v>
      </c>
      <c r="L1419" t="s">
        <v>469</v>
      </c>
      <c r="M1419" t="s">
        <v>474</v>
      </c>
      <c r="N1419" t="s">
        <v>696</v>
      </c>
      <c r="O1419" t="s">
        <v>916</v>
      </c>
      <c r="P1419" s="1">
        <f>HYPERLINK("https://ec.europa.eu/info/funding-tenders/opportunities/portal/screen/opportunities/topic-details/horizon-hlth-2024-care-14-01", "HORIZON-HLTH-2024-CARE-14-01")</f>
        <v>0</v>
      </c>
      <c r="Q1419" t="s">
        <v>2352</v>
      </c>
    </row>
    <row r="1420" spans="1:17">
      <c r="A1420">
        <v>45700426</v>
      </c>
      <c r="B1420">
        <v>2024</v>
      </c>
      <c r="C1420" t="s">
        <v>26</v>
      </c>
      <c r="D1420" t="s">
        <v>45</v>
      </c>
      <c r="E1420" t="s">
        <v>91</v>
      </c>
      <c r="F1420" t="s">
        <v>195</v>
      </c>
      <c r="G1420" t="s">
        <v>248</v>
      </c>
      <c r="H1420" t="s">
        <v>277</v>
      </c>
      <c r="I1420" t="s">
        <v>314</v>
      </c>
      <c r="J1420" t="s">
        <v>278</v>
      </c>
      <c r="K1420" t="s">
        <v>466</v>
      </c>
      <c r="L1420" t="s">
        <v>470</v>
      </c>
      <c r="M1420" t="s">
        <v>471</v>
      </c>
      <c r="N1420" t="s">
        <v>697</v>
      </c>
      <c r="O1420" t="s">
        <v>917</v>
      </c>
      <c r="P1420" s="1">
        <f>HYPERLINK("https://ec.europa.eu/info/funding-tenders/opportunities/portal/screen/opportunities/topic-details/horizon-hlth-2024-disease-03-08-two-stage", "HORIZON-HLTH-2024-DISEASE-03-08-two-stage")</f>
        <v>0</v>
      </c>
      <c r="Q1420" t="s">
        <v>2353</v>
      </c>
    </row>
    <row r="1421" spans="1:17">
      <c r="A1421">
        <v>45700238</v>
      </c>
      <c r="B1421">
        <v>2024</v>
      </c>
      <c r="C1421" t="s">
        <v>26</v>
      </c>
      <c r="D1421" t="s">
        <v>45</v>
      </c>
      <c r="E1421" t="s">
        <v>90</v>
      </c>
      <c r="F1421" t="s">
        <v>195</v>
      </c>
      <c r="G1421" t="s">
        <v>248</v>
      </c>
      <c r="H1421" t="s">
        <v>277</v>
      </c>
      <c r="I1421" t="s">
        <v>314</v>
      </c>
      <c r="J1421" t="s">
        <v>278</v>
      </c>
      <c r="K1421" t="s">
        <v>466</v>
      </c>
      <c r="L1421" t="s">
        <v>470</v>
      </c>
      <c r="M1421" t="s">
        <v>471</v>
      </c>
      <c r="N1421" t="s">
        <v>697</v>
      </c>
      <c r="O1421" t="s">
        <v>917</v>
      </c>
      <c r="P1421" s="1">
        <f>HYPERLINK("https://ec.europa.eu/info/funding-tenders/opportunities/portal/screen/opportunities/topic-details/horizon-hlth-2024-disease-03-11-two-stage", "HORIZON-HLTH-2024-DISEASE-03-11-two-stage")</f>
        <v>0</v>
      </c>
      <c r="Q1421" t="s">
        <v>2354</v>
      </c>
    </row>
    <row r="1422" spans="1:17">
      <c r="A1422">
        <v>45701654</v>
      </c>
      <c r="B1422">
        <v>2024</v>
      </c>
      <c r="C1422" t="s">
        <v>26</v>
      </c>
      <c r="D1422" t="s">
        <v>45</v>
      </c>
      <c r="E1422" t="s">
        <v>91</v>
      </c>
      <c r="F1422" t="s">
        <v>195</v>
      </c>
      <c r="G1422" t="s">
        <v>248</v>
      </c>
      <c r="H1422" t="s">
        <v>277</v>
      </c>
      <c r="I1422" t="s">
        <v>314</v>
      </c>
      <c r="J1422" t="s">
        <v>278</v>
      </c>
      <c r="K1422" t="s">
        <v>466</v>
      </c>
      <c r="L1422" t="s">
        <v>470</v>
      </c>
      <c r="M1422" t="s">
        <v>471</v>
      </c>
      <c r="N1422" t="s">
        <v>697</v>
      </c>
      <c r="O1422" t="s">
        <v>917</v>
      </c>
      <c r="P1422" s="1">
        <f>HYPERLINK("https://ec.europa.eu/info/funding-tenders/opportunities/portal/screen/opportunities/topic-details/horizon-hlth-2024-disease-03-13-two-stage", "HORIZON-HLTH-2024-DISEASE-03-13-two-stage")</f>
        <v>0</v>
      </c>
      <c r="Q1422" t="s">
        <v>2355</v>
      </c>
    </row>
    <row r="1423" spans="1:17">
      <c r="A1423">
        <v>45701683</v>
      </c>
      <c r="B1423">
        <v>2024</v>
      </c>
      <c r="C1423" t="s">
        <v>26</v>
      </c>
      <c r="D1423" t="s">
        <v>45</v>
      </c>
      <c r="E1423" t="s">
        <v>91</v>
      </c>
      <c r="F1423" t="s">
        <v>195</v>
      </c>
      <c r="G1423" t="s">
        <v>248</v>
      </c>
      <c r="H1423" t="s">
        <v>277</v>
      </c>
      <c r="I1423" t="s">
        <v>314</v>
      </c>
      <c r="J1423" t="s">
        <v>278</v>
      </c>
      <c r="K1423" t="s">
        <v>466</v>
      </c>
      <c r="L1423" t="s">
        <v>470</v>
      </c>
      <c r="M1423" t="s">
        <v>471</v>
      </c>
      <c r="N1423" t="s">
        <v>697</v>
      </c>
      <c r="O1423" t="s">
        <v>917</v>
      </c>
      <c r="P1423" s="1">
        <f>HYPERLINK("https://ec.europa.eu/info/funding-tenders/opportunities/portal/screen/opportunities/topic-details/horizon-hlth-2024-disease-03-14-two-stage", "HORIZON-HLTH-2024-DISEASE-03-14-two-stage")</f>
        <v>0</v>
      </c>
      <c r="Q1423" t="s">
        <v>2356</v>
      </c>
    </row>
    <row r="1424" spans="1:17">
      <c r="A1424">
        <v>45701712</v>
      </c>
      <c r="B1424">
        <v>2024</v>
      </c>
      <c r="C1424" t="s">
        <v>26</v>
      </c>
      <c r="D1424" t="s">
        <v>45</v>
      </c>
      <c r="E1424" t="s">
        <v>90</v>
      </c>
      <c r="F1424" t="s">
        <v>196</v>
      </c>
      <c r="G1424" t="s">
        <v>248</v>
      </c>
      <c r="H1424" t="s">
        <v>340</v>
      </c>
      <c r="I1424" t="s">
        <v>278</v>
      </c>
      <c r="K1424" t="s">
        <v>466</v>
      </c>
      <c r="L1424" t="s">
        <v>469</v>
      </c>
      <c r="M1424" t="s">
        <v>472</v>
      </c>
      <c r="N1424" t="s">
        <v>698</v>
      </c>
      <c r="O1424" t="s">
        <v>918</v>
      </c>
      <c r="P1424" s="1">
        <f>HYPERLINK("https://ec.europa.eu/info/funding-tenders/opportunities/portal/screen/opportunities/topic-details/horizon-hlth-2024-disease-08-12", "HORIZON-HLTH-2024-DISEASE-08-12")</f>
        <v>0</v>
      </c>
      <c r="Q1424" t="s">
        <v>2357</v>
      </c>
    </row>
    <row r="1425" spans="1:17">
      <c r="A1425">
        <v>45701315</v>
      </c>
      <c r="B1425">
        <v>2024</v>
      </c>
      <c r="C1425" t="s">
        <v>26</v>
      </c>
      <c r="D1425" t="s">
        <v>45</v>
      </c>
      <c r="E1425" t="s">
        <v>92</v>
      </c>
      <c r="F1425" t="s">
        <v>196</v>
      </c>
      <c r="G1425" t="s">
        <v>248</v>
      </c>
      <c r="H1425" t="s">
        <v>340</v>
      </c>
      <c r="I1425" t="s">
        <v>278</v>
      </c>
      <c r="K1425" t="s">
        <v>466</v>
      </c>
      <c r="L1425" t="s">
        <v>469</v>
      </c>
      <c r="M1425" t="s">
        <v>471</v>
      </c>
      <c r="N1425" t="s">
        <v>698</v>
      </c>
      <c r="O1425" t="s">
        <v>918</v>
      </c>
      <c r="P1425" s="1">
        <f>HYPERLINK("https://ec.europa.eu/info/funding-tenders/opportunities/portal/screen/opportunities/topic-details/horizon-hlth-2024-disease-08-20", "HORIZON-HLTH-2024-DISEASE-08-20")</f>
        <v>0</v>
      </c>
      <c r="Q1425" t="s">
        <v>2358</v>
      </c>
    </row>
    <row r="1426" spans="1:17">
      <c r="A1426">
        <v>45700455</v>
      </c>
      <c r="B1426">
        <v>2024</v>
      </c>
      <c r="C1426" t="s">
        <v>26</v>
      </c>
      <c r="D1426" t="s">
        <v>45</v>
      </c>
      <c r="E1426" t="s">
        <v>90</v>
      </c>
      <c r="F1426" t="s">
        <v>197</v>
      </c>
      <c r="G1426" t="s">
        <v>248</v>
      </c>
      <c r="H1426" t="s">
        <v>347</v>
      </c>
      <c r="I1426" t="s">
        <v>431</v>
      </c>
      <c r="K1426" t="s">
        <v>467</v>
      </c>
      <c r="L1426" t="s">
        <v>469</v>
      </c>
      <c r="M1426" t="s">
        <v>476</v>
      </c>
      <c r="N1426" t="s">
        <v>699</v>
      </c>
      <c r="O1426" t="s">
        <v>919</v>
      </c>
      <c r="P1426" s="1">
        <f>HYPERLINK("https://ec.europa.eu/info/funding-tenders/opportunities/portal/screen/opportunities/topic-details/horizon-hlth-2024-disease-09-01", "HORIZON-HLTH-2024-DISEASE-09-01")</f>
        <v>0</v>
      </c>
      <c r="Q1426" t="s">
        <v>2359</v>
      </c>
    </row>
    <row r="1427" spans="1:17">
      <c r="A1427">
        <v>46951085</v>
      </c>
      <c r="B1427">
        <v>2024</v>
      </c>
      <c r="C1427" t="s">
        <v>26</v>
      </c>
      <c r="D1427" t="s">
        <v>45</v>
      </c>
      <c r="E1427" t="s">
        <v>92</v>
      </c>
      <c r="F1427" t="s">
        <v>198</v>
      </c>
      <c r="G1427" t="s">
        <v>249</v>
      </c>
      <c r="H1427" t="s">
        <v>347</v>
      </c>
      <c r="I1427" t="s">
        <v>430</v>
      </c>
      <c r="K1427" t="s">
        <v>467</v>
      </c>
      <c r="L1427" t="s">
        <v>469</v>
      </c>
      <c r="M1427" t="s">
        <v>476</v>
      </c>
      <c r="N1427" t="s">
        <v>700</v>
      </c>
      <c r="O1427" t="s">
        <v>919</v>
      </c>
      <c r="P1427" s="1">
        <f>HYPERLINK("https://ec.europa.eu/info/funding-tenders/opportunities/portal/screen/opportunities/topic-details/horizon-hlth-2024-disease-12-01", "HORIZON-HLTH-2024-DISEASE-12-01")</f>
        <v>0</v>
      </c>
      <c r="Q1427" t="s">
        <v>2360</v>
      </c>
    </row>
    <row r="1428" spans="1:17">
      <c r="A1428">
        <v>46951192</v>
      </c>
      <c r="B1428">
        <v>2024</v>
      </c>
      <c r="C1428" t="s">
        <v>26</v>
      </c>
      <c r="D1428" t="s">
        <v>45</v>
      </c>
      <c r="E1428" t="s">
        <v>91</v>
      </c>
      <c r="F1428" t="s">
        <v>199</v>
      </c>
      <c r="G1428" t="s">
        <v>249</v>
      </c>
      <c r="H1428" t="s">
        <v>347</v>
      </c>
      <c r="I1428" t="s">
        <v>430</v>
      </c>
      <c r="K1428" t="s">
        <v>467</v>
      </c>
      <c r="L1428" t="s">
        <v>469</v>
      </c>
      <c r="M1428" t="s">
        <v>471</v>
      </c>
      <c r="N1428" t="s">
        <v>701</v>
      </c>
      <c r="O1428" t="s">
        <v>918</v>
      </c>
      <c r="P1428" s="1">
        <f>HYPERLINK("https://ec.europa.eu/info/funding-tenders/opportunities/portal/screen/opportunities/topic-details/horizon-hlth-2024-disease-13-01", "HORIZON-HLTH-2024-DISEASE-13-01")</f>
        <v>0</v>
      </c>
      <c r="Q1428" t="s">
        <v>2361</v>
      </c>
    </row>
    <row r="1429" spans="1:17">
      <c r="A1429">
        <v>46951248</v>
      </c>
      <c r="B1429">
        <v>2024</v>
      </c>
      <c r="C1429" t="s">
        <v>26</v>
      </c>
      <c r="D1429" t="s">
        <v>45</v>
      </c>
      <c r="E1429" t="s">
        <v>90</v>
      </c>
      <c r="F1429" t="s">
        <v>200</v>
      </c>
      <c r="G1429" t="s">
        <v>248</v>
      </c>
      <c r="H1429" t="s">
        <v>347</v>
      </c>
      <c r="I1429" t="s">
        <v>432</v>
      </c>
      <c r="K1429" t="s">
        <v>466</v>
      </c>
      <c r="L1429" t="s">
        <v>469</v>
      </c>
      <c r="M1429" t="s">
        <v>472</v>
      </c>
      <c r="N1429" t="s">
        <v>702</v>
      </c>
      <c r="O1429" t="s">
        <v>918</v>
      </c>
      <c r="P1429" s="1">
        <f>HYPERLINK("https://ec.europa.eu/info/funding-tenders/opportunities/portal/screen/opportunities/topic-details/horizon-hlth-2024-disease-17-01", "HORIZON-HLTH-2024-DISEASE-17-01")</f>
        <v>0</v>
      </c>
      <c r="Q1429" t="s">
        <v>2362</v>
      </c>
    </row>
    <row r="1430" spans="1:17">
      <c r="A1430">
        <v>45701157</v>
      </c>
      <c r="B1430">
        <v>2024</v>
      </c>
      <c r="C1430" t="s">
        <v>26</v>
      </c>
      <c r="D1430" t="s">
        <v>45</v>
      </c>
      <c r="E1430" t="s">
        <v>93</v>
      </c>
      <c r="F1430" t="s">
        <v>201</v>
      </c>
      <c r="G1430" t="s">
        <v>248</v>
      </c>
      <c r="H1430" t="s">
        <v>346</v>
      </c>
      <c r="I1430" t="s">
        <v>314</v>
      </c>
      <c r="J1430" t="s">
        <v>278</v>
      </c>
      <c r="K1430" t="s">
        <v>466</v>
      </c>
      <c r="L1430" t="s">
        <v>470</v>
      </c>
      <c r="M1430" t="s">
        <v>471</v>
      </c>
      <c r="N1430" t="s">
        <v>703</v>
      </c>
      <c r="O1430" t="s">
        <v>920</v>
      </c>
      <c r="P1430" s="1">
        <f>HYPERLINK("https://ec.europa.eu/info/funding-tenders/opportunities/portal/screen/opportunities/topic-details/horizon-hlth-2024-envhlth-02-06-two-stage", "HORIZON-HLTH-2024-ENVHLTH-02-06-two-stage")</f>
        <v>0</v>
      </c>
      <c r="Q1430" t="s">
        <v>2363</v>
      </c>
    </row>
    <row r="1431" spans="1:17">
      <c r="A1431">
        <v>45701813</v>
      </c>
      <c r="B1431">
        <v>2024</v>
      </c>
      <c r="C1431" t="s">
        <v>26</v>
      </c>
      <c r="D1431" t="s">
        <v>45</v>
      </c>
      <c r="E1431" t="s">
        <v>92</v>
      </c>
      <c r="F1431" t="s">
        <v>191</v>
      </c>
      <c r="G1431" t="s">
        <v>248</v>
      </c>
      <c r="H1431" t="s">
        <v>340</v>
      </c>
      <c r="I1431" t="s">
        <v>278</v>
      </c>
      <c r="K1431" t="s">
        <v>466</v>
      </c>
      <c r="L1431" t="s">
        <v>469</v>
      </c>
      <c r="M1431" t="s">
        <v>471</v>
      </c>
      <c r="N1431" t="s">
        <v>704</v>
      </c>
      <c r="O1431" t="s">
        <v>921</v>
      </c>
      <c r="P1431" s="1">
        <f>HYPERLINK("https://ec.europa.eu/info/funding-tenders/opportunities/portal/screen/opportunities/topic-details/horizon-hlth-2024-ind-06-08", "HORIZON-HLTH-2024-IND-06-08")</f>
        <v>0</v>
      </c>
      <c r="Q1431" t="s">
        <v>2364</v>
      </c>
    </row>
    <row r="1432" spans="1:17">
      <c r="A1432">
        <v>45701001</v>
      </c>
      <c r="B1432">
        <v>2024</v>
      </c>
      <c r="C1432" t="s">
        <v>26</v>
      </c>
      <c r="D1432" t="s">
        <v>45</v>
      </c>
      <c r="E1432" t="s">
        <v>92</v>
      </c>
      <c r="F1432" t="s">
        <v>191</v>
      </c>
      <c r="G1432" t="s">
        <v>248</v>
      </c>
      <c r="H1432" t="s">
        <v>340</v>
      </c>
      <c r="I1432" t="s">
        <v>278</v>
      </c>
      <c r="K1432" t="s">
        <v>466</v>
      </c>
      <c r="L1432" t="s">
        <v>469</v>
      </c>
      <c r="M1432" t="s">
        <v>472</v>
      </c>
      <c r="N1432" t="s">
        <v>704</v>
      </c>
      <c r="O1432" t="s">
        <v>921</v>
      </c>
      <c r="P1432" s="1">
        <f>HYPERLINK("https://ec.europa.eu/info/funding-tenders/opportunities/portal/screen/opportunities/topic-details/horizon-hlth-2024-ind-06-09", "HORIZON-HLTH-2024-IND-06-09")</f>
        <v>0</v>
      </c>
      <c r="Q1432" t="s">
        <v>2365</v>
      </c>
    </row>
    <row r="1433" spans="1:17">
      <c r="A1433">
        <v>45700776</v>
      </c>
      <c r="B1433">
        <v>2024</v>
      </c>
      <c r="C1433" t="s">
        <v>26</v>
      </c>
      <c r="D1433" t="s">
        <v>45</v>
      </c>
      <c r="E1433" t="s">
        <v>92</v>
      </c>
      <c r="F1433" t="s">
        <v>186</v>
      </c>
      <c r="G1433" t="s">
        <v>248</v>
      </c>
      <c r="H1433" t="s">
        <v>346</v>
      </c>
      <c r="I1433" t="s">
        <v>314</v>
      </c>
      <c r="J1433" t="s">
        <v>278</v>
      </c>
      <c r="K1433" t="s">
        <v>466</v>
      </c>
      <c r="L1433" t="s">
        <v>470</v>
      </c>
      <c r="M1433" t="s">
        <v>471</v>
      </c>
      <c r="N1433" t="s">
        <v>705</v>
      </c>
      <c r="O1433" t="s">
        <v>922</v>
      </c>
      <c r="P1433" s="1">
        <f>HYPERLINK("https://ec.europa.eu/info/funding-tenders/opportunities/portal/screen/opportunities/topic-details/horizon-hlth-2024-stayhlth-01-02-two-stage", "HORIZON-HLTH-2024-STAYHLTH-01-02-two-stage")</f>
        <v>0</v>
      </c>
      <c r="Q1433" t="s">
        <v>2366</v>
      </c>
    </row>
    <row r="1434" spans="1:17">
      <c r="A1434">
        <v>45700847</v>
      </c>
      <c r="B1434">
        <v>2024</v>
      </c>
      <c r="C1434" t="s">
        <v>26</v>
      </c>
      <c r="D1434" t="s">
        <v>45</v>
      </c>
      <c r="E1434" t="s">
        <v>89</v>
      </c>
      <c r="F1434" t="s">
        <v>186</v>
      </c>
      <c r="G1434" t="s">
        <v>248</v>
      </c>
      <c r="H1434" t="s">
        <v>346</v>
      </c>
      <c r="I1434" t="s">
        <v>314</v>
      </c>
      <c r="J1434" t="s">
        <v>278</v>
      </c>
      <c r="K1434" t="s">
        <v>466</v>
      </c>
      <c r="L1434" t="s">
        <v>470</v>
      </c>
      <c r="M1434" t="s">
        <v>471</v>
      </c>
      <c r="N1434" t="s">
        <v>705</v>
      </c>
      <c r="O1434" t="s">
        <v>922</v>
      </c>
      <c r="P1434" s="1">
        <f>HYPERLINK("https://ec.europa.eu/info/funding-tenders/opportunities/portal/screen/opportunities/topic-details/horizon-hlth-2024-stayhlth-01-05-two-stage", "HORIZON-HLTH-2024-STAYHLTH-01-05-two-stage")</f>
        <v>0</v>
      </c>
      <c r="Q1434" t="s">
        <v>2367</v>
      </c>
    </row>
    <row r="1435" spans="1:17">
      <c r="A1435">
        <v>45701927</v>
      </c>
      <c r="B1435">
        <v>2024</v>
      </c>
      <c r="C1435" t="s">
        <v>26</v>
      </c>
      <c r="D1435" t="s">
        <v>45</v>
      </c>
      <c r="E1435" t="s">
        <v>92</v>
      </c>
      <c r="F1435" t="s">
        <v>202</v>
      </c>
      <c r="G1435" t="s">
        <v>248</v>
      </c>
      <c r="H1435" t="s">
        <v>346</v>
      </c>
      <c r="I1435" t="s">
        <v>314</v>
      </c>
      <c r="J1435" t="s">
        <v>278</v>
      </c>
      <c r="K1435" t="s">
        <v>466</v>
      </c>
      <c r="L1435" t="s">
        <v>470</v>
      </c>
      <c r="M1435" t="s">
        <v>471</v>
      </c>
      <c r="N1435" t="s">
        <v>706</v>
      </c>
      <c r="O1435" t="s">
        <v>923</v>
      </c>
      <c r="P1435" s="1">
        <f>HYPERLINK("https://ec.europa.eu/info/funding-tenders/opportunities/portal/screen/opportunities/topic-details/horizon-hlth-2024-tool-05-06-two-stage", "HORIZON-HLTH-2024-TOOL-05-06-two-stage")</f>
        <v>0</v>
      </c>
      <c r="Q1435" t="s">
        <v>2368</v>
      </c>
    </row>
    <row r="1436" spans="1:17">
      <c r="A1436">
        <v>45700274</v>
      </c>
      <c r="B1436">
        <v>2024</v>
      </c>
      <c r="C1436" t="s">
        <v>26</v>
      </c>
      <c r="D1436" t="s">
        <v>45</v>
      </c>
      <c r="E1436" t="s">
        <v>92</v>
      </c>
      <c r="F1436" t="s">
        <v>188</v>
      </c>
      <c r="G1436" t="s">
        <v>248</v>
      </c>
      <c r="H1436" t="s">
        <v>340</v>
      </c>
      <c r="I1436" t="s">
        <v>278</v>
      </c>
      <c r="K1436" t="s">
        <v>466</v>
      </c>
      <c r="L1436" t="s">
        <v>469</v>
      </c>
      <c r="M1436" t="s">
        <v>471</v>
      </c>
      <c r="N1436" t="s">
        <v>707</v>
      </c>
      <c r="O1436" t="s">
        <v>924</v>
      </c>
      <c r="P1436" s="1">
        <f>HYPERLINK("https://ec.europa.eu/info/funding-tenders/opportunities/portal/screen/opportunities/topic-details/horizon-hlth-2024-tool-11-02", "HORIZON-HLTH-2024-TOOL-11-02")</f>
        <v>0</v>
      </c>
      <c r="Q1436" t="s">
        <v>2369</v>
      </c>
    </row>
    <row r="1437" spans="1:17">
      <c r="A1437">
        <v>44950153</v>
      </c>
      <c r="B1437">
        <v>2022</v>
      </c>
      <c r="C1437" t="s">
        <v>27</v>
      </c>
      <c r="D1437" t="s">
        <v>46</v>
      </c>
      <c r="E1437" t="s">
        <v>77</v>
      </c>
      <c r="F1437" t="s">
        <v>203</v>
      </c>
      <c r="G1437" t="s">
        <v>273</v>
      </c>
      <c r="H1437" t="s">
        <v>348</v>
      </c>
      <c r="I1437" t="s">
        <v>433</v>
      </c>
      <c r="K1437" t="s">
        <v>466</v>
      </c>
      <c r="L1437" t="s">
        <v>469</v>
      </c>
      <c r="M1437" t="s">
        <v>477</v>
      </c>
      <c r="N1437" t="s">
        <v>708</v>
      </c>
      <c r="O1437" t="s">
        <v>925</v>
      </c>
      <c r="P1437" s="1">
        <f>HYPERLINK("https://ec.europa.eu/info/funding-tenders/opportunities/portal/screen/opportunities/topic-details/horizon-jti-cleanh2-2022-01-01", "HORIZON-JTI-CLEANH2-2022-01-01")</f>
        <v>0</v>
      </c>
      <c r="Q1437" t="s">
        <v>2370</v>
      </c>
    </row>
    <row r="1438" spans="1:17">
      <c r="A1438">
        <v>44950217</v>
      </c>
      <c r="B1438">
        <v>2022</v>
      </c>
      <c r="C1438" t="s">
        <v>27</v>
      </c>
      <c r="D1438" t="s">
        <v>46</v>
      </c>
      <c r="E1438" t="s">
        <v>77</v>
      </c>
      <c r="F1438" t="s">
        <v>203</v>
      </c>
      <c r="G1438" t="s">
        <v>273</v>
      </c>
      <c r="H1438" t="s">
        <v>348</v>
      </c>
      <c r="I1438" t="s">
        <v>433</v>
      </c>
      <c r="K1438" t="s">
        <v>466</v>
      </c>
      <c r="L1438" t="s">
        <v>469</v>
      </c>
      <c r="M1438" t="s">
        <v>477</v>
      </c>
      <c r="N1438" t="s">
        <v>708</v>
      </c>
      <c r="O1438" t="s">
        <v>925</v>
      </c>
      <c r="P1438" s="1">
        <f>HYPERLINK("https://ec.europa.eu/info/funding-tenders/opportunities/portal/screen/opportunities/topic-details/horizon-jti-cleanh2-2022-01-02", "HORIZON-JTI-CLEANH2-2022-01-02")</f>
        <v>0</v>
      </c>
      <c r="Q1438" t="s">
        <v>2371</v>
      </c>
    </row>
    <row r="1439" spans="1:17">
      <c r="A1439">
        <v>44950232</v>
      </c>
      <c r="B1439">
        <v>2022</v>
      </c>
      <c r="C1439" t="s">
        <v>27</v>
      </c>
      <c r="D1439" t="s">
        <v>46</v>
      </c>
      <c r="E1439" t="s">
        <v>77</v>
      </c>
      <c r="F1439" t="s">
        <v>203</v>
      </c>
      <c r="G1439" t="s">
        <v>273</v>
      </c>
      <c r="H1439" t="s">
        <v>348</v>
      </c>
      <c r="I1439" t="s">
        <v>433</v>
      </c>
      <c r="K1439" t="s">
        <v>466</v>
      </c>
      <c r="L1439" t="s">
        <v>469</v>
      </c>
      <c r="M1439" t="s">
        <v>477</v>
      </c>
      <c r="N1439" t="s">
        <v>708</v>
      </c>
      <c r="O1439" t="s">
        <v>925</v>
      </c>
      <c r="P1439" s="1">
        <f>HYPERLINK("https://ec.europa.eu/info/funding-tenders/opportunities/portal/screen/opportunities/topic-details/horizon-jti-cleanh2-2022-01-03", "HORIZON-JTI-CLEANH2-2022-01-03")</f>
        <v>0</v>
      </c>
      <c r="Q1439" t="s">
        <v>2372</v>
      </c>
    </row>
    <row r="1440" spans="1:17">
      <c r="A1440">
        <v>44950248</v>
      </c>
      <c r="B1440">
        <v>2022</v>
      </c>
      <c r="C1440" t="s">
        <v>27</v>
      </c>
      <c r="D1440" t="s">
        <v>46</v>
      </c>
      <c r="E1440" t="s">
        <v>77</v>
      </c>
      <c r="F1440" t="s">
        <v>204</v>
      </c>
      <c r="G1440" t="s">
        <v>273</v>
      </c>
      <c r="H1440" t="s">
        <v>348</v>
      </c>
      <c r="I1440" t="s">
        <v>434</v>
      </c>
      <c r="K1440" t="s">
        <v>466</v>
      </c>
      <c r="L1440" t="s">
        <v>469</v>
      </c>
      <c r="M1440" t="s">
        <v>477</v>
      </c>
      <c r="N1440" t="s">
        <v>709</v>
      </c>
      <c r="O1440" t="s">
        <v>925</v>
      </c>
      <c r="P1440" s="1">
        <f>HYPERLINK("https://ec.europa.eu/info/funding-tenders/opportunities/portal/screen/opportunities/topic-details/horizon-jti-cleanh2-2022-01-04", "HORIZON-JTI-CLEANH2-2022-01-04")</f>
        <v>0</v>
      </c>
      <c r="Q1440" t="s">
        <v>2373</v>
      </c>
    </row>
    <row r="1441" spans="1:17">
      <c r="A1441">
        <v>44950263</v>
      </c>
      <c r="B1441">
        <v>2022</v>
      </c>
      <c r="C1441" t="s">
        <v>27</v>
      </c>
      <c r="D1441" t="s">
        <v>46</v>
      </c>
      <c r="E1441" t="s">
        <v>77</v>
      </c>
      <c r="F1441" t="s">
        <v>204</v>
      </c>
      <c r="G1441" t="s">
        <v>273</v>
      </c>
      <c r="H1441" t="s">
        <v>348</v>
      </c>
      <c r="I1441" t="s">
        <v>434</v>
      </c>
      <c r="K1441" t="s">
        <v>466</v>
      </c>
      <c r="L1441" t="s">
        <v>469</v>
      </c>
      <c r="M1441" t="s">
        <v>477</v>
      </c>
      <c r="N1441" t="s">
        <v>709</v>
      </c>
      <c r="O1441" t="s">
        <v>925</v>
      </c>
      <c r="P1441" s="1">
        <f>HYPERLINK("https://ec.europa.eu/info/funding-tenders/opportunities/portal/screen/opportunities/topic-details/horizon-jti-cleanh2-2022-01-05", "HORIZON-JTI-CLEANH2-2022-01-05")</f>
        <v>0</v>
      </c>
      <c r="Q1441" t="s">
        <v>2374</v>
      </c>
    </row>
    <row r="1442" spans="1:17">
      <c r="A1442">
        <v>44950280</v>
      </c>
      <c r="B1442">
        <v>2022</v>
      </c>
      <c r="C1442" t="s">
        <v>27</v>
      </c>
      <c r="D1442" t="s">
        <v>46</v>
      </c>
      <c r="E1442" t="s">
        <v>77</v>
      </c>
      <c r="F1442" t="s">
        <v>203</v>
      </c>
      <c r="G1442" t="s">
        <v>273</v>
      </c>
      <c r="H1442" t="s">
        <v>348</v>
      </c>
      <c r="I1442" t="s">
        <v>433</v>
      </c>
      <c r="K1442" t="s">
        <v>466</v>
      </c>
      <c r="L1442" t="s">
        <v>469</v>
      </c>
      <c r="M1442" t="s">
        <v>477</v>
      </c>
      <c r="N1442" t="s">
        <v>708</v>
      </c>
      <c r="O1442" t="s">
        <v>925</v>
      </c>
      <c r="P1442" s="1">
        <f>HYPERLINK("https://ec.europa.eu/info/funding-tenders/opportunities/portal/screen/opportunities/topic-details/horizon-jti-cleanh2-2022-01-06", "HORIZON-JTI-CLEANH2-2022-01-06")</f>
        <v>0</v>
      </c>
      <c r="Q1442" t="s">
        <v>2375</v>
      </c>
    </row>
    <row r="1443" spans="1:17">
      <c r="A1443">
        <v>44950185</v>
      </c>
      <c r="B1443">
        <v>2022</v>
      </c>
      <c r="C1443" t="s">
        <v>27</v>
      </c>
      <c r="D1443" t="s">
        <v>46</v>
      </c>
      <c r="E1443" t="s">
        <v>77</v>
      </c>
      <c r="F1443" t="s">
        <v>203</v>
      </c>
      <c r="G1443" t="s">
        <v>273</v>
      </c>
      <c r="H1443" t="s">
        <v>348</v>
      </c>
      <c r="I1443" t="s">
        <v>433</v>
      </c>
      <c r="K1443" t="s">
        <v>466</v>
      </c>
      <c r="L1443" t="s">
        <v>469</v>
      </c>
      <c r="M1443" t="s">
        <v>478</v>
      </c>
      <c r="N1443" t="s">
        <v>708</v>
      </c>
      <c r="O1443" t="s">
        <v>925</v>
      </c>
      <c r="P1443" s="1">
        <f>HYPERLINK("https://ec.europa.eu/info/funding-tenders/opportunities/portal/screen/opportunities/topic-details/horizon-jti-cleanh2-2022-01-07", "HORIZON-JTI-CLEANH2-2022-01-07")</f>
        <v>0</v>
      </c>
      <c r="Q1443" t="s">
        <v>2376</v>
      </c>
    </row>
    <row r="1444" spans="1:17">
      <c r="A1444">
        <v>44950296</v>
      </c>
      <c r="B1444">
        <v>2022</v>
      </c>
      <c r="C1444" t="s">
        <v>27</v>
      </c>
      <c r="D1444" t="s">
        <v>46</v>
      </c>
      <c r="E1444" t="s">
        <v>77</v>
      </c>
      <c r="F1444" t="s">
        <v>204</v>
      </c>
      <c r="G1444" t="s">
        <v>273</v>
      </c>
      <c r="H1444" t="s">
        <v>348</v>
      </c>
      <c r="I1444" t="s">
        <v>434</v>
      </c>
      <c r="K1444" t="s">
        <v>466</v>
      </c>
      <c r="L1444" t="s">
        <v>469</v>
      </c>
      <c r="M1444" t="s">
        <v>478</v>
      </c>
      <c r="N1444" t="s">
        <v>709</v>
      </c>
      <c r="O1444" t="s">
        <v>925</v>
      </c>
      <c r="P1444" s="1">
        <f>HYPERLINK("https://ec.europa.eu/info/funding-tenders/opportunities/portal/screen/opportunities/topic-details/horizon-jti-cleanh2-2022-01-08", "HORIZON-JTI-CLEANH2-2022-01-08")</f>
        <v>0</v>
      </c>
      <c r="Q1444" t="s">
        <v>2377</v>
      </c>
    </row>
    <row r="1445" spans="1:17">
      <c r="A1445">
        <v>44950314</v>
      </c>
      <c r="B1445">
        <v>2022</v>
      </c>
      <c r="C1445" t="s">
        <v>27</v>
      </c>
      <c r="D1445" t="s">
        <v>46</v>
      </c>
      <c r="E1445" t="s">
        <v>77</v>
      </c>
      <c r="F1445" t="s">
        <v>203</v>
      </c>
      <c r="G1445" t="s">
        <v>273</v>
      </c>
      <c r="H1445" t="s">
        <v>348</v>
      </c>
      <c r="I1445" t="s">
        <v>433</v>
      </c>
      <c r="K1445" t="s">
        <v>466</v>
      </c>
      <c r="L1445" t="s">
        <v>469</v>
      </c>
      <c r="M1445" t="s">
        <v>477</v>
      </c>
      <c r="N1445" t="s">
        <v>708</v>
      </c>
      <c r="O1445" t="s">
        <v>925</v>
      </c>
      <c r="P1445" s="1">
        <f>HYPERLINK("https://ec.europa.eu/info/funding-tenders/opportunities/portal/screen/opportunities/topic-details/horizon-jti-cleanh2-2022-01-09", "HORIZON-JTI-CLEANH2-2022-01-09")</f>
        <v>0</v>
      </c>
      <c r="Q1445" t="s">
        <v>2378</v>
      </c>
    </row>
    <row r="1446" spans="1:17">
      <c r="A1446">
        <v>44950332</v>
      </c>
      <c r="B1446">
        <v>2022</v>
      </c>
      <c r="C1446" t="s">
        <v>27</v>
      </c>
      <c r="D1446" t="s">
        <v>46</v>
      </c>
      <c r="E1446" t="s">
        <v>77</v>
      </c>
      <c r="F1446" t="s">
        <v>204</v>
      </c>
      <c r="G1446" t="s">
        <v>273</v>
      </c>
      <c r="H1446" t="s">
        <v>348</v>
      </c>
      <c r="I1446" t="s">
        <v>434</v>
      </c>
      <c r="K1446" t="s">
        <v>466</v>
      </c>
      <c r="L1446" t="s">
        <v>469</v>
      </c>
      <c r="M1446" t="s">
        <v>478</v>
      </c>
      <c r="N1446" t="s">
        <v>709</v>
      </c>
      <c r="O1446" t="s">
        <v>925</v>
      </c>
      <c r="P1446" s="1">
        <f>HYPERLINK("https://ec.europa.eu/info/funding-tenders/opportunities/portal/screen/opportunities/topic-details/horizon-jti-cleanh2-2022-01-10", "HORIZON-JTI-CLEANH2-2022-01-10")</f>
        <v>0</v>
      </c>
      <c r="Q1446" t="s">
        <v>2379</v>
      </c>
    </row>
    <row r="1447" spans="1:17">
      <c r="A1447">
        <v>44950350</v>
      </c>
      <c r="B1447">
        <v>2022</v>
      </c>
      <c r="C1447" t="s">
        <v>27</v>
      </c>
      <c r="D1447" t="s">
        <v>46</v>
      </c>
      <c r="E1447" t="s">
        <v>77</v>
      </c>
      <c r="F1447" t="s">
        <v>204</v>
      </c>
      <c r="G1447" t="s">
        <v>273</v>
      </c>
      <c r="H1447" t="s">
        <v>348</v>
      </c>
      <c r="I1447" t="s">
        <v>434</v>
      </c>
      <c r="K1447" t="s">
        <v>466</v>
      </c>
      <c r="L1447" t="s">
        <v>469</v>
      </c>
      <c r="M1447" t="s">
        <v>477</v>
      </c>
      <c r="N1447" t="s">
        <v>709</v>
      </c>
      <c r="O1447" t="s">
        <v>925</v>
      </c>
      <c r="P1447" s="1">
        <f>HYPERLINK("https://ec.europa.eu/info/funding-tenders/opportunities/portal/screen/opportunities/topic-details/horizon-jti-cleanh2-2022-02-01", "HORIZON-JTI-CLEANH2-2022-02-01")</f>
        <v>0</v>
      </c>
      <c r="Q1447" t="s">
        <v>2380</v>
      </c>
    </row>
    <row r="1448" spans="1:17">
      <c r="A1448">
        <v>44950368</v>
      </c>
      <c r="B1448">
        <v>2022</v>
      </c>
      <c r="C1448" t="s">
        <v>27</v>
      </c>
      <c r="D1448" t="s">
        <v>46</v>
      </c>
      <c r="E1448" t="s">
        <v>77</v>
      </c>
      <c r="F1448" t="s">
        <v>203</v>
      </c>
      <c r="G1448" t="s">
        <v>273</v>
      </c>
      <c r="H1448" t="s">
        <v>348</v>
      </c>
      <c r="I1448" t="s">
        <v>433</v>
      </c>
      <c r="K1448" t="s">
        <v>466</v>
      </c>
      <c r="L1448" t="s">
        <v>469</v>
      </c>
      <c r="M1448" t="s">
        <v>477</v>
      </c>
      <c r="N1448" t="s">
        <v>708</v>
      </c>
      <c r="O1448" t="s">
        <v>925</v>
      </c>
      <c r="P1448" s="1">
        <f>HYPERLINK("https://ec.europa.eu/info/funding-tenders/opportunities/portal/screen/opportunities/topic-details/horizon-jti-cleanh2-2022-02-02", "HORIZON-JTI-CLEANH2-2022-02-02")</f>
        <v>0</v>
      </c>
      <c r="Q1448" t="s">
        <v>2381</v>
      </c>
    </row>
    <row r="1449" spans="1:17">
      <c r="A1449">
        <v>44950386</v>
      </c>
      <c r="B1449">
        <v>2022</v>
      </c>
      <c r="C1449" t="s">
        <v>27</v>
      </c>
      <c r="D1449" t="s">
        <v>46</v>
      </c>
      <c r="E1449" t="s">
        <v>77</v>
      </c>
      <c r="F1449" t="s">
        <v>203</v>
      </c>
      <c r="G1449" t="s">
        <v>273</v>
      </c>
      <c r="H1449" t="s">
        <v>348</v>
      </c>
      <c r="I1449" t="s">
        <v>433</v>
      </c>
      <c r="K1449" t="s">
        <v>466</v>
      </c>
      <c r="L1449" t="s">
        <v>469</v>
      </c>
      <c r="M1449" t="s">
        <v>477</v>
      </c>
      <c r="N1449" t="s">
        <v>708</v>
      </c>
      <c r="O1449" t="s">
        <v>925</v>
      </c>
      <c r="P1449" s="1">
        <f>HYPERLINK("https://ec.europa.eu/info/funding-tenders/opportunities/portal/screen/opportunities/topic-details/horizon-jti-cleanh2-2022-02-03", "HORIZON-JTI-CLEANH2-2022-02-03")</f>
        <v>0</v>
      </c>
      <c r="Q1449" t="s">
        <v>2382</v>
      </c>
    </row>
    <row r="1450" spans="1:17">
      <c r="A1450">
        <v>44950402</v>
      </c>
      <c r="B1450">
        <v>2022</v>
      </c>
      <c r="C1450" t="s">
        <v>27</v>
      </c>
      <c r="D1450" t="s">
        <v>46</v>
      </c>
      <c r="E1450" t="s">
        <v>77</v>
      </c>
      <c r="F1450" t="s">
        <v>204</v>
      </c>
      <c r="G1450" t="s">
        <v>273</v>
      </c>
      <c r="H1450" t="s">
        <v>348</v>
      </c>
      <c r="I1450" t="s">
        <v>434</v>
      </c>
      <c r="K1450" t="s">
        <v>466</v>
      </c>
      <c r="L1450" t="s">
        <v>469</v>
      </c>
      <c r="M1450" t="s">
        <v>477</v>
      </c>
      <c r="N1450" t="s">
        <v>709</v>
      </c>
      <c r="O1450" t="s">
        <v>925</v>
      </c>
      <c r="P1450" s="1">
        <f>HYPERLINK("https://ec.europa.eu/info/funding-tenders/opportunities/portal/screen/opportunities/topic-details/horizon-jti-cleanh2-2022-02-04", "HORIZON-JTI-CLEANH2-2022-02-04")</f>
        <v>0</v>
      </c>
      <c r="Q1450" t="s">
        <v>2383</v>
      </c>
    </row>
    <row r="1451" spans="1:17">
      <c r="A1451">
        <v>44950419</v>
      </c>
      <c r="B1451">
        <v>2022</v>
      </c>
      <c r="C1451" t="s">
        <v>27</v>
      </c>
      <c r="D1451" t="s">
        <v>46</v>
      </c>
      <c r="E1451" t="s">
        <v>77</v>
      </c>
      <c r="F1451" t="s">
        <v>204</v>
      </c>
      <c r="G1451" t="s">
        <v>273</v>
      </c>
      <c r="H1451" t="s">
        <v>348</v>
      </c>
      <c r="I1451" t="s">
        <v>434</v>
      </c>
      <c r="K1451" t="s">
        <v>466</v>
      </c>
      <c r="L1451" t="s">
        <v>469</v>
      </c>
      <c r="M1451" t="s">
        <v>477</v>
      </c>
      <c r="N1451" t="s">
        <v>709</v>
      </c>
      <c r="O1451" t="s">
        <v>925</v>
      </c>
      <c r="P1451" s="1">
        <f>HYPERLINK("https://ec.europa.eu/info/funding-tenders/opportunities/portal/screen/opportunities/topic-details/horizon-jti-cleanh2-2022-02-05", "HORIZON-JTI-CLEANH2-2022-02-05")</f>
        <v>0</v>
      </c>
      <c r="Q1451" t="s">
        <v>2384</v>
      </c>
    </row>
    <row r="1452" spans="1:17">
      <c r="A1452">
        <v>44950435</v>
      </c>
      <c r="B1452">
        <v>2022</v>
      </c>
      <c r="C1452" t="s">
        <v>27</v>
      </c>
      <c r="D1452" t="s">
        <v>46</v>
      </c>
      <c r="E1452" t="s">
        <v>77</v>
      </c>
      <c r="F1452" t="s">
        <v>204</v>
      </c>
      <c r="G1452" t="s">
        <v>273</v>
      </c>
      <c r="H1452" t="s">
        <v>348</v>
      </c>
      <c r="I1452" t="s">
        <v>434</v>
      </c>
      <c r="K1452" t="s">
        <v>466</v>
      </c>
      <c r="L1452" t="s">
        <v>469</v>
      </c>
      <c r="M1452" t="s">
        <v>477</v>
      </c>
      <c r="N1452" t="s">
        <v>709</v>
      </c>
      <c r="O1452" t="s">
        <v>925</v>
      </c>
      <c r="P1452" s="1">
        <f>HYPERLINK("https://ec.europa.eu/info/funding-tenders/opportunities/portal/screen/opportunities/topic-details/horizon-jti-cleanh2-2022-02-06", "HORIZON-JTI-CLEANH2-2022-02-06")</f>
        <v>0</v>
      </c>
      <c r="Q1452" t="s">
        <v>2385</v>
      </c>
    </row>
    <row r="1453" spans="1:17">
      <c r="A1453">
        <v>44950453</v>
      </c>
      <c r="B1453">
        <v>2022</v>
      </c>
      <c r="C1453" t="s">
        <v>27</v>
      </c>
      <c r="D1453" t="s">
        <v>46</v>
      </c>
      <c r="E1453" t="s">
        <v>77</v>
      </c>
      <c r="F1453" t="s">
        <v>203</v>
      </c>
      <c r="G1453" t="s">
        <v>273</v>
      </c>
      <c r="H1453" t="s">
        <v>348</v>
      </c>
      <c r="I1453" t="s">
        <v>433</v>
      </c>
      <c r="K1453" t="s">
        <v>466</v>
      </c>
      <c r="L1453" t="s">
        <v>469</v>
      </c>
      <c r="M1453" t="s">
        <v>477</v>
      </c>
      <c r="N1453" t="s">
        <v>708</v>
      </c>
      <c r="O1453" t="s">
        <v>925</v>
      </c>
      <c r="P1453" s="1">
        <f>HYPERLINK("https://ec.europa.eu/info/funding-tenders/opportunities/portal/screen/opportunities/topic-details/horizon-jti-cleanh2-2022-02-07", "HORIZON-JTI-CLEANH2-2022-02-07")</f>
        <v>0</v>
      </c>
      <c r="Q1453" t="s">
        <v>2386</v>
      </c>
    </row>
    <row r="1454" spans="1:17">
      <c r="A1454">
        <v>44950470</v>
      </c>
      <c r="B1454">
        <v>2022</v>
      </c>
      <c r="C1454" t="s">
        <v>27</v>
      </c>
      <c r="D1454" t="s">
        <v>46</v>
      </c>
      <c r="E1454" t="s">
        <v>77</v>
      </c>
      <c r="F1454" t="s">
        <v>203</v>
      </c>
      <c r="G1454" t="s">
        <v>273</v>
      </c>
      <c r="H1454" t="s">
        <v>348</v>
      </c>
      <c r="I1454" t="s">
        <v>433</v>
      </c>
      <c r="K1454" t="s">
        <v>466</v>
      </c>
      <c r="L1454" t="s">
        <v>469</v>
      </c>
      <c r="M1454" t="s">
        <v>478</v>
      </c>
      <c r="N1454" t="s">
        <v>708</v>
      </c>
      <c r="O1454" t="s">
        <v>925</v>
      </c>
      <c r="P1454" s="1">
        <f>HYPERLINK("https://ec.europa.eu/info/funding-tenders/opportunities/portal/screen/opportunities/topic-details/horizon-jti-cleanh2-2022-02-08", "HORIZON-JTI-CLEANH2-2022-02-08")</f>
        <v>0</v>
      </c>
      <c r="Q1454" t="s">
        <v>2387</v>
      </c>
    </row>
    <row r="1455" spans="1:17">
      <c r="A1455">
        <v>44950484</v>
      </c>
      <c r="B1455">
        <v>2022</v>
      </c>
      <c r="C1455" t="s">
        <v>27</v>
      </c>
      <c r="D1455" t="s">
        <v>46</v>
      </c>
      <c r="E1455" t="s">
        <v>77</v>
      </c>
      <c r="F1455" t="s">
        <v>203</v>
      </c>
      <c r="G1455" t="s">
        <v>273</v>
      </c>
      <c r="H1455" t="s">
        <v>348</v>
      </c>
      <c r="I1455" t="s">
        <v>433</v>
      </c>
      <c r="K1455" t="s">
        <v>466</v>
      </c>
      <c r="L1455" t="s">
        <v>469</v>
      </c>
      <c r="M1455" t="s">
        <v>477</v>
      </c>
      <c r="N1455" t="s">
        <v>708</v>
      </c>
      <c r="O1455" t="s">
        <v>925</v>
      </c>
      <c r="P1455" s="1">
        <f>HYPERLINK("https://ec.europa.eu/info/funding-tenders/opportunities/portal/screen/opportunities/topic-details/horizon-jti-cleanh2-2022-02-09", "HORIZON-JTI-CLEANH2-2022-02-09")</f>
        <v>0</v>
      </c>
      <c r="Q1455" t="s">
        <v>2388</v>
      </c>
    </row>
    <row r="1456" spans="1:17">
      <c r="A1456">
        <v>44950500</v>
      </c>
      <c r="B1456">
        <v>2022</v>
      </c>
      <c r="C1456" t="s">
        <v>27</v>
      </c>
      <c r="D1456" t="s">
        <v>46</v>
      </c>
      <c r="E1456" t="s">
        <v>77</v>
      </c>
      <c r="F1456" t="s">
        <v>203</v>
      </c>
      <c r="G1456" t="s">
        <v>273</v>
      </c>
      <c r="H1456" t="s">
        <v>348</v>
      </c>
      <c r="I1456" t="s">
        <v>433</v>
      </c>
      <c r="K1456" t="s">
        <v>466</v>
      </c>
      <c r="L1456" t="s">
        <v>469</v>
      </c>
      <c r="M1456" t="s">
        <v>477</v>
      </c>
      <c r="N1456" t="s">
        <v>708</v>
      </c>
      <c r="O1456" t="s">
        <v>925</v>
      </c>
      <c r="P1456" s="1">
        <f>HYPERLINK("https://ec.europa.eu/info/funding-tenders/opportunities/portal/screen/opportunities/topic-details/horizon-jti-cleanh2-2022-02-10", "HORIZON-JTI-CLEANH2-2022-02-10")</f>
        <v>0</v>
      </c>
      <c r="Q1456" t="s">
        <v>2389</v>
      </c>
    </row>
    <row r="1457" spans="1:17">
      <c r="A1457">
        <v>44950517</v>
      </c>
      <c r="B1457">
        <v>2022</v>
      </c>
      <c r="C1457" t="s">
        <v>27</v>
      </c>
      <c r="D1457" t="s">
        <v>46</v>
      </c>
      <c r="E1457" t="s">
        <v>77</v>
      </c>
      <c r="F1457" t="s">
        <v>204</v>
      </c>
      <c r="G1457" t="s">
        <v>273</v>
      </c>
      <c r="H1457" t="s">
        <v>348</v>
      </c>
      <c r="I1457" t="s">
        <v>434</v>
      </c>
      <c r="K1457" t="s">
        <v>466</v>
      </c>
      <c r="L1457" t="s">
        <v>469</v>
      </c>
      <c r="M1457" t="s">
        <v>478</v>
      </c>
      <c r="N1457" t="s">
        <v>709</v>
      </c>
      <c r="O1457" t="s">
        <v>925</v>
      </c>
      <c r="P1457" s="1">
        <f>HYPERLINK("https://ec.europa.eu/info/funding-tenders/opportunities/portal/screen/opportunities/topic-details/horizon-jti-cleanh2-2022-02-11", "HORIZON-JTI-CLEANH2-2022-02-11")</f>
        <v>0</v>
      </c>
      <c r="Q1457" t="s">
        <v>2390</v>
      </c>
    </row>
    <row r="1458" spans="1:17">
      <c r="A1458">
        <v>44950535</v>
      </c>
      <c r="B1458">
        <v>2022</v>
      </c>
      <c r="C1458" t="s">
        <v>27</v>
      </c>
      <c r="D1458" t="s">
        <v>46</v>
      </c>
      <c r="E1458" t="s">
        <v>77</v>
      </c>
      <c r="F1458" t="s">
        <v>204</v>
      </c>
      <c r="G1458" t="s">
        <v>273</v>
      </c>
      <c r="H1458" t="s">
        <v>348</v>
      </c>
      <c r="I1458" t="s">
        <v>434</v>
      </c>
      <c r="K1458" t="s">
        <v>466</v>
      </c>
      <c r="L1458" t="s">
        <v>469</v>
      </c>
      <c r="M1458" t="s">
        <v>477</v>
      </c>
      <c r="N1458" t="s">
        <v>709</v>
      </c>
      <c r="O1458" t="s">
        <v>925</v>
      </c>
      <c r="P1458" s="1">
        <f>HYPERLINK("https://ec.europa.eu/info/funding-tenders/opportunities/portal/screen/opportunities/topic-details/horizon-jti-cleanh2-2022-03-01", "HORIZON-JTI-CLEANH2-2022-03-01")</f>
        <v>0</v>
      </c>
      <c r="Q1458" t="s">
        <v>2391</v>
      </c>
    </row>
    <row r="1459" spans="1:17">
      <c r="A1459">
        <v>44950551</v>
      </c>
      <c r="B1459">
        <v>2022</v>
      </c>
      <c r="C1459" t="s">
        <v>27</v>
      </c>
      <c r="D1459" t="s">
        <v>46</v>
      </c>
      <c r="E1459" t="s">
        <v>77</v>
      </c>
      <c r="F1459" t="s">
        <v>203</v>
      </c>
      <c r="G1459" t="s">
        <v>273</v>
      </c>
      <c r="H1459" t="s">
        <v>348</v>
      </c>
      <c r="I1459" t="s">
        <v>433</v>
      </c>
      <c r="K1459" t="s">
        <v>466</v>
      </c>
      <c r="L1459" t="s">
        <v>469</v>
      </c>
      <c r="M1459" t="s">
        <v>477</v>
      </c>
      <c r="N1459" t="s">
        <v>708</v>
      </c>
      <c r="O1459" t="s">
        <v>925</v>
      </c>
      <c r="P1459" s="1">
        <f>HYPERLINK("https://ec.europa.eu/info/funding-tenders/opportunities/portal/screen/opportunities/topic-details/horizon-jti-cleanh2-2022-03-02", "HORIZON-JTI-CLEANH2-2022-03-02")</f>
        <v>0</v>
      </c>
      <c r="Q1459" t="s">
        <v>2392</v>
      </c>
    </row>
    <row r="1460" spans="1:17">
      <c r="A1460">
        <v>44950567</v>
      </c>
      <c r="B1460">
        <v>2022</v>
      </c>
      <c r="C1460" t="s">
        <v>27</v>
      </c>
      <c r="D1460" t="s">
        <v>46</v>
      </c>
      <c r="E1460" t="s">
        <v>77</v>
      </c>
      <c r="F1460" t="s">
        <v>203</v>
      </c>
      <c r="G1460" t="s">
        <v>273</v>
      </c>
      <c r="H1460" t="s">
        <v>348</v>
      </c>
      <c r="I1460" t="s">
        <v>433</v>
      </c>
      <c r="K1460" t="s">
        <v>466</v>
      </c>
      <c r="L1460" t="s">
        <v>469</v>
      </c>
      <c r="M1460" t="s">
        <v>478</v>
      </c>
      <c r="N1460" t="s">
        <v>708</v>
      </c>
      <c r="O1460" t="s">
        <v>925</v>
      </c>
      <c r="P1460" s="1">
        <f>HYPERLINK("https://ec.europa.eu/info/funding-tenders/opportunities/portal/screen/opportunities/topic-details/horizon-jti-cleanh2-2022-03-03", "HORIZON-JTI-CLEANH2-2022-03-03")</f>
        <v>0</v>
      </c>
      <c r="Q1460" t="s">
        <v>2393</v>
      </c>
    </row>
    <row r="1461" spans="1:17">
      <c r="A1461">
        <v>44950583</v>
      </c>
      <c r="B1461">
        <v>2022</v>
      </c>
      <c r="C1461" t="s">
        <v>27</v>
      </c>
      <c r="D1461" t="s">
        <v>46</v>
      </c>
      <c r="E1461" t="s">
        <v>77</v>
      </c>
      <c r="F1461" t="s">
        <v>203</v>
      </c>
      <c r="G1461" t="s">
        <v>273</v>
      </c>
      <c r="H1461" t="s">
        <v>348</v>
      </c>
      <c r="I1461" t="s">
        <v>433</v>
      </c>
      <c r="K1461" t="s">
        <v>466</v>
      </c>
      <c r="L1461" t="s">
        <v>469</v>
      </c>
      <c r="M1461" t="s">
        <v>477</v>
      </c>
      <c r="N1461" t="s">
        <v>708</v>
      </c>
      <c r="O1461" t="s">
        <v>925</v>
      </c>
      <c r="P1461" s="1">
        <f>HYPERLINK("https://ec.europa.eu/info/funding-tenders/opportunities/portal/screen/opportunities/topic-details/horizon-jti-cleanh2-2022-03-04", "HORIZON-JTI-CLEANH2-2022-03-04")</f>
        <v>0</v>
      </c>
      <c r="Q1461" t="s">
        <v>2394</v>
      </c>
    </row>
    <row r="1462" spans="1:17">
      <c r="A1462">
        <v>44950599</v>
      </c>
      <c r="B1462">
        <v>2022</v>
      </c>
      <c r="C1462" t="s">
        <v>27</v>
      </c>
      <c r="D1462" t="s">
        <v>46</v>
      </c>
      <c r="E1462" t="s">
        <v>77</v>
      </c>
      <c r="F1462" t="s">
        <v>203</v>
      </c>
      <c r="G1462" t="s">
        <v>273</v>
      </c>
      <c r="H1462" t="s">
        <v>348</v>
      </c>
      <c r="I1462" t="s">
        <v>433</v>
      </c>
      <c r="K1462" t="s">
        <v>466</v>
      </c>
      <c r="L1462" t="s">
        <v>469</v>
      </c>
      <c r="M1462" t="s">
        <v>478</v>
      </c>
      <c r="N1462" t="s">
        <v>708</v>
      </c>
      <c r="O1462" t="s">
        <v>925</v>
      </c>
      <c r="P1462" s="1">
        <f>HYPERLINK("https://ec.europa.eu/info/funding-tenders/opportunities/portal/screen/opportunities/topic-details/horizon-jti-cleanh2-2022-03-05", "HORIZON-JTI-CLEANH2-2022-03-05")</f>
        <v>0</v>
      </c>
      <c r="Q1462" t="s">
        <v>2395</v>
      </c>
    </row>
    <row r="1463" spans="1:17">
      <c r="A1463">
        <v>44950615</v>
      </c>
      <c r="B1463">
        <v>2022</v>
      </c>
      <c r="C1463" t="s">
        <v>27</v>
      </c>
      <c r="D1463" t="s">
        <v>46</v>
      </c>
      <c r="E1463" t="s">
        <v>77</v>
      </c>
      <c r="F1463" t="s">
        <v>203</v>
      </c>
      <c r="G1463" t="s">
        <v>273</v>
      </c>
      <c r="H1463" t="s">
        <v>348</v>
      </c>
      <c r="I1463" t="s">
        <v>433</v>
      </c>
      <c r="K1463" t="s">
        <v>466</v>
      </c>
      <c r="L1463" t="s">
        <v>469</v>
      </c>
      <c r="M1463" t="s">
        <v>477</v>
      </c>
      <c r="N1463" t="s">
        <v>708</v>
      </c>
      <c r="O1463" t="s">
        <v>925</v>
      </c>
      <c r="P1463" s="1">
        <f>HYPERLINK("https://ec.europa.eu/info/funding-tenders/opportunities/portal/screen/opportunities/topic-details/horizon-jti-cleanh2-2022-03-06", "HORIZON-JTI-CLEANH2-2022-03-06")</f>
        <v>0</v>
      </c>
      <c r="Q1463" t="s">
        <v>2396</v>
      </c>
    </row>
    <row r="1464" spans="1:17">
      <c r="A1464">
        <v>44950632</v>
      </c>
      <c r="B1464">
        <v>2022</v>
      </c>
      <c r="C1464" t="s">
        <v>27</v>
      </c>
      <c r="D1464" t="s">
        <v>46</v>
      </c>
      <c r="E1464" t="s">
        <v>77</v>
      </c>
      <c r="F1464" t="s">
        <v>203</v>
      </c>
      <c r="G1464" t="s">
        <v>273</v>
      </c>
      <c r="H1464" t="s">
        <v>348</v>
      </c>
      <c r="I1464" t="s">
        <v>433</v>
      </c>
      <c r="K1464" t="s">
        <v>466</v>
      </c>
      <c r="L1464" t="s">
        <v>469</v>
      </c>
      <c r="M1464" t="s">
        <v>477</v>
      </c>
      <c r="N1464" t="s">
        <v>708</v>
      </c>
      <c r="O1464" t="s">
        <v>925</v>
      </c>
      <c r="P1464" s="1">
        <f>HYPERLINK("https://ec.europa.eu/info/funding-tenders/opportunities/portal/screen/opportunities/topic-details/horizon-jti-cleanh2-2022-03-07", "HORIZON-JTI-CLEANH2-2022-03-07")</f>
        <v>0</v>
      </c>
      <c r="Q1464" t="s">
        <v>2397</v>
      </c>
    </row>
    <row r="1465" spans="1:17">
      <c r="A1465">
        <v>44950650</v>
      </c>
      <c r="B1465">
        <v>2022</v>
      </c>
      <c r="C1465" t="s">
        <v>27</v>
      </c>
      <c r="D1465" t="s">
        <v>46</v>
      </c>
      <c r="E1465" t="s">
        <v>77</v>
      </c>
      <c r="F1465" t="s">
        <v>203</v>
      </c>
      <c r="G1465" t="s">
        <v>273</v>
      </c>
      <c r="H1465" t="s">
        <v>348</v>
      </c>
      <c r="I1465" t="s">
        <v>433</v>
      </c>
      <c r="K1465" t="s">
        <v>466</v>
      </c>
      <c r="L1465" t="s">
        <v>469</v>
      </c>
      <c r="M1465" t="s">
        <v>477</v>
      </c>
      <c r="N1465" t="s">
        <v>708</v>
      </c>
      <c r="O1465" t="s">
        <v>925</v>
      </c>
      <c r="P1465" s="1">
        <f>HYPERLINK("https://ec.europa.eu/info/funding-tenders/opportunities/portal/screen/opportunities/topic-details/horizon-jti-cleanh2-2022-03-08", "HORIZON-JTI-CLEANH2-2022-03-08")</f>
        <v>0</v>
      </c>
      <c r="Q1465" t="s">
        <v>2398</v>
      </c>
    </row>
    <row r="1466" spans="1:17">
      <c r="A1466">
        <v>44950667</v>
      </c>
      <c r="B1466">
        <v>2022</v>
      </c>
      <c r="C1466" t="s">
        <v>27</v>
      </c>
      <c r="D1466" t="s">
        <v>46</v>
      </c>
      <c r="E1466" t="s">
        <v>77</v>
      </c>
      <c r="F1466" t="s">
        <v>204</v>
      </c>
      <c r="G1466" t="s">
        <v>273</v>
      </c>
      <c r="H1466" t="s">
        <v>348</v>
      </c>
      <c r="I1466" t="s">
        <v>434</v>
      </c>
      <c r="K1466" t="s">
        <v>466</v>
      </c>
      <c r="L1466" t="s">
        <v>469</v>
      </c>
      <c r="M1466" t="s">
        <v>478</v>
      </c>
      <c r="N1466" t="s">
        <v>709</v>
      </c>
      <c r="O1466" t="s">
        <v>925</v>
      </c>
      <c r="P1466" s="1">
        <f>HYPERLINK("https://ec.europa.eu/info/funding-tenders/opportunities/portal/screen/opportunities/topic-details/horizon-jti-cleanh2-2022-04-01", "HORIZON-JTI-CLEANH2-2022-04-01")</f>
        <v>0</v>
      </c>
      <c r="Q1466" t="s">
        <v>2399</v>
      </c>
    </row>
    <row r="1467" spans="1:17">
      <c r="A1467">
        <v>44950684</v>
      </c>
      <c r="B1467">
        <v>2022</v>
      </c>
      <c r="C1467" t="s">
        <v>27</v>
      </c>
      <c r="D1467" t="s">
        <v>46</v>
      </c>
      <c r="E1467" t="s">
        <v>77</v>
      </c>
      <c r="F1467" t="s">
        <v>203</v>
      </c>
      <c r="G1467" t="s">
        <v>273</v>
      </c>
      <c r="H1467" t="s">
        <v>348</v>
      </c>
      <c r="I1467" t="s">
        <v>433</v>
      </c>
      <c r="K1467" t="s">
        <v>466</v>
      </c>
      <c r="L1467" t="s">
        <v>469</v>
      </c>
      <c r="M1467" t="s">
        <v>477</v>
      </c>
      <c r="N1467" t="s">
        <v>708</v>
      </c>
      <c r="O1467" t="s">
        <v>925</v>
      </c>
      <c r="P1467" s="1">
        <f>HYPERLINK("https://ec.europa.eu/info/funding-tenders/opportunities/portal/screen/opportunities/topic-details/horizon-jti-cleanh2-2022-04-02", "HORIZON-JTI-CLEANH2-2022-04-02")</f>
        <v>0</v>
      </c>
      <c r="Q1467" t="s">
        <v>2400</v>
      </c>
    </row>
    <row r="1468" spans="1:17">
      <c r="A1468">
        <v>44950201</v>
      </c>
      <c r="B1468">
        <v>2022</v>
      </c>
      <c r="C1468" t="s">
        <v>27</v>
      </c>
      <c r="D1468" t="s">
        <v>46</v>
      </c>
      <c r="E1468" t="s">
        <v>77</v>
      </c>
      <c r="F1468" t="s">
        <v>203</v>
      </c>
      <c r="G1468" t="s">
        <v>273</v>
      </c>
      <c r="H1468" t="s">
        <v>348</v>
      </c>
      <c r="I1468" t="s">
        <v>433</v>
      </c>
      <c r="K1468" t="s">
        <v>466</v>
      </c>
      <c r="L1468" t="s">
        <v>469</v>
      </c>
      <c r="M1468" t="s">
        <v>477</v>
      </c>
      <c r="N1468" t="s">
        <v>708</v>
      </c>
      <c r="O1468" t="s">
        <v>925</v>
      </c>
      <c r="P1468" s="1">
        <f>HYPERLINK("https://ec.europa.eu/info/funding-tenders/opportunities/portal/screen/opportunities/topic-details/horizon-jti-cleanh2-2022-04-03", "HORIZON-JTI-CLEANH2-2022-04-03")</f>
        <v>0</v>
      </c>
      <c r="Q1468" t="s">
        <v>2401</v>
      </c>
    </row>
    <row r="1469" spans="1:17">
      <c r="A1469">
        <v>44950169</v>
      </c>
      <c r="B1469">
        <v>2022</v>
      </c>
      <c r="C1469" t="s">
        <v>27</v>
      </c>
      <c r="D1469" t="s">
        <v>46</v>
      </c>
      <c r="E1469" t="s">
        <v>77</v>
      </c>
      <c r="F1469" t="s">
        <v>203</v>
      </c>
      <c r="G1469" t="s">
        <v>273</v>
      </c>
      <c r="H1469" t="s">
        <v>348</v>
      </c>
      <c r="I1469" t="s">
        <v>433</v>
      </c>
      <c r="K1469" t="s">
        <v>466</v>
      </c>
      <c r="L1469" t="s">
        <v>469</v>
      </c>
      <c r="M1469" t="s">
        <v>477</v>
      </c>
      <c r="N1469" t="s">
        <v>708</v>
      </c>
      <c r="O1469" t="s">
        <v>925</v>
      </c>
      <c r="P1469" s="1">
        <f>HYPERLINK("https://ec.europa.eu/info/funding-tenders/opportunities/portal/screen/opportunities/topic-details/horizon-jti-cleanh2-2022-04-04", "HORIZON-JTI-CLEANH2-2022-04-04")</f>
        <v>0</v>
      </c>
      <c r="Q1469" t="s">
        <v>2402</v>
      </c>
    </row>
    <row r="1470" spans="1:17">
      <c r="A1470">
        <v>44950701</v>
      </c>
      <c r="B1470">
        <v>2022</v>
      </c>
      <c r="C1470" t="s">
        <v>27</v>
      </c>
      <c r="D1470" t="s">
        <v>46</v>
      </c>
      <c r="E1470" t="s">
        <v>77</v>
      </c>
      <c r="F1470" t="s">
        <v>204</v>
      </c>
      <c r="G1470" t="s">
        <v>273</v>
      </c>
      <c r="H1470" t="s">
        <v>348</v>
      </c>
      <c r="I1470" t="s">
        <v>434</v>
      </c>
      <c r="K1470" t="s">
        <v>466</v>
      </c>
      <c r="L1470" t="s">
        <v>469</v>
      </c>
      <c r="M1470" t="s">
        <v>479</v>
      </c>
      <c r="N1470" t="s">
        <v>709</v>
      </c>
      <c r="O1470" t="s">
        <v>925</v>
      </c>
      <c r="P1470" s="1">
        <f>HYPERLINK("https://ec.europa.eu/info/funding-tenders/opportunities/portal/screen/opportunities/topic-details/horizon-jti-cleanh2-2022-05-01", "HORIZON-JTI-CLEANH2-2022-05-01")</f>
        <v>0</v>
      </c>
      <c r="Q1470" t="s">
        <v>2403</v>
      </c>
    </row>
    <row r="1471" spans="1:17">
      <c r="A1471">
        <v>44950719</v>
      </c>
      <c r="B1471">
        <v>2022</v>
      </c>
      <c r="C1471" t="s">
        <v>27</v>
      </c>
      <c r="D1471" t="s">
        <v>46</v>
      </c>
      <c r="E1471" t="s">
        <v>77</v>
      </c>
      <c r="F1471" t="s">
        <v>203</v>
      </c>
      <c r="G1471" t="s">
        <v>273</v>
      </c>
      <c r="H1471" t="s">
        <v>348</v>
      </c>
      <c r="I1471" t="s">
        <v>433</v>
      </c>
      <c r="K1471" t="s">
        <v>466</v>
      </c>
      <c r="L1471" t="s">
        <v>469</v>
      </c>
      <c r="M1471" t="s">
        <v>477</v>
      </c>
      <c r="N1471" t="s">
        <v>708</v>
      </c>
      <c r="O1471" t="s">
        <v>925</v>
      </c>
      <c r="P1471" s="1">
        <f>HYPERLINK("https://ec.europa.eu/info/funding-tenders/opportunities/portal/screen/opportunities/topic-details/horizon-jti-cleanh2-2022-05-02", "HORIZON-JTI-CLEANH2-2022-05-02")</f>
        <v>0</v>
      </c>
      <c r="Q1471" t="s">
        <v>2404</v>
      </c>
    </row>
    <row r="1472" spans="1:17">
      <c r="A1472">
        <v>44950735</v>
      </c>
      <c r="B1472">
        <v>2022</v>
      </c>
      <c r="C1472" t="s">
        <v>27</v>
      </c>
      <c r="D1472" t="s">
        <v>46</v>
      </c>
      <c r="E1472" t="s">
        <v>77</v>
      </c>
      <c r="F1472" t="s">
        <v>204</v>
      </c>
      <c r="G1472" t="s">
        <v>273</v>
      </c>
      <c r="H1472" t="s">
        <v>348</v>
      </c>
      <c r="I1472" t="s">
        <v>434</v>
      </c>
      <c r="K1472" t="s">
        <v>466</v>
      </c>
      <c r="L1472" t="s">
        <v>469</v>
      </c>
      <c r="M1472" t="s">
        <v>477</v>
      </c>
      <c r="N1472" t="s">
        <v>709</v>
      </c>
      <c r="O1472" t="s">
        <v>925</v>
      </c>
      <c r="P1472" s="1">
        <f>HYPERLINK("https://ec.europa.eu/info/funding-tenders/opportunities/portal/screen/opportunities/topic-details/horizon-jti-cleanh2-2022-05-03", "HORIZON-JTI-CLEANH2-2022-05-03")</f>
        <v>0</v>
      </c>
      <c r="Q1472" t="s">
        <v>2405</v>
      </c>
    </row>
    <row r="1473" spans="1:17">
      <c r="A1473">
        <v>44950753</v>
      </c>
      <c r="B1473">
        <v>2022</v>
      </c>
      <c r="C1473" t="s">
        <v>27</v>
      </c>
      <c r="D1473" t="s">
        <v>46</v>
      </c>
      <c r="E1473" t="s">
        <v>77</v>
      </c>
      <c r="F1473" t="s">
        <v>203</v>
      </c>
      <c r="G1473" t="s">
        <v>273</v>
      </c>
      <c r="H1473" t="s">
        <v>348</v>
      </c>
      <c r="I1473" t="s">
        <v>433</v>
      </c>
      <c r="K1473" t="s">
        <v>466</v>
      </c>
      <c r="L1473" t="s">
        <v>469</v>
      </c>
      <c r="M1473" t="s">
        <v>477</v>
      </c>
      <c r="N1473" t="s">
        <v>708</v>
      </c>
      <c r="O1473" t="s">
        <v>925</v>
      </c>
      <c r="P1473" s="1">
        <f>HYPERLINK("https://ec.europa.eu/info/funding-tenders/opportunities/portal/screen/opportunities/topic-details/horizon-jti-cleanh2-2022-05-04", "HORIZON-JTI-CLEANH2-2022-05-04")</f>
        <v>0</v>
      </c>
      <c r="Q1473" t="s">
        <v>2406</v>
      </c>
    </row>
    <row r="1474" spans="1:17">
      <c r="A1474">
        <v>44950769</v>
      </c>
      <c r="B1474">
        <v>2022</v>
      </c>
      <c r="C1474" t="s">
        <v>27</v>
      </c>
      <c r="D1474" t="s">
        <v>46</v>
      </c>
      <c r="E1474" t="s">
        <v>77</v>
      </c>
      <c r="F1474" t="s">
        <v>203</v>
      </c>
      <c r="G1474" t="s">
        <v>273</v>
      </c>
      <c r="H1474" t="s">
        <v>348</v>
      </c>
      <c r="I1474" t="s">
        <v>433</v>
      </c>
      <c r="K1474" t="s">
        <v>466</v>
      </c>
      <c r="L1474" t="s">
        <v>469</v>
      </c>
      <c r="M1474" t="s">
        <v>479</v>
      </c>
      <c r="N1474" t="s">
        <v>708</v>
      </c>
      <c r="O1474" t="s">
        <v>925</v>
      </c>
      <c r="P1474" s="1">
        <f>HYPERLINK("https://ec.europa.eu/info/funding-tenders/opportunities/portal/screen/opportunities/topic-details/horizon-jti-cleanh2-2022-05-05", "HORIZON-JTI-CLEANH2-2022-05-05")</f>
        <v>0</v>
      </c>
      <c r="Q1474" t="s">
        <v>2407</v>
      </c>
    </row>
    <row r="1475" spans="1:17">
      <c r="A1475">
        <v>44950787</v>
      </c>
      <c r="B1475">
        <v>2022</v>
      </c>
      <c r="C1475" t="s">
        <v>27</v>
      </c>
      <c r="D1475" t="s">
        <v>46</v>
      </c>
      <c r="E1475" t="s">
        <v>77</v>
      </c>
      <c r="F1475" t="s">
        <v>204</v>
      </c>
      <c r="G1475" t="s">
        <v>273</v>
      </c>
      <c r="H1475" t="s">
        <v>348</v>
      </c>
      <c r="I1475" t="s">
        <v>434</v>
      </c>
      <c r="K1475" t="s">
        <v>466</v>
      </c>
      <c r="L1475" t="s">
        <v>469</v>
      </c>
      <c r="M1475" t="s">
        <v>478</v>
      </c>
      <c r="N1475" t="s">
        <v>709</v>
      </c>
      <c r="O1475" t="s">
        <v>925</v>
      </c>
      <c r="P1475" s="1">
        <f>HYPERLINK("https://ec.europa.eu/info/funding-tenders/opportunities/portal/screen/opportunities/topic-details/horizon-jti-cleanh2-2022-06-01", "HORIZON-JTI-CLEANH2-2022-06-01")</f>
        <v>0</v>
      </c>
      <c r="Q1475" t="s">
        <v>2408</v>
      </c>
    </row>
    <row r="1476" spans="1:17">
      <c r="A1476">
        <v>44950811</v>
      </c>
      <c r="B1476">
        <v>2022</v>
      </c>
      <c r="C1476" t="s">
        <v>27</v>
      </c>
      <c r="D1476" t="s">
        <v>46</v>
      </c>
      <c r="E1476" t="s">
        <v>77</v>
      </c>
      <c r="F1476" t="s">
        <v>204</v>
      </c>
      <c r="G1476" t="s">
        <v>273</v>
      </c>
      <c r="H1476" t="s">
        <v>348</v>
      </c>
      <c r="I1476" t="s">
        <v>434</v>
      </c>
      <c r="K1476" t="s">
        <v>466</v>
      </c>
      <c r="L1476" t="s">
        <v>469</v>
      </c>
      <c r="M1476" t="s">
        <v>478</v>
      </c>
      <c r="N1476" t="s">
        <v>709</v>
      </c>
      <c r="O1476" t="s">
        <v>925</v>
      </c>
      <c r="P1476" s="1">
        <f>HYPERLINK("https://ec.europa.eu/info/funding-tenders/opportunities/portal/screen/opportunities/topic-details/horizon-jti-cleanh2-2022-06-02", "HORIZON-JTI-CLEANH2-2022-06-02")</f>
        <v>0</v>
      </c>
      <c r="Q1476" t="s">
        <v>2409</v>
      </c>
    </row>
    <row r="1477" spans="1:17">
      <c r="A1477">
        <v>44950835</v>
      </c>
      <c r="B1477">
        <v>2022</v>
      </c>
      <c r="C1477" t="s">
        <v>27</v>
      </c>
      <c r="D1477" t="s">
        <v>46</v>
      </c>
      <c r="E1477" t="s">
        <v>77</v>
      </c>
      <c r="F1477" t="s">
        <v>203</v>
      </c>
      <c r="G1477" t="s">
        <v>273</v>
      </c>
      <c r="H1477" t="s">
        <v>348</v>
      </c>
      <c r="I1477" t="s">
        <v>433</v>
      </c>
      <c r="K1477" t="s">
        <v>466</v>
      </c>
      <c r="L1477" t="s">
        <v>469</v>
      </c>
      <c r="M1477" t="s">
        <v>477</v>
      </c>
      <c r="N1477" t="s">
        <v>708</v>
      </c>
      <c r="O1477" t="s">
        <v>925</v>
      </c>
      <c r="P1477" s="1">
        <f>HYPERLINK("https://ec.europa.eu/info/funding-tenders/opportunities/portal/screen/opportunities/topic-details/horizon-jti-cleanh2-2022-07-01", "HORIZON-JTI-CLEANH2-2022-07-01")</f>
        <v>0</v>
      </c>
      <c r="Q1477" t="s">
        <v>2410</v>
      </c>
    </row>
    <row r="1478" spans="1:17">
      <c r="A1478">
        <v>45808561</v>
      </c>
      <c r="B1478">
        <v>2023</v>
      </c>
      <c r="C1478" t="s">
        <v>27</v>
      </c>
      <c r="D1478" t="s">
        <v>46</v>
      </c>
      <c r="E1478" t="s">
        <v>77</v>
      </c>
      <c r="F1478" t="s">
        <v>203</v>
      </c>
      <c r="G1478" t="s">
        <v>274</v>
      </c>
      <c r="H1478" t="s">
        <v>349</v>
      </c>
      <c r="I1478" t="s">
        <v>398</v>
      </c>
      <c r="K1478" t="s">
        <v>466</v>
      </c>
      <c r="L1478" t="s">
        <v>469</v>
      </c>
      <c r="M1478" t="s">
        <v>477</v>
      </c>
      <c r="N1478" t="s">
        <v>710</v>
      </c>
      <c r="O1478" t="s">
        <v>710</v>
      </c>
      <c r="P1478" s="1">
        <f>HYPERLINK("https://ec.europa.eu/info/funding-tenders/opportunities/portal/screen/opportunities/topic-details/horizon-jti-cleanh2-2023-01-01", "HORIZON-JTI-CLEANH2-2023-01-01")</f>
        <v>0</v>
      </c>
      <c r="Q1478" t="s">
        <v>2411</v>
      </c>
    </row>
    <row r="1479" spans="1:17">
      <c r="A1479">
        <v>45808568</v>
      </c>
      <c r="B1479">
        <v>2023</v>
      </c>
      <c r="C1479" t="s">
        <v>27</v>
      </c>
      <c r="D1479" t="s">
        <v>46</v>
      </c>
      <c r="E1479" t="s">
        <v>77</v>
      </c>
      <c r="F1479" t="s">
        <v>203</v>
      </c>
      <c r="G1479" t="s">
        <v>274</v>
      </c>
      <c r="H1479" t="s">
        <v>349</v>
      </c>
      <c r="I1479" t="s">
        <v>398</v>
      </c>
      <c r="K1479" t="s">
        <v>466</v>
      </c>
      <c r="L1479" t="s">
        <v>469</v>
      </c>
      <c r="M1479" t="s">
        <v>477</v>
      </c>
      <c r="N1479" t="s">
        <v>710</v>
      </c>
      <c r="O1479" t="s">
        <v>710</v>
      </c>
      <c r="P1479" s="1">
        <f>HYPERLINK("https://ec.europa.eu/info/funding-tenders/opportunities/portal/screen/opportunities/topic-details/horizon-jti-cleanh2-2023-01-02", "HORIZON-JTI-CLEANH2-2023-01-02")</f>
        <v>0</v>
      </c>
      <c r="Q1479" t="s">
        <v>2412</v>
      </c>
    </row>
    <row r="1480" spans="1:17">
      <c r="A1480">
        <v>45808575</v>
      </c>
      <c r="B1480">
        <v>2023</v>
      </c>
      <c r="C1480" t="s">
        <v>27</v>
      </c>
      <c r="D1480" t="s">
        <v>46</v>
      </c>
      <c r="E1480" t="s">
        <v>77</v>
      </c>
      <c r="F1480" t="s">
        <v>203</v>
      </c>
      <c r="G1480" t="s">
        <v>274</v>
      </c>
      <c r="H1480" t="s">
        <v>349</v>
      </c>
      <c r="I1480" t="s">
        <v>398</v>
      </c>
      <c r="K1480" t="s">
        <v>466</v>
      </c>
      <c r="L1480" t="s">
        <v>469</v>
      </c>
      <c r="M1480" t="s">
        <v>477</v>
      </c>
      <c r="N1480" t="s">
        <v>710</v>
      </c>
      <c r="O1480" t="s">
        <v>710</v>
      </c>
      <c r="P1480" s="1">
        <f>HYPERLINK("https://ec.europa.eu/info/funding-tenders/opportunities/portal/screen/opportunities/topic-details/horizon-jti-cleanh2-2023-01-03", "HORIZON-JTI-CLEANH2-2023-01-03")</f>
        <v>0</v>
      </c>
      <c r="Q1480" t="s">
        <v>2413</v>
      </c>
    </row>
    <row r="1481" spans="1:17">
      <c r="A1481">
        <v>45808582</v>
      </c>
      <c r="B1481">
        <v>2023</v>
      </c>
      <c r="C1481" t="s">
        <v>27</v>
      </c>
      <c r="D1481" t="s">
        <v>46</v>
      </c>
      <c r="E1481" t="s">
        <v>77</v>
      </c>
      <c r="F1481" t="s">
        <v>203</v>
      </c>
      <c r="G1481" t="s">
        <v>274</v>
      </c>
      <c r="H1481" t="s">
        <v>349</v>
      </c>
      <c r="I1481" t="s">
        <v>398</v>
      </c>
      <c r="K1481" t="s">
        <v>466</v>
      </c>
      <c r="L1481" t="s">
        <v>469</v>
      </c>
      <c r="M1481" t="s">
        <v>477</v>
      </c>
      <c r="N1481" t="s">
        <v>710</v>
      </c>
      <c r="O1481" t="s">
        <v>710</v>
      </c>
      <c r="P1481" s="1">
        <f>HYPERLINK("https://ec.europa.eu/info/funding-tenders/opportunities/portal/screen/opportunities/topic-details/horizon-jti-cleanh2-2023-01-04", "HORIZON-JTI-CLEANH2-2023-01-04")</f>
        <v>0</v>
      </c>
      <c r="Q1481" t="s">
        <v>2414</v>
      </c>
    </row>
    <row r="1482" spans="1:17">
      <c r="A1482">
        <v>45808589</v>
      </c>
      <c r="B1482">
        <v>2023</v>
      </c>
      <c r="C1482" t="s">
        <v>27</v>
      </c>
      <c r="D1482" t="s">
        <v>46</v>
      </c>
      <c r="E1482" t="s">
        <v>77</v>
      </c>
      <c r="F1482" t="s">
        <v>203</v>
      </c>
      <c r="G1482" t="s">
        <v>274</v>
      </c>
      <c r="H1482" t="s">
        <v>349</v>
      </c>
      <c r="I1482" t="s">
        <v>398</v>
      </c>
      <c r="K1482" t="s">
        <v>466</v>
      </c>
      <c r="L1482" t="s">
        <v>469</v>
      </c>
      <c r="M1482" t="s">
        <v>478</v>
      </c>
      <c r="N1482" t="s">
        <v>710</v>
      </c>
      <c r="O1482" t="s">
        <v>710</v>
      </c>
      <c r="P1482" s="1">
        <f>HYPERLINK("https://ec.europa.eu/info/funding-tenders/opportunities/portal/screen/opportunities/topic-details/horizon-jti-cleanh2-2023-01-05", "HORIZON-JTI-CLEANH2-2023-01-05")</f>
        <v>0</v>
      </c>
      <c r="Q1482" t="s">
        <v>2415</v>
      </c>
    </row>
    <row r="1483" spans="1:17">
      <c r="A1483">
        <v>45808596</v>
      </c>
      <c r="B1483">
        <v>2023</v>
      </c>
      <c r="C1483" t="s">
        <v>27</v>
      </c>
      <c r="D1483" t="s">
        <v>46</v>
      </c>
      <c r="E1483" t="s">
        <v>77</v>
      </c>
      <c r="F1483" t="s">
        <v>203</v>
      </c>
      <c r="G1483" t="s">
        <v>274</v>
      </c>
      <c r="H1483" t="s">
        <v>349</v>
      </c>
      <c r="I1483" t="s">
        <v>398</v>
      </c>
      <c r="K1483" t="s">
        <v>466</v>
      </c>
      <c r="L1483" t="s">
        <v>469</v>
      </c>
      <c r="M1483" t="s">
        <v>478</v>
      </c>
      <c r="N1483" t="s">
        <v>710</v>
      </c>
      <c r="O1483" t="s">
        <v>710</v>
      </c>
      <c r="P1483" s="1">
        <f>HYPERLINK("https://ec.europa.eu/info/funding-tenders/opportunities/portal/screen/opportunities/topic-details/horizon-jti-cleanh2-2023-01-06", "HORIZON-JTI-CLEANH2-2023-01-06")</f>
        <v>0</v>
      </c>
      <c r="Q1483" t="s">
        <v>2416</v>
      </c>
    </row>
    <row r="1484" spans="1:17">
      <c r="A1484">
        <v>45808603</v>
      </c>
      <c r="B1484">
        <v>2023</v>
      </c>
      <c r="C1484" t="s">
        <v>27</v>
      </c>
      <c r="D1484" t="s">
        <v>46</v>
      </c>
      <c r="E1484" t="s">
        <v>77</v>
      </c>
      <c r="F1484" t="s">
        <v>203</v>
      </c>
      <c r="G1484" t="s">
        <v>274</v>
      </c>
      <c r="H1484" t="s">
        <v>349</v>
      </c>
      <c r="I1484" t="s">
        <v>398</v>
      </c>
      <c r="K1484" t="s">
        <v>466</v>
      </c>
      <c r="L1484" t="s">
        <v>469</v>
      </c>
      <c r="M1484" t="s">
        <v>478</v>
      </c>
      <c r="N1484" t="s">
        <v>710</v>
      </c>
      <c r="O1484" t="s">
        <v>710</v>
      </c>
      <c r="P1484" s="1">
        <f>HYPERLINK("https://ec.europa.eu/info/funding-tenders/opportunities/portal/screen/opportunities/topic-details/horizon-jti-cleanh2-2023-01-07", "HORIZON-JTI-CLEANH2-2023-01-07")</f>
        <v>0</v>
      </c>
      <c r="Q1484" t="s">
        <v>2417</v>
      </c>
    </row>
    <row r="1485" spans="1:17">
      <c r="A1485">
        <v>45808610</v>
      </c>
      <c r="B1485">
        <v>2023</v>
      </c>
      <c r="C1485" t="s">
        <v>27</v>
      </c>
      <c r="D1485" t="s">
        <v>46</v>
      </c>
      <c r="E1485" t="s">
        <v>77</v>
      </c>
      <c r="F1485" t="s">
        <v>203</v>
      </c>
      <c r="G1485" t="s">
        <v>274</v>
      </c>
      <c r="H1485" t="s">
        <v>349</v>
      </c>
      <c r="I1485" t="s">
        <v>398</v>
      </c>
      <c r="K1485" t="s">
        <v>466</v>
      </c>
      <c r="L1485" t="s">
        <v>469</v>
      </c>
      <c r="M1485" t="s">
        <v>478</v>
      </c>
      <c r="N1485" t="s">
        <v>710</v>
      </c>
      <c r="O1485" t="s">
        <v>710</v>
      </c>
      <c r="P1485" s="1">
        <f>HYPERLINK("https://ec.europa.eu/info/funding-tenders/opportunities/portal/screen/opportunities/topic-details/horizon-jti-cleanh2-2023-02-01", "HORIZON-JTI-CLEANH2-2023-02-01")</f>
        <v>0</v>
      </c>
      <c r="Q1485" t="s">
        <v>2418</v>
      </c>
    </row>
    <row r="1486" spans="1:17">
      <c r="A1486">
        <v>45808617</v>
      </c>
      <c r="B1486">
        <v>2023</v>
      </c>
      <c r="C1486" t="s">
        <v>27</v>
      </c>
      <c r="D1486" t="s">
        <v>46</v>
      </c>
      <c r="E1486" t="s">
        <v>77</v>
      </c>
      <c r="F1486" t="s">
        <v>203</v>
      </c>
      <c r="G1486" t="s">
        <v>274</v>
      </c>
      <c r="H1486" t="s">
        <v>349</v>
      </c>
      <c r="I1486" t="s">
        <v>398</v>
      </c>
      <c r="K1486" t="s">
        <v>466</v>
      </c>
      <c r="L1486" t="s">
        <v>469</v>
      </c>
      <c r="M1486" t="s">
        <v>477</v>
      </c>
      <c r="N1486" t="s">
        <v>710</v>
      </c>
      <c r="O1486" t="s">
        <v>710</v>
      </c>
      <c r="P1486" s="1">
        <f>HYPERLINK("https://ec.europa.eu/info/funding-tenders/opportunities/portal/screen/opportunities/topic-details/horizon-jti-cleanh2-2023-02-02", "HORIZON-JTI-CLEANH2-2023-02-02")</f>
        <v>0</v>
      </c>
      <c r="Q1486" t="s">
        <v>2419</v>
      </c>
    </row>
    <row r="1487" spans="1:17">
      <c r="A1487">
        <v>45808624</v>
      </c>
      <c r="B1487">
        <v>2023</v>
      </c>
      <c r="C1487" t="s">
        <v>27</v>
      </c>
      <c r="D1487" t="s">
        <v>46</v>
      </c>
      <c r="E1487" t="s">
        <v>77</v>
      </c>
      <c r="F1487" t="s">
        <v>203</v>
      </c>
      <c r="G1487" t="s">
        <v>274</v>
      </c>
      <c r="H1487" t="s">
        <v>349</v>
      </c>
      <c r="I1487" t="s">
        <v>398</v>
      </c>
      <c r="K1487" t="s">
        <v>466</v>
      </c>
      <c r="L1487" t="s">
        <v>469</v>
      </c>
      <c r="M1487" t="s">
        <v>477</v>
      </c>
      <c r="N1487" t="s">
        <v>710</v>
      </c>
      <c r="O1487" t="s">
        <v>710</v>
      </c>
      <c r="P1487" s="1">
        <f>HYPERLINK("https://ec.europa.eu/info/funding-tenders/opportunities/portal/screen/opportunities/topic-details/horizon-jti-cleanh2-2023-02-03", "HORIZON-JTI-CLEANH2-2023-02-03")</f>
        <v>0</v>
      </c>
      <c r="Q1487" t="s">
        <v>2420</v>
      </c>
    </row>
    <row r="1488" spans="1:17">
      <c r="A1488">
        <v>45808631</v>
      </c>
      <c r="B1488">
        <v>2023</v>
      </c>
      <c r="C1488" t="s">
        <v>27</v>
      </c>
      <c r="D1488" t="s">
        <v>46</v>
      </c>
      <c r="E1488" t="s">
        <v>77</v>
      </c>
      <c r="F1488" t="s">
        <v>203</v>
      </c>
      <c r="G1488" t="s">
        <v>274</v>
      </c>
      <c r="H1488" t="s">
        <v>349</v>
      </c>
      <c r="I1488" t="s">
        <v>398</v>
      </c>
      <c r="K1488" t="s">
        <v>466</v>
      </c>
      <c r="L1488" t="s">
        <v>469</v>
      </c>
      <c r="M1488" t="s">
        <v>478</v>
      </c>
      <c r="N1488" t="s">
        <v>710</v>
      </c>
      <c r="O1488" t="s">
        <v>710</v>
      </c>
      <c r="P1488" s="1">
        <f>HYPERLINK("https://ec.europa.eu/info/funding-tenders/opportunities/portal/screen/opportunities/topic-details/horizon-jti-cleanh2-2023-02-04", "HORIZON-JTI-CLEANH2-2023-02-04")</f>
        <v>0</v>
      </c>
      <c r="Q1488" t="s">
        <v>2421</v>
      </c>
    </row>
    <row r="1489" spans="1:17">
      <c r="A1489">
        <v>45808638</v>
      </c>
      <c r="B1489">
        <v>2023</v>
      </c>
      <c r="C1489" t="s">
        <v>27</v>
      </c>
      <c r="D1489" t="s">
        <v>46</v>
      </c>
      <c r="E1489" t="s">
        <v>77</v>
      </c>
      <c r="F1489" t="s">
        <v>203</v>
      </c>
      <c r="G1489" t="s">
        <v>274</v>
      </c>
      <c r="H1489" t="s">
        <v>349</v>
      </c>
      <c r="I1489" t="s">
        <v>398</v>
      </c>
      <c r="K1489" t="s">
        <v>466</v>
      </c>
      <c r="L1489" t="s">
        <v>469</v>
      </c>
      <c r="M1489" t="s">
        <v>478</v>
      </c>
      <c r="N1489" t="s">
        <v>710</v>
      </c>
      <c r="O1489" t="s">
        <v>710</v>
      </c>
      <c r="P1489" s="1">
        <f>HYPERLINK("https://ec.europa.eu/info/funding-tenders/opportunities/portal/screen/opportunities/topic-details/horizon-jti-cleanh2-2023-02-05", "HORIZON-JTI-CLEANH2-2023-02-05")</f>
        <v>0</v>
      </c>
      <c r="Q1489" t="s">
        <v>2422</v>
      </c>
    </row>
    <row r="1490" spans="1:17">
      <c r="A1490">
        <v>45808645</v>
      </c>
      <c r="B1490">
        <v>2023</v>
      </c>
      <c r="C1490" t="s">
        <v>27</v>
      </c>
      <c r="D1490" t="s">
        <v>46</v>
      </c>
      <c r="E1490" t="s">
        <v>77</v>
      </c>
      <c r="F1490" t="s">
        <v>203</v>
      </c>
      <c r="G1490" t="s">
        <v>274</v>
      </c>
      <c r="H1490" t="s">
        <v>349</v>
      </c>
      <c r="I1490" t="s">
        <v>398</v>
      </c>
      <c r="K1490" t="s">
        <v>466</v>
      </c>
      <c r="L1490" t="s">
        <v>469</v>
      </c>
      <c r="M1490" t="s">
        <v>478</v>
      </c>
      <c r="N1490" t="s">
        <v>710</v>
      </c>
      <c r="O1490" t="s">
        <v>710</v>
      </c>
      <c r="P1490" s="1">
        <f>HYPERLINK("https://ec.europa.eu/info/funding-tenders/opportunities/portal/screen/opportunities/topic-details/horizon-jti-cleanh2-2023-03-01", "HORIZON-JTI-CLEANH2-2023-03-01")</f>
        <v>0</v>
      </c>
      <c r="Q1490" t="s">
        <v>2423</v>
      </c>
    </row>
    <row r="1491" spans="1:17">
      <c r="A1491">
        <v>45808652</v>
      </c>
      <c r="B1491">
        <v>2023</v>
      </c>
      <c r="C1491" t="s">
        <v>27</v>
      </c>
      <c r="D1491" t="s">
        <v>46</v>
      </c>
      <c r="E1491" t="s">
        <v>77</v>
      </c>
      <c r="F1491" t="s">
        <v>203</v>
      </c>
      <c r="G1491" t="s">
        <v>274</v>
      </c>
      <c r="H1491" t="s">
        <v>349</v>
      </c>
      <c r="I1491" t="s">
        <v>398</v>
      </c>
      <c r="K1491" t="s">
        <v>466</v>
      </c>
      <c r="L1491" t="s">
        <v>469</v>
      </c>
      <c r="M1491" t="s">
        <v>477</v>
      </c>
      <c r="N1491" t="s">
        <v>710</v>
      </c>
      <c r="O1491" t="s">
        <v>710</v>
      </c>
      <c r="P1491" s="1">
        <f>HYPERLINK("https://ec.europa.eu/info/funding-tenders/opportunities/portal/screen/opportunities/topic-details/horizon-jti-cleanh2-2023-03-02", "HORIZON-JTI-CLEANH2-2023-03-02")</f>
        <v>0</v>
      </c>
      <c r="Q1491" t="s">
        <v>2424</v>
      </c>
    </row>
    <row r="1492" spans="1:17">
      <c r="A1492">
        <v>45808659</v>
      </c>
      <c r="B1492">
        <v>2023</v>
      </c>
      <c r="C1492" t="s">
        <v>27</v>
      </c>
      <c r="D1492" t="s">
        <v>46</v>
      </c>
      <c r="E1492" t="s">
        <v>77</v>
      </c>
      <c r="F1492" t="s">
        <v>203</v>
      </c>
      <c r="G1492" t="s">
        <v>274</v>
      </c>
      <c r="H1492" t="s">
        <v>349</v>
      </c>
      <c r="I1492" t="s">
        <v>398</v>
      </c>
      <c r="K1492" t="s">
        <v>466</v>
      </c>
      <c r="L1492" t="s">
        <v>469</v>
      </c>
      <c r="M1492" t="s">
        <v>477</v>
      </c>
      <c r="N1492" t="s">
        <v>710</v>
      </c>
      <c r="O1492" t="s">
        <v>710</v>
      </c>
      <c r="P1492" s="1">
        <f>HYPERLINK("https://ec.europa.eu/info/funding-tenders/opportunities/portal/screen/opportunities/topic-details/horizon-jti-cleanh2-2023-03-03", "HORIZON-JTI-CLEANH2-2023-03-03")</f>
        <v>0</v>
      </c>
      <c r="Q1492" t="s">
        <v>2425</v>
      </c>
    </row>
    <row r="1493" spans="1:17">
      <c r="A1493">
        <v>45808666</v>
      </c>
      <c r="B1493">
        <v>2023</v>
      </c>
      <c r="C1493" t="s">
        <v>27</v>
      </c>
      <c r="D1493" t="s">
        <v>46</v>
      </c>
      <c r="E1493" t="s">
        <v>77</v>
      </c>
      <c r="F1493" t="s">
        <v>203</v>
      </c>
      <c r="G1493" t="s">
        <v>274</v>
      </c>
      <c r="H1493" t="s">
        <v>349</v>
      </c>
      <c r="I1493" t="s">
        <v>398</v>
      </c>
      <c r="K1493" t="s">
        <v>466</v>
      </c>
      <c r="L1493" t="s">
        <v>469</v>
      </c>
      <c r="M1493" t="s">
        <v>477</v>
      </c>
      <c r="N1493" t="s">
        <v>710</v>
      </c>
      <c r="O1493" t="s">
        <v>710</v>
      </c>
      <c r="P1493" s="1">
        <f>HYPERLINK("https://ec.europa.eu/info/funding-tenders/opportunities/portal/screen/opportunities/topic-details/horizon-jti-cleanh2-2023-04-01", "HORIZON-JTI-CLEANH2-2023-04-01")</f>
        <v>0</v>
      </c>
      <c r="Q1493" t="s">
        <v>2426</v>
      </c>
    </row>
    <row r="1494" spans="1:17">
      <c r="A1494">
        <v>45808673</v>
      </c>
      <c r="B1494">
        <v>2023</v>
      </c>
      <c r="C1494" t="s">
        <v>27</v>
      </c>
      <c r="D1494" t="s">
        <v>46</v>
      </c>
      <c r="E1494" t="s">
        <v>77</v>
      </c>
      <c r="F1494" t="s">
        <v>203</v>
      </c>
      <c r="G1494" t="s">
        <v>274</v>
      </c>
      <c r="H1494" t="s">
        <v>349</v>
      </c>
      <c r="I1494" t="s">
        <v>398</v>
      </c>
      <c r="K1494" t="s">
        <v>466</v>
      </c>
      <c r="L1494" t="s">
        <v>469</v>
      </c>
      <c r="M1494" t="s">
        <v>477</v>
      </c>
      <c r="N1494" t="s">
        <v>710</v>
      </c>
      <c r="O1494" t="s">
        <v>710</v>
      </c>
      <c r="P1494" s="1">
        <f>HYPERLINK("https://ec.europa.eu/info/funding-tenders/opportunities/portal/screen/opportunities/topic-details/horizon-jti-cleanh2-2023-04-02", "HORIZON-JTI-CLEANH2-2023-04-02")</f>
        <v>0</v>
      </c>
      <c r="Q1494" t="s">
        <v>2427</v>
      </c>
    </row>
    <row r="1495" spans="1:17">
      <c r="A1495">
        <v>45808680</v>
      </c>
      <c r="B1495">
        <v>2023</v>
      </c>
      <c r="C1495" t="s">
        <v>27</v>
      </c>
      <c r="D1495" t="s">
        <v>46</v>
      </c>
      <c r="E1495" t="s">
        <v>77</v>
      </c>
      <c r="F1495" t="s">
        <v>203</v>
      </c>
      <c r="G1495" t="s">
        <v>274</v>
      </c>
      <c r="H1495" t="s">
        <v>349</v>
      </c>
      <c r="I1495" t="s">
        <v>398</v>
      </c>
      <c r="K1495" t="s">
        <v>466</v>
      </c>
      <c r="L1495" t="s">
        <v>469</v>
      </c>
      <c r="M1495" t="s">
        <v>478</v>
      </c>
      <c r="N1495" t="s">
        <v>710</v>
      </c>
      <c r="O1495" t="s">
        <v>710</v>
      </c>
      <c r="P1495" s="1">
        <f>HYPERLINK("https://ec.europa.eu/info/funding-tenders/opportunities/portal/screen/opportunities/topic-details/horizon-jti-cleanh2-2023-04-03", "HORIZON-JTI-CLEANH2-2023-04-03")</f>
        <v>0</v>
      </c>
      <c r="Q1495" t="s">
        <v>2428</v>
      </c>
    </row>
    <row r="1496" spans="1:17">
      <c r="A1496">
        <v>45808687</v>
      </c>
      <c r="B1496">
        <v>2023</v>
      </c>
      <c r="C1496" t="s">
        <v>27</v>
      </c>
      <c r="D1496" t="s">
        <v>46</v>
      </c>
      <c r="E1496" t="s">
        <v>77</v>
      </c>
      <c r="F1496" t="s">
        <v>203</v>
      </c>
      <c r="G1496" t="s">
        <v>274</v>
      </c>
      <c r="H1496" t="s">
        <v>349</v>
      </c>
      <c r="I1496" t="s">
        <v>398</v>
      </c>
      <c r="K1496" t="s">
        <v>466</v>
      </c>
      <c r="L1496" t="s">
        <v>469</v>
      </c>
      <c r="M1496" t="s">
        <v>478</v>
      </c>
      <c r="N1496" t="s">
        <v>710</v>
      </c>
      <c r="O1496" t="s">
        <v>710</v>
      </c>
      <c r="P1496" s="1">
        <f>HYPERLINK("https://ec.europa.eu/info/funding-tenders/opportunities/portal/screen/opportunities/topic-details/horizon-jti-cleanh2-2023-04-04", "HORIZON-JTI-CLEANH2-2023-04-04")</f>
        <v>0</v>
      </c>
      <c r="Q1496" t="s">
        <v>2429</v>
      </c>
    </row>
    <row r="1497" spans="1:17">
      <c r="A1497">
        <v>45808694</v>
      </c>
      <c r="B1497">
        <v>2023</v>
      </c>
      <c r="C1497" t="s">
        <v>27</v>
      </c>
      <c r="D1497" t="s">
        <v>46</v>
      </c>
      <c r="E1497" t="s">
        <v>77</v>
      </c>
      <c r="F1497" t="s">
        <v>203</v>
      </c>
      <c r="G1497" t="s">
        <v>274</v>
      </c>
      <c r="H1497" t="s">
        <v>349</v>
      </c>
      <c r="I1497" t="s">
        <v>398</v>
      </c>
      <c r="K1497" t="s">
        <v>466</v>
      </c>
      <c r="L1497" t="s">
        <v>469</v>
      </c>
      <c r="M1497" t="s">
        <v>479</v>
      </c>
      <c r="N1497" t="s">
        <v>710</v>
      </c>
      <c r="O1497" t="s">
        <v>710</v>
      </c>
      <c r="P1497" s="1">
        <f>HYPERLINK("https://ec.europa.eu/info/funding-tenders/opportunities/portal/screen/opportunities/topic-details/horizon-jti-cleanh2-2023-05-01", "HORIZON-JTI-CLEANH2-2023-05-01")</f>
        <v>0</v>
      </c>
      <c r="Q1497" t="s">
        <v>2430</v>
      </c>
    </row>
    <row r="1498" spans="1:17">
      <c r="A1498">
        <v>45808701</v>
      </c>
      <c r="B1498">
        <v>2023</v>
      </c>
      <c r="C1498" t="s">
        <v>27</v>
      </c>
      <c r="D1498" t="s">
        <v>46</v>
      </c>
      <c r="E1498" t="s">
        <v>77</v>
      </c>
      <c r="F1498" t="s">
        <v>203</v>
      </c>
      <c r="G1498" t="s">
        <v>274</v>
      </c>
      <c r="H1498" t="s">
        <v>349</v>
      </c>
      <c r="I1498" t="s">
        <v>398</v>
      </c>
      <c r="K1498" t="s">
        <v>466</v>
      </c>
      <c r="L1498" t="s">
        <v>469</v>
      </c>
      <c r="M1498" t="s">
        <v>479</v>
      </c>
      <c r="N1498" t="s">
        <v>710</v>
      </c>
      <c r="O1498" t="s">
        <v>710</v>
      </c>
      <c r="P1498" s="1">
        <f>HYPERLINK("https://ec.europa.eu/info/funding-tenders/opportunities/portal/screen/opportunities/topic-details/horizon-jti-cleanh2-2023-05-02", "HORIZON-JTI-CLEANH2-2023-05-02")</f>
        <v>0</v>
      </c>
      <c r="Q1498" t="s">
        <v>2431</v>
      </c>
    </row>
    <row r="1499" spans="1:17">
      <c r="A1499">
        <v>45808708</v>
      </c>
      <c r="B1499">
        <v>2023</v>
      </c>
      <c r="C1499" t="s">
        <v>27</v>
      </c>
      <c r="D1499" t="s">
        <v>46</v>
      </c>
      <c r="E1499" t="s">
        <v>77</v>
      </c>
      <c r="F1499" t="s">
        <v>203</v>
      </c>
      <c r="G1499" t="s">
        <v>274</v>
      </c>
      <c r="H1499" t="s">
        <v>349</v>
      </c>
      <c r="I1499" t="s">
        <v>398</v>
      </c>
      <c r="K1499" t="s">
        <v>466</v>
      </c>
      <c r="L1499" t="s">
        <v>469</v>
      </c>
      <c r="M1499" t="s">
        <v>477</v>
      </c>
      <c r="N1499" t="s">
        <v>710</v>
      </c>
      <c r="O1499" t="s">
        <v>710</v>
      </c>
      <c r="P1499" s="1">
        <f>HYPERLINK("https://ec.europa.eu/info/funding-tenders/opportunities/portal/screen/opportunities/topic-details/horizon-jti-cleanh2-2023-05-03", "HORIZON-JTI-CLEANH2-2023-05-03")</f>
        <v>0</v>
      </c>
      <c r="Q1499" t="s">
        <v>2432</v>
      </c>
    </row>
    <row r="1500" spans="1:17">
      <c r="A1500">
        <v>45808715</v>
      </c>
      <c r="B1500">
        <v>2023</v>
      </c>
      <c r="C1500" t="s">
        <v>27</v>
      </c>
      <c r="D1500" t="s">
        <v>46</v>
      </c>
      <c r="E1500" t="s">
        <v>77</v>
      </c>
      <c r="F1500" t="s">
        <v>203</v>
      </c>
      <c r="G1500" t="s">
        <v>274</v>
      </c>
      <c r="H1500" t="s">
        <v>349</v>
      </c>
      <c r="I1500" t="s">
        <v>398</v>
      </c>
      <c r="K1500" t="s">
        <v>466</v>
      </c>
      <c r="L1500" t="s">
        <v>469</v>
      </c>
      <c r="M1500" t="s">
        <v>478</v>
      </c>
      <c r="N1500" t="s">
        <v>710</v>
      </c>
      <c r="O1500" t="s">
        <v>710</v>
      </c>
      <c r="P1500" s="1">
        <f>HYPERLINK("https://ec.europa.eu/info/funding-tenders/opportunities/portal/screen/opportunities/topic-details/horizon-jti-cleanh2-2023-06-01", "HORIZON-JTI-CLEANH2-2023-06-01")</f>
        <v>0</v>
      </c>
      <c r="Q1500" t="s">
        <v>2433</v>
      </c>
    </row>
    <row r="1501" spans="1:17">
      <c r="A1501">
        <v>45808722</v>
      </c>
      <c r="B1501">
        <v>2023</v>
      </c>
      <c r="C1501" t="s">
        <v>27</v>
      </c>
      <c r="D1501" t="s">
        <v>46</v>
      </c>
      <c r="E1501" t="s">
        <v>77</v>
      </c>
      <c r="F1501" t="s">
        <v>203</v>
      </c>
      <c r="G1501" t="s">
        <v>274</v>
      </c>
      <c r="H1501" t="s">
        <v>349</v>
      </c>
      <c r="I1501" t="s">
        <v>398</v>
      </c>
      <c r="K1501" t="s">
        <v>466</v>
      </c>
      <c r="L1501" t="s">
        <v>469</v>
      </c>
      <c r="M1501" t="s">
        <v>478</v>
      </c>
      <c r="N1501" t="s">
        <v>710</v>
      </c>
      <c r="O1501" t="s">
        <v>710</v>
      </c>
      <c r="P1501" s="1">
        <f>HYPERLINK("https://ec.europa.eu/info/funding-tenders/opportunities/portal/screen/opportunities/topic-details/horizon-jti-cleanh2-2023-06-02", "HORIZON-JTI-CLEANH2-2023-06-02")</f>
        <v>0</v>
      </c>
      <c r="Q1501" t="s">
        <v>2434</v>
      </c>
    </row>
    <row r="1502" spans="1:17">
      <c r="A1502">
        <v>45808729</v>
      </c>
      <c r="B1502">
        <v>2023</v>
      </c>
      <c r="C1502" t="s">
        <v>27</v>
      </c>
      <c r="D1502" t="s">
        <v>46</v>
      </c>
      <c r="E1502" t="s">
        <v>77</v>
      </c>
      <c r="F1502" t="s">
        <v>203</v>
      </c>
      <c r="G1502" t="s">
        <v>274</v>
      </c>
      <c r="H1502" t="s">
        <v>349</v>
      </c>
      <c r="I1502" t="s">
        <v>398</v>
      </c>
      <c r="K1502" t="s">
        <v>466</v>
      </c>
      <c r="L1502" t="s">
        <v>469</v>
      </c>
      <c r="M1502" t="s">
        <v>477</v>
      </c>
      <c r="N1502" t="s">
        <v>710</v>
      </c>
      <c r="O1502" t="s">
        <v>710</v>
      </c>
      <c r="P1502" s="1">
        <f>HYPERLINK("https://ec.europa.eu/info/funding-tenders/opportunities/portal/screen/opportunities/topic-details/horizon-jti-cleanh2-2023-07-01", "HORIZON-JTI-CLEANH2-2023-07-01")</f>
        <v>0</v>
      </c>
      <c r="Q1502" t="s">
        <v>2435</v>
      </c>
    </row>
    <row r="1503" spans="1:17">
      <c r="A1503">
        <v>45808736</v>
      </c>
      <c r="B1503">
        <v>2023</v>
      </c>
      <c r="C1503" t="s">
        <v>27</v>
      </c>
      <c r="D1503" t="s">
        <v>46</v>
      </c>
      <c r="E1503" t="s">
        <v>77</v>
      </c>
      <c r="F1503" t="s">
        <v>203</v>
      </c>
      <c r="G1503" t="s">
        <v>274</v>
      </c>
      <c r="H1503" t="s">
        <v>349</v>
      </c>
      <c r="I1503" t="s">
        <v>398</v>
      </c>
      <c r="K1503" t="s">
        <v>466</v>
      </c>
      <c r="L1503" t="s">
        <v>469</v>
      </c>
      <c r="M1503" t="s">
        <v>477</v>
      </c>
      <c r="N1503" t="s">
        <v>710</v>
      </c>
      <c r="O1503" t="s">
        <v>710</v>
      </c>
      <c r="P1503" s="1">
        <f>HYPERLINK("https://ec.europa.eu/info/funding-tenders/opportunities/portal/screen/opportunities/topic-details/horizon-jti-cleanh2-2023-07-02", "HORIZON-JTI-CLEANH2-2023-07-02")</f>
        <v>0</v>
      </c>
      <c r="Q1503" t="s">
        <v>2436</v>
      </c>
    </row>
    <row r="1504" spans="1:17">
      <c r="A1504">
        <v>46696158</v>
      </c>
      <c r="B1504">
        <v>2024</v>
      </c>
      <c r="C1504" t="s">
        <v>27</v>
      </c>
      <c r="D1504" t="s">
        <v>46</v>
      </c>
      <c r="E1504" t="s">
        <v>77</v>
      </c>
      <c r="G1504" t="s">
        <v>255</v>
      </c>
      <c r="H1504" t="s">
        <v>350</v>
      </c>
      <c r="I1504" t="s">
        <v>435</v>
      </c>
      <c r="K1504" t="s">
        <v>466</v>
      </c>
      <c r="L1504" t="s">
        <v>469</v>
      </c>
      <c r="M1504" t="s">
        <v>477</v>
      </c>
      <c r="N1504" t="s">
        <v>711</v>
      </c>
      <c r="O1504" t="s">
        <v>711</v>
      </c>
      <c r="P1504" s="1">
        <f>HYPERLINK("https://ec.europa.eu/info/funding-tenders/opportunities/portal/screen/opportunities/topic-details/horizon-jti-cleanh2-2024-01-01", "HORIZON-JTI-CLEANH2-2024-01-01")</f>
        <v>0</v>
      </c>
      <c r="Q1504" t="s">
        <v>2437</v>
      </c>
    </row>
    <row r="1505" spans="1:17">
      <c r="A1505">
        <v>46696211</v>
      </c>
      <c r="B1505">
        <v>2024</v>
      </c>
      <c r="C1505" t="s">
        <v>27</v>
      </c>
      <c r="D1505" t="s">
        <v>46</v>
      </c>
      <c r="E1505" t="s">
        <v>77</v>
      </c>
      <c r="G1505" t="s">
        <v>255</v>
      </c>
      <c r="H1505" t="s">
        <v>350</v>
      </c>
      <c r="I1505" t="s">
        <v>435</v>
      </c>
      <c r="K1505" t="s">
        <v>466</v>
      </c>
      <c r="L1505" t="s">
        <v>469</v>
      </c>
      <c r="M1505" t="s">
        <v>477</v>
      </c>
      <c r="N1505" t="s">
        <v>711</v>
      </c>
      <c r="O1505" t="s">
        <v>711</v>
      </c>
      <c r="P1505" s="1">
        <f>HYPERLINK("https://ec.europa.eu/info/funding-tenders/opportunities/portal/screen/opportunities/topic-details/horizon-jti-cleanh2-2024-01-02", "HORIZON-JTI-CLEANH2-2024-01-02")</f>
        <v>0</v>
      </c>
      <c r="Q1505" t="s">
        <v>2438</v>
      </c>
    </row>
    <row r="1506" spans="1:17">
      <c r="A1506">
        <v>46696180</v>
      </c>
      <c r="B1506">
        <v>2024</v>
      </c>
      <c r="C1506" t="s">
        <v>27</v>
      </c>
      <c r="D1506" t="s">
        <v>46</v>
      </c>
      <c r="E1506" t="s">
        <v>77</v>
      </c>
      <c r="G1506" t="s">
        <v>255</v>
      </c>
      <c r="H1506" t="s">
        <v>350</v>
      </c>
      <c r="I1506" t="s">
        <v>435</v>
      </c>
      <c r="K1506" t="s">
        <v>466</v>
      </c>
      <c r="L1506" t="s">
        <v>469</v>
      </c>
      <c r="M1506" t="s">
        <v>477</v>
      </c>
      <c r="N1506" t="s">
        <v>711</v>
      </c>
      <c r="O1506" t="s">
        <v>711</v>
      </c>
      <c r="P1506" s="1">
        <f>HYPERLINK("https://ec.europa.eu/info/funding-tenders/opportunities/portal/screen/opportunities/topic-details/horizon-jti-cleanh2-2024-01-03", "HORIZON-JTI-CLEANH2-2024-01-03")</f>
        <v>0</v>
      </c>
      <c r="Q1506" t="s">
        <v>2439</v>
      </c>
    </row>
    <row r="1507" spans="1:17">
      <c r="A1507">
        <v>46696153</v>
      </c>
      <c r="B1507">
        <v>2024</v>
      </c>
      <c r="C1507" t="s">
        <v>27</v>
      </c>
      <c r="D1507" t="s">
        <v>46</v>
      </c>
      <c r="E1507" t="s">
        <v>77</v>
      </c>
      <c r="G1507" t="s">
        <v>255</v>
      </c>
      <c r="H1507" t="s">
        <v>350</v>
      </c>
      <c r="I1507" t="s">
        <v>435</v>
      </c>
      <c r="K1507" t="s">
        <v>466</v>
      </c>
      <c r="L1507" t="s">
        <v>469</v>
      </c>
      <c r="M1507" t="s">
        <v>477</v>
      </c>
      <c r="N1507" t="s">
        <v>711</v>
      </c>
      <c r="O1507" t="s">
        <v>711</v>
      </c>
      <c r="P1507" s="1">
        <f>HYPERLINK("https://ec.europa.eu/info/funding-tenders/opportunities/portal/screen/opportunities/topic-details/horizon-jti-cleanh2-2024-01-04", "HORIZON-JTI-CLEANH2-2024-01-04")</f>
        <v>0</v>
      </c>
      <c r="Q1507" t="s">
        <v>2440</v>
      </c>
    </row>
    <row r="1508" spans="1:17">
      <c r="A1508">
        <v>46696201</v>
      </c>
      <c r="B1508">
        <v>2024</v>
      </c>
      <c r="C1508" t="s">
        <v>27</v>
      </c>
      <c r="D1508" t="s">
        <v>46</v>
      </c>
      <c r="E1508" t="s">
        <v>77</v>
      </c>
      <c r="G1508" t="s">
        <v>255</v>
      </c>
      <c r="H1508" t="s">
        <v>350</v>
      </c>
      <c r="I1508" t="s">
        <v>435</v>
      </c>
      <c r="K1508" t="s">
        <v>466</v>
      </c>
      <c r="L1508" t="s">
        <v>469</v>
      </c>
      <c r="M1508" t="s">
        <v>478</v>
      </c>
      <c r="N1508" t="s">
        <v>711</v>
      </c>
      <c r="O1508" t="s">
        <v>711</v>
      </c>
      <c r="P1508" s="1">
        <f>HYPERLINK("https://ec.europa.eu/info/funding-tenders/opportunities/portal/screen/opportunities/topic-details/horizon-jti-cleanh2-2024-01-05", "HORIZON-JTI-CLEANH2-2024-01-05")</f>
        <v>0</v>
      </c>
      <c r="Q1508" t="s">
        <v>2441</v>
      </c>
    </row>
    <row r="1509" spans="1:17">
      <c r="A1509">
        <v>46696223</v>
      </c>
      <c r="B1509">
        <v>2024</v>
      </c>
      <c r="C1509" t="s">
        <v>27</v>
      </c>
      <c r="D1509" t="s">
        <v>46</v>
      </c>
      <c r="E1509" t="s">
        <v>77</v>
      </c>
      <c r="G1509" t="s">
        <v>255</v>
      </c>
      <c r="H1509" t="s">
        <v>350</v>
      </c>
      <c r="I1509" t="s">
        <v>435</v>
      </c>
      <c r="K1509" t="s">
        <v>466</v>
      </c>
      <c r="L1509" t="s">
        <v>469</v>
      </c>
      <c r="M1509" t="s">
        <v>477</v>
      </c>
      <c r="N1509" t="s">
        <v>711</v>
      </c>
      <c r="O1509" t="s">
        <v>711</v>
      </c>
      <c r="P1509" s="1">
        <f>HYPERLINK("https://ec.europa.eu/info/funding-tenders/opportunities/portal/screen/opportunities/topic-details/horizon-jti-cleanh2-2024-02-01", "HORIZON-JTI-CLEANH2-2024-02-01")</f>
        <v>0</v>
      </c>
      <c r="Q1509" t="s">
        <v>2442</v>
      </c>
    </row>
    <row r="1510" spans="1:17">
      <c r="A1510">
        <v>46696165</v>
      </c>
      <c r="B1510">
        <v>2024</v>
      </c>
      <c r="C1510" t="s">
        <v>27</v>
      </c>
      <c r="D1510" t="s">
        <v>46</v>
      </c>
      <c r="E1510" t="s">
        <v>77</v>
      </c>
      <c r="G1510" t="s">
        <v>255</v>
      </c>
      <c r="H1510" t="s">
        <v>350</v>
      </c>
      <c r="I1510" t="s">
        <v>435</v>
      </c>
      <c r="K1510" t="s">
        <v>466</v>
      </c>
      <c r="L1510" t="s">
        <v>469</v>
      </c>
      <c r="M1510" t="s">
        <v>477</v>
      </c>
      <c r="N1510" t="s">
        <v>711</v>
      </c>
      <c r="O1510" t="s">
        <v>711</v>
      </c>
      <c r="P1510" s="1">
        <f>HYPERLINK("https://ec.europa.eu/info/funding-tenders/opportunities/portal/screen/opportunities/topic-details/horizon-jti-cleanh2-2024-02-02", "HORIZON-JTI-CLEANH2-2024-02-02")</f>
        <v>0</v>
      </c>
      <c r="Q1510" t="s">
        <v>2443</v>
      </c>
    </row>
    <row r="1511" spans="1:17">
      <c r="A1511">
        <v>46696186</v>
      </c>
      <c r="B1511">
        <v>2024</v>
      </c>
      <c r="C1511" t="s">
        <v>27</v>
      </c>
      <c r="D1511" t="s">
        <v>46</v>
      </c>
      <c r="E1511" t="s">
        <v>77</v>
      </c>
      <c r="G1511" t="s">
        <v>255</v>
      </c>
      <c r="H1511" t="s">
        <v>350</v>
      </c>
      <c r="I1511" t="s">
        <v>435</v>
      </c>
      <c r="K1511" t="s">
        <v>466</v>
      </c>
      <c r="L1511" t="s">
        <v>469</v>
      </c>
      <c r="M1511" t="s">
        <v>478</v>
      </c>
      <c r="N1511" t="s">
        <v>711</v>
      </c>
      <c r="O1511" t="s">
        <v>711</v>
      </c>
      <c r="P1511" s="1">
        <f>HYPERLINK("https://ec.europa.eu/info/funding-tenders/opportunities/portal/screen/opportunities/topic-details/horizon-jti-cleanh2-2024-02-03", "HORIZON-JTI-CLEANH2-2024-02-03")</f>
        <v>0</v>
      </c>
      <c r="Q1511" t="s">
        <v>2444</v>
      </c>
    </row>
    <row r="1512" spans="1:17">
      <c r="A1512">
        <v>46696143</v>
      </c>
      <c r="B1512">
        <v>2024</v>
      </c>
      <c r="C1512" t="s">
        <v>27</v>
      </c>
      <c r="D1512" t="s">
        <v>46</v>
      </c>
      <c r="E1512" t="s">
        <v>77</v>
      </c>
      <c r="G1512" t="s">
        <v>255</v>
      </c>
      <c r="H1512" t="s">
        <v>350</v>
      </c>
      <c r="I1512" t="s">
        <v>435</v>
      </c>
      <c r="K1512" t="s">
        <v>466</v>
      </c>
      <c r="L1512" t="s">
        <v>469</v>
      </c>
      <c r="M1512" t="s">
        <v>478</v>
      </c>
      <c r="N1512" t="s">
        <v>711</v>
      </c>
      <c r="O1512" t="s">
        <v>711</v>
      </c>
      <c r="P1512" s="1">
        <f>HYPERLINK("https://ec.europa.eu/info/funding-tenders/opportunities/portal/screen/opportunities/topic-details/horizon-jti-cleanh2-2024-02-04", "HORIZON-JTI-CLEANH2-2024-02-04")</f>
        <v>0</v>
      </c>
      <c r="Q1512" t="s">
        <v>2445</v>
      </c>
    </row>
    <row r="1513" spans="1:17">
      <c r="A1513">
        <v>46696218</v>
      </c>
      <c r="B1513">
        <v>2024</v>
      </c>
      <c r="C1513" t="s">
        <v>27</v>
      </c>
      <c r="D1513" t="s">
        <v>46</v>
      </c>
      <c r="E1513" t="s">
        <v>77</v>
      </c>
      <c r="G1513" t="s">
        <v>255</v>
      </c>
      <c r="H1513" t="s">
        <v>350</v>
      </c>
      <c r="I1513" t="s">
        <v>435</v>
      </c>
      <c r="K1513" t="s">
        <v>466</v>
      </c>
      <c r="L1513" t="s">
        <v>469</v>
      </c>
      <c r="M1513" t="s">
        <v>478</v>
      </c>
      <c r="N1513" t="s">
        <v>711</v>
      </c>
      <c r="O1513" t="s">
        <v>711</v>
      </c>
      <c r="P1513" s="1">
        <f>HYPERLINK("https://ec.europa.eu/info/funding-tenders/opportunities/portal/screen/opportunities/topic-details/horizon-jti-cleanh2-2024-02-05", "HORIZON-JTI-CLEANH2-2024-02-05")</f>
        <v>0</v>
      </c>
      <c r="Q1513" t="s">
        <v>2446</v>
      </c>
    </row>
    <row r="1514" spans="1:17">
      <c r="A1514">
        <v>46696233</v>
      </c>
      <c r="B1514">
        <v>2024</v>
      </c>
      <c r="C1514" t="s">
        <v>27</v>
      </c>
      <c r="D1514" t="s">
        <v>46</v>
      </c>
      <c r="E1514" t="s">
        <v>77</v>
      </c>
      <c r="G1514" t="s">
        <v>255</v>
      </c>
      <c r="H1514" t="s">
        <v>350</v>
      </c>
      <c r="I1514" t="s">
        <v>435</v>
      </c>
      <c r="K1514" t="s">
        <v>466</v>
      </c>
      <c r="L1514" t="s">
        <v>469</v>
      </c>
      <c r="M1514" t="s">
        <v>477</v>
      </c>
      <c r="N1514" t="s">
        <v>711</v>
      </c>
      <c r="O1514" t="s">
        <v>711</v>
      </c>
      <c r="P1514" s="1">
        <f>HYPERLINK("https://ec.europa.eu/info/funding-tenders/opportunities/portal/screen/opportunities/topic-details/horizon-jti-cleanh2-2024-03-01", "HORIZON-JTI-CLEANH2-2024-03-01")</f>
        <v>0</v>
      </c>
      <c r="Q1514" t="s">
        <v>2447</v>
      </c>
    </row>
    <row r="1515" spans="1:17">
      <c r="A1515">
        <v>46696175</v>
      </c>
      <c r="B1515">
        <v>2024</v>
      </c>
      <c r="C1515" t="s">
        <v>27</v>
      </c>
      <c r="D1515" t="s">
        <v>46</v>
      </c>
      <c r="E1515" t="s">
        <v>77</v>
      </c>
      <c r="G1515" t="s">
        <v>255</v>
      </c>
      <c r="H1515" t="s">
        <v>350</v>
      </c>
      <c r="I1515" t="s">
        <v>435</v>
      </c>
      <c r="K1515" t="s">
        <v>466</v>
      </c>
      <c r="L1515" t="s">
        <v>469</v>
      </c>
      <c r="M1515" t="s">
        <v>477</v>
      </c>
      <c r="N1515" t="s">
        <v>711</v>
      </c>
      <c r="O1515" t="s">
        <v>711</v>
      </c>
      <c r="P1515" s="1">
        <f>HYPERLINK("https://ec.europa.eu/info/funding-tenders/opportunities/portal/screen/opportunities/topic-details/horizon-jti-cleanh2-2024-03-02", "HORIZON-JTI-CLEANH2-2024-03-02")</f>
        <v>0</v>
      </c>
      <c r="Q1515" t="s">
        <v>2448</v>
      </c>
    </row>
    <row r="1516" spans="1:17">
      <c r="A1516">
        <v>46696196</v>
      </c>
      <c r="B1516">
        <v>2024</v>
      </c>
      <c r="C1516" t="s">
        <v>27</v>
      </c>
      <c r="D1516" t="s">
        <v>46</v>
      </c>
      <c r="E1516" t="s">
        <v>77</v>
      </c>
      <c r="G1516" t="s">
        <v>255</v>
      </c>
      <c r="H1516" t="s">
        <v>350</v>
      </c>
      <c r="I1516" t="s">
        <v>435</v>
      </c>
      <c r="K1516" t="s">
        <v>466</v>
      </c>
      <c r="L1516" t="s">
        <v>469</v>
      </c>
      <c r="M1516" t="s">
        <v>477</v>
      </c>
      <c r="N1516" t="s">
        <v>711</v>
      </c>
      <c r="O1516" t="s">
        <v>711</v>
      </c>
      <c r="P1516" s="1">
        <f>HYPERLINK("https://ec.europa.eu/info/funding-tenders/opportunities/portal/screen/opportunities/topic-details/horizon-jti-cleanh2-2024-03-03", "HORIZON-JTI-CLEANH2-2024-03-03")</f>
        <v>0</v>
      </c>
      <c r="Q1516" t="s">
        <v>2449</v>
      </c>
    </row>
    <row r="1517" spans="1:17">
      <c r="A1517">
        <v>46696148</v>
      </c>
      <c r="B1517">
        <v>2024</v>
      </c>
      <c r="C1517" t="s">
        <v>27</v>
      </c>
      <c r="D1517" t="s">
        <v>46</v>
      </c>
      <c r="E1517" t="s">
        <v>77</v>
      </c>
      <c r="G1517" t="s">
        <v>255</v>
      </c>
      <c r="H1517" t="s">
        <v>350</v>
      </c>
      <c r="I1517" t="s">
        <v>435</v>
      </c>
      <c r="K1517" t="s">
        <v>466</v>
      </c>
      <c r="L1517" t="s">
        <v>469</v>
      </c>
      <c r="M1517" t="s">
        <v>478</v>
      </c>
      <c r="N1517" t="s">
        <v>711</v>
      </c>
      <c r="O1517" t="s">
        <v>711</v>
      </c>
      <c r="P1517" s="1">
        <f>HYPERLINK("https://ec.europa.eu/info/funding-tenders/opportunities/portal/screen/opportunities/topic-details/horizon-jti-cleanh2-2024-03-04", "HORIZON-JTI-CLEANH2-2024-03-04")</f>
        <v>0</v>
      </c>
      <c r="Q1517" t="s">
        <v>2450</v>
      </c>
    </row>
    <row r="1518" spans="1:17">
      <c r="A1518">
        <v>46696133</v>
      </c>
      <c r="B1518">
        <v>2024</v>
      </c>
      <c r="C1518" t="s">
        <v>27</v>
      </c>
      <c r="D1518" t="s">
        <v>46</v>
      </c>
      <c r="E1518" t="s">
        <v>77</v>
      </c>
      <c r="G1518" t="s">
        <v>255</v>
      </c>
      <c r="H1518" t="s">
        <v>350</v>
      </c>
      <c r="I1518" t="s">
        <v>435</v>
      </c>
      <c r="K1518" t="s">
        <v>466</v>
      </c>
      <c r="L1518" t="s">
        <v>469</v>
      </c>
      <c r="M1518" t="s">
        <v>478</v>
      </c>
      <c r="N1518" t="s">
        <v>711</v>
      </c>
      <c r="O1518" t="s">
        <v>711</v>
      </c>
      <c r="P1518" s="1">
        <f>HYPERLINK("https://ec.europa.eu/info/funding-tenders/opportunities/portal/screen/opportunities/topic-details/horizon-jti-cleanh2-2024-04-01", "HORIZON-JTI-CLEANH2-2024-04-01")</f>
        <v>0</v>
      </c>
      <c r="Q1518" t="s">
        <v>2451</v>
      </c>
    </row>
    <row r="1519" spans="1:17">
      <c r="A1519">
        <v>46696206</v>
      </c>
      <c r="B1519">
        <v>2024</v>
      </c>
      <c r="C1519" t="s">
        <v>27</v>
      </c>
      <c r="D1519" t="s">
        <v>46</v>
      </c>
      <c r="E1519" t="s">
        <v>77</v>
      </c>
      <c r="G1519" t="s">
        <v>255</v>
      </c>
      <c r="H1519" t="s">
        <v>350</v>
      </c>
      <c r="I1519" t="s">
        <v>435</v>
      </c>
      <c r="K1519" t="s">
        <v>466</v>
      </c>
      <c r="L1519" t="s">
        <v>469</v>
      </c>
      <c r="M1519" t="s">
        <v>477</v>
      </c>
      <c r="N1519" t="s">
        <v>711</v>
      </c>
      <c r="O1519" t="s">
        <v>711</v>
      </c>
      <c r="P1519" s="1">
        <f>HYPERLINK("https://ec.europa.eu/info/funding-tenders/opportunities/portal/screen/opportunities/topic-details/horizon-jti-cleanh2-2024-04-02", "HORIZON-JTI-CLEANH2-2024-04-02")</f>
        <v>0</v>
      </c>
      <c r="Q1519" t="s">
        <v>2452</v>
      </c>
    </row>
    <row r="1520" spans="1:17">
      <c r="A1520">
        <v>46696228</v>
      </c>
      <c r="B1520">
        <v>2024</v>
      </c>
      <c r="C1520" t="s">
        <v>27</v>
      </c>
      <c r="D1520" t="s">
        <v>46</v>
      </c>
      <c r="E1520" t="s">
        <v>77</v>
      </c>
      <c r="G1520" t="s">
        <v>255</v>
      </c>
      <c r="H1520" t="s">
        <v>350</v>
      </c>
      <c r="I1520" t="s">
        <v>435</v>
      </c>
      <c r="K1520" t="s">
        <v>466</v>
      </c>
      <c r="L1520" t="s">
        <v>469</v>
      </c>
      <c r="M1520" t="s">
        <v>479</v>
      </c>
      <c r="N1520" t="s">
        <v>711</v>
      </c>
      <c r="O1520" t="s">
        <v>711</v>
      </c>
      <c r="P1520" s="1">
        <f>HYPERLINK("https://ec.europa.eu/info/funding-tenders/opportunities/portal/screen/opportunities/topic-details/horizon-jti-cleanh2-2024-05-01", "HORIZON-JTI-CLEANH2-2024-05-01")</f>
        <v>0</v>
      </c>
      <c r="Q1520" t="s">
        <v>2453</v>
      </c>
    </row>
    <row r="1521" spans="1:17">
      <c r="A1521">
        <v>46696170</v>
      </c>
      <c r="B1521">
        <v>2024</v>
      </c>
      <c r="C1521" t="s">
        <v>27</v>
      </c>
      <c r="D1521" t="s">
        <v>46</v>
      </c>
      <c r="E1521" t="s">
        <v>77</v>
      </c>
      <c r="G1521" t="s">
        <v>255</v>
      </c>
      <c r="H1521" t="s">
        <v>350</v>
      </c>
      <c r="I1521" t="s">
        <v>435</v>
      </c>
      <c r="K1521" t="s">
        <v>466</v>
      </c>
      <c r="L1521" t="s">
        <v>469</v>
      </c>
      <c r="M1521" t="s">
        <v>477</v>
      </c>
      <c r="N1521" t="s">
        <v>711</v>
      </c>
      <c r="O1521" t="s">
        <v>711</v>
      </c>
      <c r="P1521" s="1">
        <f>HYPERLINK("https://ec.europa.eu/info/funding-tenders/opportunities/portal/screen/opportunities/topic-details/horizon-jti-cleanh2-2024-05-02", "HORIZON-JTI-CLEANH2-2024-05-02")</f>
        <v>0</v>
      </c>
      <c r="Q1521" t="s">
        <v>2454</v>
      </c>
    </row>
    <row r="1522" spans="1:17">
      <c r="A1522">
        <v>46696191</v>
      </c>
      <c r="B1522">
        <v>2024</v>
      </c>
      <c r="C1522" t="s">
        <v>27</v>
      </c>
      <c r="D1522" t="s">
        <v>46</v>
      </c>
      <c r="E1522" t="s">
        <v>77</v>
      </c>
      <c r="G1522" t="s">
        <v>255</v>
      </c>
      <c r="H1522" t="s">
        <v>350</v>
      </c>
      <c r="I1522" t="s">
        <v>435</v>
      </c>
      <c r="K1522" t="s">
        <v>466</v>
      </c>
      <c r="L1522" t="s">
        <v>469</v>
      </c>
      <c r="M1522" t="s">
        <v>478</v>
      </c>
      <c r="N1522" t="s">
        <v>711</v>
      </c>
      <c r="O1522" t="s">
        <v>711</v>
      </c>
      <c r="P1522" s="1">
        <f>HYPERLINK("https://ec.europa.eu/info/funding-tenders/opportunities/portal/screen/opportunities/topic-details/horizon-jti-cleanh2-2024-06-01", "HORIZON-JTI-CLEANH2-2024-06-01")</f>
        <v>0</v>
      </c>
      <c r="Q1522" t="s">
        <v>2433</v>
      </c>
    </row>
    <row r="1523" spans="1:17">
      <c r="A1523">
        <v>46696138</v>
      </c>
      <c r="B1523">
        <v>2024</v>
      </c>
      <c r="C1523" t="s">
        <v>27</v>
      </c>
      <c r="D1523" t="s">
        <v>46</v>
      </c>
      <c r="E1523" t="s">
        <v>77</v>
      </c>
      <c r="G1523" t="s">
        <v>255</v>
      </c>
      <c r="H1523" t="s">
        <v>350</v>
      </c>
      <c r="I1523" t="s">
        <v>435</v>
      </c>
      <c r="K1523" t="s">
        <v>466</v>
      </c>
      <c r="L1523" t="s">
        <v>469</v>
      </c>
      <c r="M1523" t="s">
        <v>478</v>
      </c>
      <c r="N1523" t="s">
        <v>711</v>
      </c>
      <c r="O1523" t="s">
        <v>711</v>
      </c>
      <c r="P1523" s="1">
        <f>HYPERLINK("https://ec.europa.eu/info/funding-tenders/opportunities/portal/screen/opportunities/topic-details/horizon-jti-cleanh2-2024-06-02", "HORIZON-JTI-CLEANH2-2024-06-02")</f>
        <v>0</v>
      </c>
      <c r="Q1523" t="s">
        <v>2434</v>
      </c>
    </row>
    <row r="1524" spans="1:17">
      <c r="A1524">
        <v>45200824</v>
      </c>
      <c r="B1524">
        <v>2022</v>
      </c>
      <c r="C1524" t="s">
        <v>28</v>
      </c>
      <c r="D1524" t="s">
        <v>47</v>
      </c>
      <c r="E1524" t="s">
        <v>86</v>
      </c>
      <c r="G1524" t="s">
        <v>275</v>
      </c>
      <c r="H1524" t="s">
        <v>275</v>
      </c>
      <c r="I1524" t="s">
        <v>436</v>
      </c>
      <c r="K1524" t="s">
        <v>466</v>
      </c>
      <c r="L1524" t="s">
        <v>469</v>
      </c>
      <c r="M1524" t="s">
        <v>478</v>
      </c>
      <c r="N1524" t="s">
        <v>712</v>
      </c>
      <c r="O1524" t="s">
        <v>47</v>
      </c>
      <c r="P1524" s="1">
        <f>HYPERLINK("https://ec.europa.eu/info/funding-tenders/opportunities/portal/screen/opportunities/topic-details/horizon-ju-cbe-2022-ia-01", "HORIZON-JU-CBE-2022-IA-01")</f>
        <v>0</v>
      </c>
      <c r="Q1524" t="s">
        <v>2455</v>
      </c>
    </row>
    <row r="1525" spans="1:17">
      <c r="A1525">
        <v>45201265</v>
      </c>
      <c r="B1525">
        <v>2022</v>
      </c>
      <c r="C1525" t="s">
        <v>28</v>
      </c>
      <c r="D1525" t="s">
        <v>47</v>
      </c>
      <c r="E1525" t="s">
        <v>86</v>
      </c>
      <c r="G1525" t="s">
        <v>275</v>
      </c>
      <c r="H1525" t="s">
        <v>275</v>
      </c>
      <c r="I1525" t="s">
        <v>436</v>
      </c>
      <c r="K1525" t="s">
        <v>466</v>
      </c>
      <c r="L1525" t="s">
        <v>469</v>
      </c>
      <c r="M1525" t="s">
        <v>478</v>
      </c>
      <c r="N1525" t="s">
        <v>712</v>
      </c>
      <c r="O1525" t="s">
        <v>47</v>
      </c>
      <c r="P1525" s="1">
        <f>HYPERLINK("https://ec.europa.eu/info/funding-tenders/opportunities/portal/screen/opportunities/topic-details/horizon-ju-cbe-2022-ia-02", "HORIZON-JU-CBE-2022-IA-02")</f>
        <v>0</v>
      </c>
      <c r="Q1525" t="s">
        <v>2456</v>
      </c>
    </row>
    <row r="1526" spans="1:17">
      <c r="A1526">
        <v>45200905</v>
      </c>
      <c r="B1526">
        <v>2022</v>
      </c>
      <c r="C1526" t="s">
        <v>28</v>
      </c>
      <c r="D1526" t="s">
        <v>47</v>
      </c>
      <c r="E1526" t="s">
        <v>86</v>
      </c>
      <c r="G1526" t="s">
        <v>275</v>
      </c>
      <c r="H1526" t="s">
        <v>275</v>
      </c>
      <c r="I1526" t="s">
        <v>436</v>
      </c>
      <c r="K1526" t="s">
        <v>466</v>
      </c>
      <c r="L1526" t="s">
        <v>469</v>
      </c>
      <c r="M1526" t="s">
        <v>478</v>
      </c>
      <c r="N1526" t="s">
        <v>712</v>
      </c>
      <c r="O1526" t="s">
        <v>47</v>
      </c>
      <c r="P1526" s="1">
        <f>HYPERLINK("https://ec.europa.eu/info/funding-tenders/opportunities/portal/screen/opportunities/topic-details/horizon-ju-cbe-2022-ia-03", "HORIZON-JU-CBE-2022-IA-03")</f>
        <v>0</v>
      </c>
      <c r="Q1526" t="s">
        <v>2457</v>
      </c>
    </row>
    <row r="1527" spans="1:17">
      <c r="A1527">
        <v>45200945</v>
      </c>
      <c r="B1527">
        <v>2022</v>
      </c>
      <c r="C1527" t="s">
        <v>28</v>
      </c>
      <c r="D1527" t="s">
        <v>47</v>
      </c>
      <c r="E1527" t="s">
        <v>86</v>
      </c>
      <c r="G1527" t="s">
        <v>275</v>
      </c>
      <c r="H1527" t="s">
        <v>275</v>
      </c>
      <c r="I1527" t="s">
        <v>436</v>
      </c>
      <c r="K1527" t="s">
        <v>466</v>
      </c>
      <c r="L1527" t="s">
        <v>469</v>
      </c>
      <c r="M1527" t="s">
        <v>478</v>
      </c>
      <c r="N1527" t="s">
        <v>712</v>
      </c>
      <c r="O1527" t="s">
        <v>47</v>
      </c>
      <c r="P1527" s="1">
        <f>HYPERLINK("https://ec.europa.eu/info/funding-tenders/opportunities/portal/screen/opportunities/topic-details/horizon-ju-cbe-2022-ia-04", "HORIZON-JU-CBE-2022-IA-04")</f>
        <v>0</v>
      </c>
      <c r="Q1527" t="s">
        <v>2458</v>
      </c>
    </row>
    <row r="1528" spans="1:17">
      <c r="A1528">
        <v>45200986</v>
      </c>
      <c r="B1528">
        <v>2022</v>
      </c>
      <c r="C1528" t="s">
        <v>28</v>
      </c>
      <c r="D1528" t="s">
        <v>47</v>
      </c>
      <c r="E1528" t="s">
        <v>86</v>
      </c>
      <c r="G1528" t="s">
        <v>275</v>
      </c>
      <c r="H1528" t="s">
        <v>275</v>
      </c>
      <c r="I1528" t="s">
        <v>436</v>
      </c>
      <c r="K1528" t="s">
        <v>466</v>
      </c>
      <c r="L1528" t="s">
        <v>469</v>
      </c>
      <c r="M1528" t="s">
        <v>478</v>
      </c>
      <c r="N1528" t="s">
        <v>712</v>
      </c>
      <c r="O1528" t="s">
        <v>47</v>
      </c>
      <c r="P1528" s="1">
        <f>HYPERLINK("https://ec.europa.eu/info/funding-tenders/opportunities/portal/screen/opportunities/topic-details/horizon-ju-cbe-2022-iaflag-01", "HORIZON-JU-CBE-2022-IAFlag-01")</f>
        <v>0</v>
      </c>
      <c r="Q1528" t="s">
        <v>2459</v>
      </c>
    </row>
    <row r="1529" spans="1:17">
      <c r="A1529">
        <v>45200861</v>
      </c>
      <c r="B1529">
        <v>2022</v>
      </c>
      <c r="C1529" t="s">
        <v>28</v>
      </c>
      <c r="D1529" t="s">
        <v>47</v>
      </c>
      <c r="E1529" t="s">
        <v>86</v>
      </c>
      <c r="G1529" t="s">
        <v>275</v>
      </c>
      <c r="H1529" t="s">
        <v>275</v>
      </c>
      <c r="I1529" t="s">
        <v>436</v>
      </c>
      <c r="K1529" t="s">
        <v>466</v>
      </c>
      <c r="L1529" t="s">
        <v>469</v>
      </c>
      <c r="M1529" t="s">
        <v>478</v>
      </c>
      <c r="N1529" t="s">
        <v>712</v>
      </c>
      <c r="O1529" t="s">
        <v>47</v>
      </c>
      <c r="P1529" s="1">
        <f>HYPERLINK("https://ec.europa.eu/info/funding-tenders/opportunities/portal/screen/opportunities/topic-details/horizon-ju-cbe-2022-iaflag-02", "HORIZON-JU-CBE-2022-IAFlag-02")</f>
        <v>0</v>
      </c>
      <c r="Q1529" t="s">
        <v>2460</v>
      </c>
    </row>
    <row r="1530" spans="1:17">
      <c r="A1530">
        <v>45201025</v>
      </c>
      <c r="B1530">
        <v>2022</v>
      </c>
      <c r="C1530" t="s">
        <v>28</v>
      </c>
      <c r="D1530" t="s">
        <v>47</v>
      </c>
      <c r="E1530" t="s">
        <v>86</v>
      </c>
      <c r="G1530" t="s">
        <v>275</v>
      </c>
      <c r="H1530" t="s">
        <v>275</v>
      </c>
      <c r="I1530" t="s">
        <v>436</v>
      </c>
      <c r="K1530" t="s">
        <v>466</v>
      </c>
      <c r="L1530" t="s">
        <v>469</v>
      </c>
      <c r="M1530" t="s">
        <v>477</v>
      </c>
      <c r="N1530" t="s">
        <v>712</v>
      </c>
      <c r="O1530" t="s">
        <v>47</v>
      </c>
      <c r="P1530" s="1">
        <f>HYPERLINK("https://ec.europa.eu/info/funding-tenders/opportunities/portal/screen/opportunities/topic-details/horizon-ju-cbe-2022-r-01", "HORIZON-JU-CBE-2022-R-01")</f>
        <v>0</v>
      </c>
      <c r="Q1530" t="s">
        <v>2461</v>
      </c>
    </row>
    <row r="1531" spans="1:17">
      <c r="A1531">
        <v>45201065</v>
      </c>
      <c r="B1531">
        <v>2022</v>
      </c>
      <c r="C1531" t="s">
        <v>28</v>
      </c>
      <c r="D1531" t="s">
        <v>47</v>
      </c>
      <c r="E1531" t="s">
        <v>86</v>
      </c>
      <c r="G1531" t="s">
        <v>275</v>
      </c>
      <c r="H1531" t="s">
        <v>275</v>
      </c>
      <c r="I1531" t="s">
        <v>436</v>
      </c>
      <c r="K1531" t="s">
        <v>466</v>
      </c>
      <c r="L1531" t="s">
        <v>469</v>
      </c>
      <c r="M1531" t="s">
        <v>477</v>
      </c>
      <c r="N1531" t="s">
        <v>712</v>
      </c>
      <c r="O1531" t="s">
        <v>47</v>
      </c>
      <c r="P1531" s="1">
        <f>HYPERLINK("https://ec.europa.eu/info/funding-tenders/opportunities/portal/screen/opportunities/topic-details/horizon-ju-cbe-2022-r-02", "HORIZON-JU-CBE-2022-R-02")</f>
        <v>0</v>
      </c>
      <c r="Q1531" t="s">
        <v>2462</v>
      </c>
    </row>
    <row r="1532" spans="1:17">
      <c r="A1532">
        <v>45201104</v>
      </c>
      <c r="B1532">
        <v>2022</v>
      </c>
      <c r="C1532" t="s">
        <v>28</v>
      </c>
      <c r="D1532" t="s">
        <v>47</v>
      </c>
      <c r="E1532" t="s">
        <v>86</v>
      </c>
      <c r="G1532" t="s">
        <v>275</v>
      </c>
      <c r="H1532" t="s">
        <v>275</v>
      </c>
      <c r="I1532" t="s">
        <v>436</v>
      </c>
      <c r="K1532" t="s">
        <v>466</v>
      </c>
      <c r="L1532" t="s">
        <v>469</v>
      </c>
      <c r="M1532" t="s">
        <v>477</v>
      </c>
      <c r="N1532" t="s">
        <v>712</v>
      </c>
      <c r="O1532" t="s">
        <v>47</v>
      </c>
      <c r="P1532" s="1">
        <f>HYPERLINK("https://ec.europa.eu/info/funding-tenders/opportunities/portal/screen/opportunities/topic-details/horizon-ju-cbe-2022-r-03", "HORIZON-JU-CBE-2022-R-03")</f>
        <v>0</v>
      </c>
      <c r="Q1532" t="s">
        <v>2463</v>
      </c>
    </row>
    <row r="1533" spans="1:17">
      <c r="A1533">
        <v>45201142</v>
      </c>
      <c r="B1533">
        <v>2022</v>
      </c>
      <c r="C1533" t="s">
        <v>28</v>
      </c>
      <c r="D1533" t="s">
        <v>47</v>
      </c>
      <c r="E1533" t="s">
        <v>86</v>
      </c>
      <c r="G1533" t="s">
        <v>275</v>
      </c>
      <c r="H1533" t="s">
        <v>275</v>
      </c>
      <c r="I1533" t="s">
        <v>436</v>
      </c>
      <c r="K1533" t="s">
        <v>466</v>
      </c>
      <c r="L1533" t="s">
        <v>469</v>
      </c>
      <c r="M1533" t="s">
        <v>477</v>
      </c>
      <c r="N1533" t="s">
        <v>712</v>
      </c>
      <c r="O1533" t="s">
        <v>47</v>
      </c>
      <c r="P1533" s="1">
        <f>HYPERLINK("https://ec.europa.eu/info/funding-tenders/opportunities/portal/screen/opportunities/topic-details/horizon-ju-cbe-2022-r-04", "HORIZON-JU-CBE-2022-R-04")</f>
        <v>0</v>
      </c>
      <c r="Q1533" t="s">
        <v>2464</v>
      </c>
    </row>
    <row r="1534" spans="1:17">
      <c r="A1534">
        <v>45201184</v>
      </c>
      <c r="B1534">
        <v>2022</v>
      </c>
      <c r="C1534" t="s">
        <v>28</v>
      </c>
      <c r="D1534" t="s">
        <v>47</v>
      </c>
      <c r="E1534" t="s">
        <v>86</v>
      </c>
      <c r="G1534" t="s">
        <v>275</v>
      </c>
      <c r="H1534" t="s">
        <v>275</v>
      </c>
      <c r="I1534" t="s">
        <v>436</v>
      </c>
      <c r="K1534" t="s">
        <v>466</v>
      </c>
      <c r="L1534" t="s">
        <v>469</v>
      </c>
      <c r="M1534" t="s">
        <v>477</v>
      </c>
      <c r="N1534" t="s">
        <v>712</v>
      </c>
      <c r="O1534" t="s">
        <v>47</v>
      </c>
      <c r="P1534" s="1">
        <f>HYPERLINK("https://ec.europa.eu/info/funding-tenders/opportunities/portal/screen/opportunities/topic-details/horizon-ju-cbe-2022-r-05", "HORIZON-JU-CBE-2022-R-05")</f>
        <v>0</v>
      </c>
      <c r="Q1534" t="s">
        <v>2465</v>
      </c>
    </row>
    <row r="1535" spans="1:17">
      <c r="A1535">
        <v>45201225</v>
      </c>
      <c r="B1535">
        <v>2022</v>
      </c>
      <c r="C1535" t="s">
        <v>28</v>
      </c>
      <c r="D1535" t="s">
        <v>47</v>
      </c>
      <c r="E1535" t="s">
        <v>86</v>
      </c>
      <c r="G1535" t="s">
        <v>275</v>
      </c>
      <c r="H1535" t="s">
        <v>275</v>
      </c>
      <c r="I1535" t="s">
        <v>436</v>
      </c>
      <c r="K1535" t="s">
        <v>466</v>
      </c>
      <c r="L1535" t="s">
        <v>469</v>
      </c>
      <c r="M1535" t="s">
        <v>479</v>
      </c>
      <c r="N1535" t="s">
        <v>712</v>
      </c>
      <c r="O1535" t="s">
        <v>47</v>
      </c>
      <c r="P1535" s="1">
        <f>HYPERLINK("https://ec.europa.eu/info/funding-tenders/opportunities/portal/screen/opportunities/topic-details/horizon-ju-cbe-2022-s-01", "HORIZON-JU-CBE-2022-S-01")</f>
        <v>0</v>
      </c>
      <c r="Q1535" t="s">
        <v>2466</v>
      </c>
    </row>
    <row r="1536" spans="1:17">
      <c r="A1536">
        <v>46111815</v>
      </c>
      <c r="B1536">
        <v>2023</v>
      </c>
      <c r="C1536" t="s">
        <v>28</v>
      </c>
      <c r="D1536" t="s">
        <v>47</v>
      </c>
      <c r="E1536" t="s">
        <v>86</v>
      </c>
      <c r="F1536" t="s">
        <v>204</v>
      </c>
      <c r="G1536" t="s">
        <v>276</v>
      </c>
      <c r="H1536" t="s">
        <v>351</v>
      </c>
      <c r="I1536" t="s">
        <v>300</v>
      </c>
      <c r="K1536" t="s">
        <v>466</v>
      </c>
      <c r="L1536" t="s">
        <v>469</v>
      </c>
      <c r="M1536" t="s">
        <v>479</v>
      </c>
      <c r="N1536" t="s">
        <v>713</v>
      </c>
      <c r="O1536" t="s">
        <v>47</v>
      </c>
      <c r="P1536" s="1">
        <f>HYPERLINK("https://ec.europa.eu/info/funding-tenders/opportunities/portal/screen/opportunities/topic-details/horizon-ju-cbe-2023-2-s-01", "HORIZON-JU-CBE-2023-2-S-01")</f>
        <v>0</v>
      </c>
      <c r="Q1536" t="s">
        <v>2467</v>
      </c>
    </row>
    <row r="1537" spans="1:17">
      <c r="A1537">
        <v>45962425</v>
      </c>
      <c r="B1537">
        <v>2023</v>
      </c>
      <c r="C1537" t="s">
        <v>28</v>
      </c>
      <c r="D1537" t="s">
        <v>47</v>
      </c>
      <c r="E1537" t="s">
        <v>86</v>
      </c>
      <c r="G1537" t="s">
        <v>277</v>
      </c>
      <c r="H1537" t="s">
        <v>277</v>
      </c>
      <c r="I1537" t="s">
        <v>261</v>
      </c>
      <c r="K1537" t="s">
        <v>466</v>
      </c>
      <c r="L1537" t="s">
        <v>469</v>
      </c>
      <c r="M1537" t="s">
        <v>478</v>
      </c>
      <c r="N1537" t="s">
        <v>714</v>
      </c>
      <c r="O1537" t="s">
        <v>47</v>
      </c>
      <c r="P1537" s="1">
        <f>HYPERLINK("https://ec.europa.eu/info/funding-tenders/opportunities/portal/screen/opportunities/topic-details/horizon-ju-cbe-2023-ia-01", "HORIZON-JU-CBE-2023-IA-01")</f>
        <v>0</v>
      </c>
      <c r="Q1537" t="s">
        <v>2468</v>
      </c>
    </row>
    <row r="1538" spans="1:17">
      <c r="A1538">
        <v>45961755</v>
      </c>
      <c r="B1538">
        <v>2023</v>
      </c>
      <c r="C1538" t="s">
        <v>28</v>
      </c>
      <c r="D1538" t="s">
        <v>47</v>
      </c>
      <c r="E1538" t="s">
        <v>86</v>
      </c>
      <c r="G1538" t="s">
        <v>277</v>
      </c>
      <c r="H1538" t="s">
        <v>277</v>
      </c>
      <c r="I1538" t="s">
        <v>261</v>
      </c>
      <c r="K1538" t="s">
        <v>466</v>
      </c>
      <c r="L1538" t="s">
        <v>469</v>
      </c>
      <c r="M1538" t="s">
        <v>478</v>
      </c>
      <c r="N1538" t="s">
        <v>714</v>
      </c>
      <c r="O1538" t="s">
        <v>47</v>
      </c>
      <c r="P1538" s="1">
        <f>HYPERLINK("https://ec.europa.eu/info/funding-tenders/opportunities/portal/screen/opportunities/topic-details/horizon-ju-cbe-2023-ia-02", "HORIZON-JU-CBE-2023-IA-02")</f>
        <v>0</v>
      </c>
      <c r="Q1538" t="s">
        <v>2469</v>
      </c>
    </row>
    <row r="1539" spans="1:17">
      <c r="A1539">
        <v>45961795</v>
      </c>
      <c r="B1539">
        <v>2023</v>
      </c>
      <c r="C1539" t="s">
        <v>28</v>
      </c>
      <c r="D1539" t="s">
        <v>47</v>
      </c>
      <c r="E1539" t="s">
        <v>86</v>
      </c>
      <c r="G1539" t="s">
        <v>277</v>
      </c>
      <c r="H1539" t="s">
        <v>277</v>
      </c>
      <c r="I1539" t="s">
        <v>261</v>
      </c>
      <c r="K1539" t="s">
        <v>466</v>
      </c>
      <c r="L1539" t="s">
        <v>469</v>
      </c>
      <c r="M1539" t="s">
        <v>478</v>
      </c>
      <c r="N1539" t="s">
        <v>714</v>
      </c>
      <c r="O1539" t="s">
        <v>47</v>
      </c>
      <c r="P1539" s="1">
        <f>HYPERLINK("https://ec.europa.eu/info/funding-tenders/opportunities/portal/screen/opportunities/topic-details/horizon-ju-cbe-2023-ia-03", "HORIZON-JU-CBE-2023-IA-03")</f>
        <v>0</v>
      </c>
      <c r="Q1539" t="s">
        <v>2470</v>
      </c>
    </row>
    <row r="1540" spans="1:17">
      <c r="A1540">
        <v>45961837</v>
      </c>
      <c r="B1540">
        <v>2023</v>
      </c>
      <c r="C1540" t="s">
        <v>28</v>
      </c>
      <c r="D1540" t="s">
        <v>47</v>
      </c>
      <c r="E1540" t="s">
        <v>86</v>
      </c>
      <c r="G1540" t="s">
        <v>277</v>
      </c>
      <c r="H1540" t="s">
        <v>277</v>
      </c>
      <c r="I1540" t="s">
        <v>261</v>
      </c>
      <c r="K1540" t="s">
        <v>466</v>
      </c>
      <c r="L1540" t="s">
        <v>469</v>
      </c>
      <c r="M1540" t="s">
        <v>478</v>
      </c>
      <c r="N1540" t="s">
        <v>714</v>
      </c>
      <c r="O1540" t="s">
        <v>47</v>
      </c>
      <c r="P1540" s="1">
        <f>HYPERLINK("https://ec.europa.eu/info/funding-tenders/opportunities/portal/screen/opportunities/topic-details/horizon-ju-cbe-2023-ia-04", "HORIZON-JU-CBE-2023-IA-04")</f>
        <v>0</v>
      </c>
      <c r="Q1540" t="s">
        <v>2471</v>
      </c>
    </row>
    <row r="1541" spans="1:17">
      <c r="A1541">
        <v>45962036</v>
      </c>
      <c r="B1541">
        <v>2023</v>
      </c>
      <c r="C1541" t="s">
        <v>28</v>
      </c>
      <c r="D1541" t="s">
        <v>47</v>
      </c>
      <c r="E1541" t="s">
        <v>86</v>
      </c>
      <c r="G1541" t="s">
        <v>277</v>
      </c>
      <c r="H1541" t="s">
        <v>277</v>
      </c>
      <c r="I1541" t="s">
        <v>261</v>
      </c>
      <c r="K1541" t="s">
        <v>466</v>
      </c>
      <c r="L1541" t="s">
        <v>469</v>
      </c>
      <c r="M1541" t="s">
        <v>478</v>
      </c>
      <c r="N1541" t="s">
        <v>714</v>
      </c>
      <c r="O1541" t="s">
        <v>47</v>
      </c>
      <c r="P1541" s="1">
        <f>HYPERLINK("https://ec.europa.eu/info/funding-tenders/opportunities/portal/screen/opportunities/topic-details/horizon-ju-cbe-2023-ia-05", "HORIZON-JU-CBE-2023-IA-05")</f>
        <v>0</v>
      </c>
      <c r="Q1541" t="s">
        <v>2472</v>
      </c>
    </row>
    <row r="1542" spans="1:17">
      <c r="A1542">
        <v>45962069</v>
      </c>
      <c r="B1542">
        <v>2023</v>
      </c>
      <c r="C1542" t="s">
        <v>28</v>
      </c>
      <c r="D1542" t="s">
        <v>47</v>
      </c>
      <c r="E1542" t="s">
        <v>86</v>
      </c>
      <c r="G1542" t="s">
        <v>277</v>
      </c>
      <c r="H1542" t="s">
        <v>277</v>
      </c>
      <c r="I1542" t="s">
        <v>261</v>
      </c>
      <c r="K1542" t="s">
        <v>466</v>
      </c>
      <c r="L1542" t="s">
        <v>469</v>
      </c>
      <c r="M1542" t="s">
        <v>478</v>
      </c>
      <c r="N1542" t="s">
        <v>714</v>
      </c>
      <c r="O1542" t="s">
        <v>47</v>
      </c>
      <c r="P1542" s="1">
        <f>HYPERLINK("https://ec.europa.eu/info/funding-tenders/opportunities/portal/screen/opportunities/topic-details/horizon-ju-cbe-2023-ia-06", "HORIZON-JU-CBE-2023-IA-06")</f>
        <v>0</v>
      </c>
      <c r="Q1542" t="s">
        <v>2473</v>
      </c>
    </row>
    <row r="1543" spans="1:17">
      <c r="A1543">
        <v>45962109</v>
      </c>
      <c r="B1543">
        <v>2023</v>
      </c>
      <c r="C1543" t="s">
        <v>28</v>
      </c>
      <c r="D1543" t="s">
        <v>47</v>
      </c>
      <c r="E1543" t="s">
        <v>86</v>
      </c>
      <c r="G1543" t="s">
        <v>277</v>
      </c>
      <c r="H1543" t="s">
        <v>277</v>
      </c>
      <c r="I1543" t="s">
        <v>261</v>
      </c>
      <c r="K1543" t="s">
        <v>466</v>
      </c>
      <c r="L1543" t="s">
        <v>469</v>
      </c>
      <c r="M1543" t="s">
        <v>478</v>
      </c>
      <c r="N1543" t="s">
        <v>714</v>
      </c>
      <c r="O1543" t="s">
        <v>47</v>
      </c>
      <c r="P1543" s="1">
        <f>HYPERLINK("https://ec.europa.eu/info/funding-tenders/opportunities/portal/screen/opportunities/topic-details/horizon-ju-cbe-2023-ia-07", "HORIZON-JU-CBE-2023-IA-07")</f>
        <v>0</v>
      </c>
      <c r="Q1543" t="s">
        <v>2474</v>
      </c>
    </row>
    <row r="1544" spans="1:17">
      <c r="A1544">
        <v>45961877</v>
      </c>
      <c r="B1544">
        <v>2023</v>
      </c>
      <c r="C1544" t="s">
        <v>28</v>
      </c>
      <c r="D1544" t="s">
        <v>47</v>
      </c>
      <c r="E1544" t="s">
        <v>86</v>
      </c>
      <c r="G1544" t="s">
        <v>277</v>
      </c>
      <c r="H1544" t="s">
        <v>277</v>
      </c>
      <c r="I1544" t="s">
        <v>261</v>
      </c>
      <c r="K1544" t="s">
        <v>466</v>
      </c>
      <c r="L1544" t="s">
        <v>469</v>
      </c>
      <c r="M1544" t="s">
        <v>478</v>
      </c>
      <c r="N1544" t="s">
        <v>714</v>
      </c>
      <c r="O1544" t="s">
        <v>47</v>
      </c>
      <c r="P1544" s="1">
        <f>HYPERLINK("https://ec.europa.eu/info/funding-tenders/opportunities/portal/screen/opportunities/topic-details/horizon-ju-cbe-2023-iaflag-01", "HORIZON-JU-CBE-2023-IAFlag-01")</f>
        <v>0</v>
      </c>
      <c r="Q1544" t="s">
        <v>2475</v>
      </c>
    </row>
    <row r="1545" spans="1:17">
      <c r="A1545">
        <v>45961916</v>
      </c>
      <c r="B1545">
        <v>2023</v>
      </c>
      <c r="C1545" t="s">
        <v>28</v>
      </c>
      <c r="D1545" t="s">
        <v>47</v>
      </c>
      <c r="E1545" t="s">
        <v>86</v>
      </c>
      <c r="G1545" t="s">
        <v>277</v>
      </c>
      <c r="H1545" t="s">
        <v>277</v>
      </c>
      <c r="I1545" t="s">
        <v>261</v>
      </c>
      <c r="K1545" t="s">
        <v>466</v>
      </c>
      <c r="L1545" t="s">
        <v>469</v>
      </c>
      <c r="M1545" t="s">
        <v>478</v>
      </c>
      <c r="N1545" t="s">
        <v>714</v>
      </c>
      <c r="O1545" t="s">
        <v>47</v>
      </c>
      <c r="P1545" s="1">
        <f>HYPERLINK("https://ec.europa.eu/info/funding-tenders/opportunities/portal/screen/opportunities/topic-details/horizon-ju-cbe-2023-iaflag-02", "HORIZON-JU-CBE-2023-IAFlag-02")</f>
        <v>0</v>
      </c>
      <c r="Q1545" t="s">
        <v>2476</v>
      </c>
    </row>
    <row r="1546" spans="1:17">
      <c r="A1546">
        <v>45961952</v>
      </c>
      <c r="B1546">
        <v>2023</v>
      </c>
      <c r="C1546" t="s">
        <v>28</v>
      </c>
      <c r="D1546" t="s">
        <v>47</v>
      </c>
      <c r="E1546" t="s">
        <v>86</v>
      </c>
      <c r="G1546" t="s">
        <v>277</v>
      </c>
      <c r="H1546" t="s">
        <v>277</v>
      </c>
      <c r="I1546" t="s">
        <v>261</v>
      </c>
      <c r="K1546" t="s">
        <v>466</v>
      </c>
      <c r="L1546" t="s">
        <v>469</v>
      </c>
      <c r="M1546" t="s">
        <v>478</v>
      </c>
      <c r="N1546" t="s">
        <v>714</v>
      </c>
      <c r="O1546" t="s">
        <v>47</v>
      </c>
      <c r="P1546" s="1">
        <f>HYPERLINK("https://ec.europa.eu/info/funding-tenders/opportunities/portal/screen/opportunities/topic-details/horizon-ju-cbe-2023-iaflag-03", "HORIZON-JU-CBE-2023-IAFlag-03")</f>
        <v>0</v>
      </c>
      <c r="Q1546" t="s">
        <v>2477</v>
      </c>
    </row>
    <row r="1547" spans="1:17">
      <c r="A1547">
        <v>45961992</v>
      </c>
      <c r="B1547">
        <v>2023</v>
      </c>
      <c r="C1547" t="s">
        <v>28</v>
      </c>
      <c r="D1547" t="s">
        <v>47</v>
      </c>
      <c r="E1547" t="s">
        <v>86</v>
      </c>
      <c r="G1547" t="s">
        <v>277</v>
      </c>
      <c r="H1547" t="s">
        <v>277</v>
      </c>
      <c r="I1547" t="s">
        <v>261</v>
      </c>
      <c r="K1547" t="s">
        <v>466</v>
      </c>
      <c r="L1547" t="s">
        <v>469</v>
      </c>
      <c r="M1547" t="s">
        <v>478</v>
      </c>
      <c r="N1547" t="s">
        <v>714</v>
      </c>
      <c r="O1547" t="s">
        <v>47</v>
      </c>
      <c r="P1547" s="1">
        <f>HYPERLINK("https://ec.europa.eu/info/funding-tenders/opportunities/portal/screen/opportunities/topic-details/horizon-ju-cbe-2023-iaflag-04", "HORIZON-JU-CBE-2023-IAFlag-04")</f>
        <v>0</v>
      </c>
      <c r="Q1547" t="s">
        <v>2478</v>
      </c>
    </row>
    <row r="1548" spans="1:17">
      <c r="A1548">
        <v>45962151</v>
      </c>
      <c r="B1548">
        <v>2023</v>
      </c>
      <c r="C1548" t="s">
        <v>28</v>
      </c>
      <c r="D1548" t="s">
        <v>47</v>
      </c>
      <c r="E1548" t="s">
        <v>86</v>
      </c>
      <c r="G1548" t="s">
        <v>277</v>
      </c>
      <c r="H1548" t="s">
        <v>277</v>
      </c>
      <c r="I1548" t="s">
        <v>261</v>
      </c>
      <c r="K1548" t="s">
        <v>466</v>
      </c>
      <c r="L1548" t="s">
        <v>469</v>
      </c>
      <c r="M1548" t="s">
        <v>477</v>
      </c>
      <c r="N1548" t="s">
        <v>714</v>
      </c>
      <c r="O1548" t="s">
        <v>47</v>
      </c>
      <c r="P1548" s="1">
        <f>HYPERLINK("https://ec.europa.eu/info/funding-tenders/opportunities/portal/screen/opportunities/topic-details/horizon-ju-cbe-2023-r-01", "HORIZON-JU-CBE-2023-R-01")</f>
        <v>0</v>
      </c>
      <c r="Q1548" t="s">
        <v>2479</v>
      </c>
    </row>
    <row r="1549" spans="1:17">
      <c r="A1549">
        <v>45962189</v>
      </c>
      <c r="B1549">
        <v>2023</v>
      </c>
      <c r="C1549" t="s">
        <v>28</v>
      </c>
      <c r="D1549" t="s">
        <v>47</v>
      </c>
      <c r="E1549" t="s">
        <v>86</v>
      </c>
      <c r="G1549" t="s">
        <v>277</v>
      </c>
      <c r="H1549" t="s">
        <v>277</v>
      </c>
      <c r="I1549" t="s">
        <v>261</v>
      </c>
      <c r="K1549" t="s">
        <v>466</v>
      </c>
      <c r="L1549" t="s">
        <v>469</v>
      </c>
      <c r="M1549" t="s">
        <v>477</v>
      </c>
      <c r="N1549" t="s">
        <v>714</v>
      </c>
      <c r="O1549" t="s">
        <v>47</v>
      </c>
      <c r="P1549" s="1">
        <f>HYPERLINK("https://ec.europa.eu/info/funding-tenders/opportunities/portal/screen/opportunities/topic-details/horizon-ju-cbe-2023-r-02", "HORIZON-JU-CBE-2023-R-02")</f>
        <v>0</v>
      </c>
      <c r="Q1549" t="s">
        <v>2480</v>
      </c>
    </row>
    <row r="1550" spans="1:17">
      <c r="A1550">
        <v>45962226</v>
      </c>
      <c r="B1550">
        <v>2023</v>
      </c>
      <c r="C1550" t="s">
        <v>28</v>
      </c>
      <c r="D1550" t="s">
        <v>47</v>
      </c>
      <c r="E1550" t="s">
        <v>86</v>
      </c>
      <c r="G1550" t="s">
        <v>277</v>
      </c>
      <c r="H1550" t="s">
        <v>277</v>
      </c>
      <c r="I1550" t="s">
        <v>261</v>
      </c>
      <c r="K1550" t="s">
        <v>466</v>
      </c>
      <c r="L1550" t="s">
        <v>469</v>
      </c>
      <c r="M1550" t="s">
        <v>477</v>
      </c>
      <c r="N1550" t="s">
        <v>714</v>
      </c>
      <c r="O1550" t="s">
        <v>47</v>
      </c>
      <c r="P1550" s="1">
        <f>HYPERLINK("https://ec.europa.eu/info/funding-tenders/opportunities/portal/screen/opportunities/topic-details/horizon-ju-cbe-2023-r-03", "HORIZON-JU-CBE-2023-R-03")</f>
        <v>0</v>
      </c>
      <c r="Q1550" t="s">
        <v>2481</v>
      </c>
    </row>
    <row r="1551" spans="1:17">
      <c r="A1551">
        <v>45962266</v>
      </c>
      <c r="B1551">
        <v>2023</v>
      </c>
      <c r="C1551" t="s">
        <v>28</v>
      </c>
      <c r="D1551" t="s">
        <v>47</v>
      </c>
      <c r="E1551" t="s">
        <v>86</v>
      </c>
      <c r="G1551" t="s">
        <v>277</v>
      </c>
      <c r="H1551" t="s">
        <v>277</v>
      </c>
      <c r="I1551" t="s">
        <v>261</v>
      </c>
      <c r="K1551" t="s">
        <v>466</v>
      </c>
      <c r="L1551" t="s">
        <v>469</v>
      </c>
      <c r="M1551" t="s">
        <v>477</v>
      </c>
      <c r="N1551" t="s">
        <v>714</v>
      </c>
      <c r="O1551" t="s">
        <v>47</v>
      </c>
      <c r="P1551" s="1">
        <f>HYPERLINK("https://ec.europa.eu/info/funding-tenders/opportunities/portal/screen/opportunities/topic-details/horizon-ju-cbe-2023-r-04", "HORIZON-JU-CBE-2023-R-04")</f>
        <v>0</v>
      </c>
      <c r="Q1551" t="s">
        <v>2482</v>
      </c>
    </row>
    <row r="1552" spans="1:17">
      <c r="A1552">
        <v>45962304</v>
      </c>
      <c r="B1552">
        <v>2023</v>
      </c>
      <c r="C1552" t="s">
        <v>28</v>
      </c>
      <c r="D1552" t="s">
        <v>47</v>
      </c>
      <c r="E1552" t="s">
        <v>86</v>
      </c>
      <c r="G1552" t="s">
        <v>277</v>
      </c>
      <c r="H1552" t="s">
        <v>277</v>
      </c>
      <c r="I1552" t="s">
        <v>261</v>
      </c>
      <c r="K1552" t="s">
        <v>466</v>
      </c>
      <c r="L1552" t="s">
        <v>469</v>
      </c>
      <c r="M1552" t="s">
        <v>477</v>
      </c>
      <c r="N1552" t="s">
        <v>714</v>
      </c>
      <c r="O1552" t="s">
        <v>47</v>
      </c>
      <c r="P1552" s="1">
        <f>HYPERLINK("https://ec.europa.eu/info/funding-tenders/opportunities/portal/screen/opportunities/topic-details/horizon-ju-cbe-2023-r-05", "HORIZON-JU-CBE-2023-R-05")</f>
        <v>0</v>
      </c>
      <c r="Q1552" t="s">
        <v>2483</v>
      </c>
    </row>
    <row r="1553" spans="1:17">
      <c r="A1553">
        <v>45962345</v>
      </c>
      <c r="B1553">
        <v>2023</v>
      </c>
      <c r="C1553" t="s">
        <v>28</v>
      </c>
      <c r="D1553" t="s">
        <v>47</v>
      </c>
      <c r="E1553" t="s">
        <v>86</v>
      </c>
      <c r="G1553" t="s">
        <v>277</v>
      </c>
      <c r="H1553" t="s">
        <v>277</v>
      </c>
      <c r="I1553" t="s">
        <v>261</v>
      </c>
      <c r="K1553" t="s">
        <v>466</v>
      </c>
      <c r="L1553" t="s">
        <v>469</v>
      </c>
      <c r="M1553" t="s">
        <v>479</v>
      </c>
      <c r="N1553" t="s">
        <v>714</v>
      </c>
      <c r="O1553" t="s">
        <v>47</v>
      </c>
      <c r="P1553" s="1">
        <f>HYPERLINK("https://ec.europa.eu/info/funding-tenders/opportunities/portal/screen/opportunities/topic-details/horizon-ju-cbe-2023-s-01", "HORIZON-JU-CBE-2023-S-01")</f>
        <v>0</v>
      </c>
      <c r="Q1553" t="s">
        <v>2484</v>
      </c>
    </row>
    <row r="1554" spans="1:17">
      <c r="A1554">
        <v>45962384</v>
      </c>
      <c r="B1554">
        <v>2023</v>
      </c>
      <c r="C1554" t="s">
        <v>28</v>
      </c>
      <c r="D1554" t="s">
        <v>47</v>
      </c>
      <c r="E1554" t="s">
        <v>86</v>
      </c>
      <c r="G1554" t="s">
        <v>277</v>
      </c>
      <c r="H1554" t="s">
        <v>277</v>
      </c>
      <c r="I1554" t="s">
        <v>261</v>
      </c>
      <c r="K1554" t="s">
        <v>466</v>
      </c>
      <c r="L1554" t="s">
        <v>469</v>
      </c>
      <c r="M1554" t="s">
        <v>479</v>
      </c>
      <c r="N1554" t="s">
        <v>714</v>
      </c>
      <c r="O1554" t="s">
        <v>47</v>
      </c>
      <c r="P1554" s="1">
        <f>HYPERLINK("https://ec.europa.eu/info/funding-tenders/opportunities/portal/screen/opportunities/topic-details/horizon-ju-cbe-2023-s-02", "HORIZON-JU-CBE-2023-S-02")</f>
        <v>0</v>
      </c>
      <c r="Q1554" t="s">
        <v>2485</v>
      </c>
    </row>
    <row r="1555" spans="1:17">
      <c r="A1555">
        <v>46908840</v>
      </c>
      <c r="B1555">
        <v>2024</v>
      </c>
      <c r="C1555" t="s">
        <v>28</v>
      </c>
      <c r="D1555" t="s">
        <v>47</v>
      </c>
      <c r="E1555" t="s">
        <v>86</v>
      </c>
      <c r="G1555" t="s">
        <v>278</v>
      </c>
      <c r="H1555" t="s">
        <v>352</v>
      </c>
      <c r="I1555" t="s">
        <v>387</v>
      </c>
      <c r="K1555" t="s">
        <v>467</v>
      </c>
      <c r="L1555" t="s">
        <v>469</v>
      </c>
      <c r="M1555" t="s">
        <v>472</v>
      </c>
      <c r="N1555" t="s">
        <v>715</v>
      </c>
      <c r="O1555" t="s">
        <v>47</v>
      </c>
      <c r="P1555" s="1">
        <f>HYPERLINK("https://ec.europa.eu/info/funding-tenders/opportunities/portal/screen/opportunities/topic-details/horizon-ju-cbe-2024-csa-01", "HORIZON-JU-CBE-2024-CSA-01")</f>
        <v>0</v>
      </c>
      <c r="Q1555" t="s">
        <v>2486</v>
      </c>
    </row>
    <row r="1556" spans="1:17">
      <c r="A1556">
        <v>46908269</v>
      </c>
      <c r="B1556">
        <v>2024</v>
      </c>
      <c r="C1556" t="s">
        <v>28</v>
      </c>
      <c r="D1556" t="s">
        <v>47</v>
      </c>
      <c r="E1556" t="s">
        <v>86</v>
      </c>
      <c r="G1556" t="s">
        <v>278</v>
      </c>
      <c r="H1556" t="s">
        <v>352</v>
      </c>
      <c r="I1556" t="s">
        <v>387</v>
      </c>
      <c r="K1556" t="s">
        <v>467</v>
      </c>
      <c r="L1556" t="s">
        <v>469</v>
      </c>
      <c r="M1556" t="s">
        <v>472</v>
      </c>
      <c r="N1556" t="s">
        <v>715</v>
      </c>
      <c r="O1556" t="s">
        <v>47</v>
      </c>
      <c r="P1556" s="1">
        <f>HYPERLINK("https://ec.europa.eu/info/funding-tenders/opportunities/portal/screen/opportunities/topic-details/horizon-ju-cbe-2024-csa-02", "HORIZON-JU-CBE-2024-CSA-02")</f>
        <v>0</v>
      </c>
      <c r="Q1556" t="s">
        <v>2487</v>
      </c>
    </row>
    <row r="1557" spans="1:17">
      <c r="A1557">
        <v>46908303</v>
      </c>
      <c r="B1557">
        <v>2024</v>
      </c>
      <c r="C1557" t="s">
        <v>28</v>
      </c>
      <c r="D1557" t="s">
        <v>47</v>
      </c>
      <c r="E1557" t="s">
        <v>86</v>
      </c>
      <c r="G1557" t="s">
        <v>278</v>
      </c>
      <c r="H1557" t="s">
        <v>352</v>
      </c>
      <c r="I1557" t="s">
        <v>387</v>
      </c>
      <c r="K1557" t="s">
        <v>467</v>
      </c>
      <c r="L1557" t="s">
        <v>469</v>
      </c>
      <c r="M1557" t="s">
        <v>472</v>
      </c>
      <c r="N1557" t="s">
        <v>715</v>
      </c>
      <c r="O1557" t="s">
        <v>47</v>
      </c>
      <c r="P1557" s="1">
        <f>HYPERLINK("https://ec.europa.eu/info/funding-tenders/opportunities/portal/screen/opportunities/topic-details/horizon-ju-cbe-2024-csa-03", "HORIZON-JU-CBE-2024-CSA-03")</f>
        <v>0</v>
      </c>
      <c r="Q1557" t="s">
        <v>2488</v>
      </c>
    </row>
    <row r="1558" spans="1:17">
      <c r="A1558">
        <v>46908436</v>
      </c>
      <c r="B1558">
        <v>2024</v>
      </c>
      <c r="C1558" t="s">
        <v>28</v>
      </c>
      <c r="D1558" t="s">
        <v>47</v>
      </c>
      <c r="E1558" t="s">
        <v>86</v>
      </c>
      <c r="G1558" t="s">
        <v>278</v>
      </c>
      <c r="H1558" t="s">
        <v>352</v>
      </c>
      <c r="I1558" t="s">
        <v>387</v>
      </c>
      <c r="K1558" t="s">
        <v>467</v>
      </c>
      <c r="L1558" t="s">
        <v>469</v>
      </c>
      <c r="M1558" t="s">
        <v>473</v>
      </c>
      <c r="N1558" t="s">
        <v>715</v>
      </c>
      <c r="O1558" t="s">
        <v>47</v>
      </c>
      <c r="P1558" s="1">
        <f>HYPERLINK("https://ec.europa.eu/info/funding-tenders/opportunities/portal/screen/opportunities/topic-details/horizon-ju-cbe-2024-ia-01", "HORIZON-JU-CBE-2024-IA-01")</f>
        <v>0</v>
      </c>
      <c r="Q1558" t="s">
        <v>2489</v>
      </c>
    </row>
    <row r="1559" spans="1:17">
      <c r="A1559">
        <v>46908474</v>
      </c>
      <c r="B1559">
        <v>2024</v>
      </c>
      <c r="C1559" t="s">
        <v>28</v>
      </c>
      <c r="D1559" t="s">
        <v>47</v>
      </c>
      <c r="E1559" t="s">
        <v>86</v>
      </c>
      <c r="G1559" t="s">
        <v>278</v>
      </c>
      <c r="H1559" t="s">
        <v>352</v>
      </c>
      <c r="I1559" t="s">
        <v>387</v>
      </c>
      <c r="K1559" t="s">
        <v>467</v>
      </c>
      <c r="L1559" t="s">
        <v>469</v>
      </c>
      <c r="M1559" t="s">
        <v>473</v>
      </c>
      <c r="N1559" t="s">
        <v>715</v>
      </c>
      <c r="O1559" t="s">
        <v>47</v>
      </c>
      <c r="P1559" s="1">
        <f>HYPERLINK("https://ec.europa.eu/info/funding-tenders/opportunities/portal/screen/opportunities/topic-details/horizon-ju-cbe-2024-ia-02", "HORIZON-JU-CBE-2024-IA-02")</f>
        <v>0</v>
      </c>
      <c r="Q1559" t="s">
        <v>2490</v>
      </c>
    </row>
    <row r="1560" spans="1:17">
      <c r="A1560">
        <v>46908509</v>
      </c>
      <c r="B1560">
        <v>2024</v>
      </c>
      <c r="C1560" t="s">
        <v>28</v>
      </c>
      <c r="D1560" t="s">
        <v>47</v>
      </c>
      <c r="E1560" t="s">
        <v>86</v>
      </c>
      <c r="G1560" t="s">
        <v>278</v>
      </c>
      <c r="H1560" t="s">
        <v>352</v>
      </c>
      <c r="I1560" t="s">
        <v>387</v>
      </c>
      <c r="K1560" t="s">
        <v>467</v>
      </c>
      <c r="L1560" t="s">
        <v>469</v>
      </c>
      <c r="M1560" t="s">
        <v>473</v>
      </c>
      <c r="N1560" t="s">
        <v>715</v>
      </c>
      <c r="O1560" t="s">
        <v>47</v>
      </c>
      <c r="P1560" s="1">
        <f>HYPERLINK("https://ec.europa.eu/info/funding-tenders/opportunities/portal/screen/opportunities/topic-details/horizon-ju-cbe-2024-ia-03", "HORIZON-JU-CBE-2024-IA-03")</f>
        <v>0</v>
      </c>
      <c r="Q1560" t="s">
        <v>2491</v>
      </c>
    </row>
    <row r="1561" spans="1:17">
      <c r="A1561">
        <v>46908541</v>
      </c>
      <c r="B1561">
        <v>2024</v>
      </c>
      <c r="C1561" t="s">
        <v>28</v>
      </c>
      <c r="D1561" t="s">
        <v>47</v>
      </c>
      <c r="E1561" t="s">
        <v>86</v>
      </c>
      <c r="G1561" t="s">
        <v>278</v>
      </c>
      <c r="H1561" t="s">
        <v>352</v>
      </c>
      <c r="I1561" t="s">
        <v>387</v>
      </c>
      <c r="K1561" t="s">
        <v>467</v>
      </c>
      <c r="L1561" t="s">
        <v>469</v>
      </c>
      <c r="M1561" t="s">
        <v>473</v>
      </c>
      <c r="N1561" t="s">
        <v>715</v>
      </c>
      <c r="O1561" t="s">
        <v>47</v>
      </c>
      <c r="P1561" s="1">
        <f>HYPERLINK("https://ec.europa.eu/info/funding-tenders/opportunities/portal/screen/opportunities/topic-details/horizon-ju-cbe-2024-ia-04", "HORIZON-JU-CBE-2024-IA-04")</f>
        <v>0</v>
      </c>
      <c r="Q1561" t="s">
        <v>2492</v>
      </c>
    </row>
    <row r="1562" spans="1:17">
      <c r="A1562">
        <v>46908567</v>
      </c>
      <c r="B1562">
        <v>2024</v>
      </c>
      <c r="C1562" t="s">
        <v>28</v>
      </c>
      <c r="D1562" t="s">
        <v>47</v>
      </c>
      <c r="E1562" t="s">
        <v>86</v>
      </c>
      <c r="G1562" t="s">
        <v>278</v>
      </c>
      <c r="H1562" t="s">
        <v>352</v>
      </c>
      <c r="I1562" t="s">
        <v>387</v>
      </c>
      <c r="K1562" t="s">
        <v>467</v>
      </c>
      <c r="L1562" t="s">
        <v>469</v>
      </c>
      <c r="M1562" t="s">
        <v>473</v>
      </c>
      <c r="N1562" t="s">
        <v>715</v>
      </c>
      <c r="O1562" t="s">
        <v>47</v>
      </c>
      <c r="P1562" s="1">
        <f>HYPERLINK("https://ec.europa.eu/info/funding-tenders/opportunities/portal/screen/opportunities/topic-details/horizon-ju-cbe-2024-ia-05", "HORIZON-JU-CBE-2024-IA-05")</f>
        <v>0</v>
      </c>
      <c r="Q1562" t="s">
        <v>2493</v>
      </c>
    </row>
    <row r="1563" spans="1:17">
      <c r="A1563">
        <v>46908598</v>
      </c>
      <c r="B1563">
        <v>2024</v>
      </c>
      <c r="C1563" t="s">
        <v>28</v>
      </c>
      <c r="D1563" t="s">
        <v>47</v>
      </c>
      <c r="E1563" t="s">
        <v>86</v>
      </c>
      <c r="G1563" t="s">
        <v>278</v>
      </c>
      <c r="H1563" t="s">
        <v>352</v>
      </c>
      <c r="I1563" t="s">
        <v>387</v>
      </c>
      <c r="K1563" t="s">
        <v>467</v>
      </c>
      <c r="L1563" t="s">
        <v>469</v>
      </c>
      <c r="M1563" t="s">
        <v>473</v>
      </c>
      <c r="N1563" t="s">
        <v>715</v>
      </c>
      <c r="O1563" t="s">
        <v>47</v>
      </c>
      <c r="P1563" s="1">
        <f>HYPERLINK("https://ec.europa.eu/info/funding-tenders/opportunities/portal/screen/opportunities/topic-details/horizon-ju-cbe-2024-ia-06", "HORIZON-JU-CBE-2024-IA-06")</f>
        <v>0</v>
      </c>
      <c r="Q1563" t="s">
        <v>2494</v>
      </c>
    </row>
    <row r="1564" spans="1:17">
      <c r="A1564">
        <v>46908632</v>
      </c>
      <c r="B1564">
        <v>2024</v>
      </c>
      <c r="C1564" t="s">
        <v>28</v>
      </c>
      <c r="D1564" t="s">
        <v>47</v>
      </c>
      <c r="E1564" t="s">
        <v>86</v>
      </c>
      <c r="G1564" t="s">
        <v>278</v>
      </c>
      <c r="H1564" t="s">
        <v>352</v>
      </c>
      <c r="I1564" t="s">
        <v>387</v>
      </c>
      <c r="K1564" t="s">
        <v>467</v>
      </c>
      <c r="L1564" t="s">
        <v>469</v>
      </c>
      <c r="M1564" t="s">
        <v>473</v>
      </c>
      <c r="N1564" t="s">
        <v>715</v>
      </c>
      <c r="O1564" t="s">
        <v>47</v>
      </c>
      <c r="P1564" s="1">
        <f>HYPERLINK("https://ec.europa.eu/info/funding-tenders/opportunities/portal/screen/opportunities/topic-details/horizon-ju-cbe-2024-ia-07", "HORIZON-JU-CBE-2024-IA-07")</f>
        <v>0</v>
      </c>
      <c r="Q1564" t="s">
        <v>2495</v>
      </c>
    </row>
    <row r="1565" spans="1:17">
      <c r="A1565">
        <v>46908337</v>
      </c>
      <c r="B1565">
        <v>2024</v>
      </c>
      <c r="C1565" t="s">
        <v>28</v>
      </c>
      <c r="D1565" t="s">
        <v>47</v>
      </c>
      <c r="E1565" t="s">
        <v>86</v>
      </c>
      <c r="G1565" t="s">
        <v>278</v>
      </c>
      <c r="H1565" t="s">
        <v>352</v>
      </c>
      <c r="I1565" t="s">
        <v>387</v>
      </c>
      <c r="K1565" t="s">
        <v>467</v>
      </c>
      <c r="L1565" t="s">
        <v>469</v>
      </c>
      <c r="M1565" t="s">
        <v>473</v>
      </c>
      <c r="N1565" t="s">
        <v>715</v>
      </c>
      <c r="O1565" t="s">
        <v>47</v>
      </c>
      <c r="P1565" s="1">
        <f>HYPERLINK("https://ec.europa.eu/info/funding-tenders/opportunities/portal/screen/opportunities/topic-details/horizon-ju-cbe-2024-iaflag-01", "HORIZON-JU-CBE-2024-IAFlag-01")</f>
        <v>0</v>
      </c>
      <c r="Q1565" t="s">
        <v>2496</v>
      </c>
    </row>
    <row r="1566" spans="1:17">
      <c r="A1566">
        <v>46908371</v>
      </c>
      <c r="B1566">
        <v>2024</v>
      </c>
      <c r="C1566" t="s">
        <v>28</v>
      </c>
      <c r="D1566" t="s">
        <v>47</v>
      </c>
      <c r="E1566" t="s">
        <v>86</v>
      </c>
      <c r="G1566" t="s">
        <v>278</v>
      </c>
      <c r="H1566" t="s">
        <v>352</v>
      </c>
      <c r="I1566" t="s">
        <v>387</v>
      </c>
      <c r="K1566" t="s">
        <v>467</v>
      </c>
      <c r="L1566" t="s">
        <v>469</v>
      </c>
      <c r="M1566" t="s">
        <v>473</v>
      </c>
      <c r="N1566" t="s">
        <v>715</v>
      </c>
      <c r="O1566" t="s">
        <v>47</v>
      </c>
      <c r="P1566" s="1">
        <f>HYPERLINK("https://ec.europa.eu/info/funding-tenders/opportunities/portal/screen/opportunities/topic-details/horizon-ju-cbe-2024-iaflag-02", "HORIZON-JU-CBE-2024-IAFlag-02")</f>
        <v>0</v>
      </c>
      <c r="Q1566" t="s">
        <v>2497</v>
      </c>
    </row>
    <row r="1567" spans="1:17">
      <c r="A1567">
        <v>46908402</v>
      </c>
      <c r="B1567">
        <v>2024</v>
      </c>
      <c r="C1567" t="s">
        <v>28</v>
      </c>
      <c r="D1567" t="s">
        <v>47</v>
      </c>
      <c r="E1567" t="s">
        <v>86</v>
      </c>
      <c r="G1567" t="s">
        <v>278</v>
      </c>
      <c r="H1567" t="s">
        <v>352</v>
      </c>
      <c r="I1567" t="s">
        <v>387</v>
      </c>
      <c r="K1567" t="s">
        <v>467</v>
      </c>
      <c r="L1567" t="s">
        <v>469</v>
      </c>
      <c r="M1567" t="s">
        <v>473</v>
      </c>
      <c r="N1567" t="s">
        <v>715</v>
      </c>
      <c r="O1567" t="s">
        <v>47</v>
      </c>
      <c r="P1567" s="1">
        <f>HYPERLINK("https://ec.europa.eu/info/funding-tenders/opportunities/portal/screen/opportunities/topic-details/horizon-ju-cbe-2024-iaflag-03", "HORIZON-JU-CBE-2024-IAFlag-03")</f>
        <v>0</v>
      </c>
      <c r="Q1567" t="s">
        <v>2498</v>
      </c>
    </row>
    <row r="1568" spans="1:17">
      <c r="A1568">
        <v>46908664</v>
      </c>
      <c r="B1568">
        <v>2024</v>
      </c>
      <c r="C1568" t="s">
        <v>28</v>
      </c>
      <c r="D1568" t="s">
        <v>47</v>
      </c>
      <c r="E1568" t="s">
        <v>86</v>
      </c>
      <c r="G1568" t="s">
        <v>278</v>
      </c>
      <c r="H1568" t="s">
        <v>352</v>
      </c>
      <c r="I1568" t="s">
        <v>387</v>
      </c>
      <c r="K1568" t="s">
        <v>467</v>
      </c>
      <c r="L1568" t="s">
        <v>469</v>
      </c>
      <c r="M1568" t="s">
        <v>471</v>
      </c>
      <c r="N1568" t="s">
        <v>715</v>
      </c>
      <c r="O1568" t="s">
        <v>47</v>
      </c>
      <c r="P1568" s="1">
        <f>HYPERLINK("https://ec.europa.eu/info/funding-tenders/opportunities/portal/screen/opportunities/topic-details/horizon-ju-cbe-2024-ria-01", "HORIZON-JU-CBE-2024-RIA-01")</f>
        <v>0</v>
      </c>
      <c r="Q1568" t="s">
        <v>2499</v>
      </c>
    </row>
    <row r="1569" spans="1:17">
      <c r="A1569">
        <v>46908699</v>
      </c>
      <c r="B1569">
        <v>2024</v>
      </c>
      <c r="C1569" t="s">
        <v>28</v>
      </c>
      <c r="D1569" t="s">
        <v>47</v>
      </c>
      <c r="E1569" t="s">
        <v>86</v>
      </c>
      <c r="G1569" t="s">
        <v>278</v>
      </c>
      <c r="H1569" t="s">
        <v>352</v>
      </c>
      <c r="I1569" t="s">
        <v>387</v>
      </c>
      <c r="K1569" t="s">
        <v>467</v>
      </c>
      <c r="L1569" t="s">
        <v>469</v>
      </c>
      <c r="M1569" t="s">
        <v>471</v>
      </c>
      <c r="N1569" t="s">
        <v>715</v>
      </c>
      <c r="O1569" t="s">
        <v>47</v>
      </c>
      <c r="P1569" s="1">
        <f>HYPERLINK("https://ec.europa.eu/info/funding-tenders/opportunities/portal/screen/opportunities/topic-details/horizon-ju-cbe-2024-ria-02", "HORIZON-JU-CBE-2024-RIA-02")</f>
        <v>0</v>
      </c>
      <c r="Q1569" t="s">
        <v>2500</v>
      </c>
    </row>
    <row r="1570" spans="1:17">
      <c r="A1570">
        <v>46908734</v>
      </c>
      <c r="B1570">
        <v>2024</v>
      </c>
      <c r="C1570" t="s">
        <v>28</v>
      </c>
      <c r="D1570" t="s">
        <v>47</v>
      </c>
      <c r="E1570" t="s">
        <v>86</v>
      </c>
      <c r="G1570" t="s">
        <v>278</v>
      </c>
      <c r="H1570" t="s">
        <v>352</v>
      </c>
      <c r="I1570" t="s">
        <v>387</v>
      </c>
      <c r="K1570" t="s">
        <v>467</v>
      </c>
      <c r="L1570" t="s">
        <v>469</v>
      </c>
      <c r="M1570" t="s">
        <v>471</v>
      </c>
      <c r="N1570" t="s">
        <v>715</v>
      </c>
      <c r="O1570" t="s">
        <v>47</v>
      </c>
      <c r="P1570" s="1">
        <f>HYPERLINK("https://ec.europa.eu/info/funding-tenders/opportunities/portal/screen/opportunities/topic-details/horizon-ju-cbe-2024-ria-03", "HORIZON-JU-CBE-2024-RIA-03")</f>
        <v>0</v>
      </c>
      <c r="Q1570" t="s">
        <v>2501</v>
      </c>
    </row>
    <row r="1571" spans="1:17">
      <c r="A1571">
        <v>46908770</v>
      </c>
      <c r="B1571">
        <v>2024</v>
      </c>
      <c r="C1571" t="s">
        <v>28</v>
      </c>
      <c r="D1571" t="s">
        <v>47</v>
      </c>
      <c r="E1571" t="s">
        <v>86</v>
      </c>
      <c r="G1571" t="s">
        <v>278</v>
      </c>
      <c r="H1571" t="s">
        <v>352</v>
      </c>
      <c r="I1571" t="s">
        <v>387</v>
      </c>
      <c r="K1571" t="s">
        <v>467</v>
      </c>
      <c r="L1571" t="s">
        <v>469</v>
      </c>
      <c r="M1571" t="s">
        <v>471</v>
      </c>
      <c r="N1571" t="s">
        <v>715</v>
      </c>
      <c r="O1571" t="s">
        <v>47</v>
      </c>
      <c r="P1571" s="1">
        <f>HYPERLINK("https://ec.europa.eu/info/funding-tenders/opportunities/portal/screen/opportunities/topic-details/horizon-ju-cbe-2024-ria-04", "HORIZON-JU-CBE-2024-RIA-04")</f>
        <v>0</v>
      </c>
      <c r="Q1571" t="s">
        <v>2502</v>
      </c>
    </row>
    <row r="1572" spans="1:17">
      <c r="A1572">
        <v>46908804</v>
      </c>
      <c r="B1572">
        <v>2024</v>
      </c>
      <c r="C1572" t="s">
        <v>28</v>
      </c>
      <c r="D1572" t="s">
        <v>47</v>
      </c>
      <c r="E1572" t="s">
        <v>86</v>
      </c>
      <c r="G1572" t="s">
        <v>278</v>
      </c>
      <c r="H1572" t="s">
        <v>352</v>
      </c>
      <c r="I1572" t="s">
        <v>387</v>
      </c>
      <c r="K1572" t="s">
        <v>467</v>
      </c>
      <c r="L1572" t="s">
        <v>469</v>
      </c>
      <c r="M1572" t="s">
        <v>471</v>
      </c>
      <c r="N1572" t="s">
        <v>715</v>
      </c>
      <c r="O1572" t="s">
        <v>47</v>
      </c>
      <c r="P1572" s="1">
        <f>HYPERLINK("https://ec.europa.eu/info/funding-tenders/opportunities/portal/screen/opportunities/topic-details/horizon-ju-cbe-2024-ria-05", "HORIZON-JU-CBE-2024-RIA-05")</f>
        <v>0</v>
      </c>
      <c r="Q1572" t="s">
        <v>2503</v>
      </c>
    </row>
    <row r="1573" spans="1:17">
      <c r="A1573">
        <v>44995644</v>
      </c>
      <c r="B1573">
        <v>2022</v>
      </c>
      <c r="C1573" t="s">
        <v>29</v>
      </c>
      <c r="D1573" t="s">
        <v>48</v>
      </c>
      <c r="E1573" t="s">
        <v>82</v>
      </c>
      <c r="F1573" t="s">
        <v>156</v>
      </c>
      <c r="G1573" t="s">
        <v>279</v>
      </c>
      <c r="H1573" t="s">
        <v>353</v>
      </c>
      <c r="I1573" t="s">
        <v>413</v>
      </c>
      <c r="K1573" t="s">
        <v>466</v>
      </c>
      <c r="L1573" t="s">
        <v>469</v>
      </c>
      <c r="M1573" t="s">
        <v>479</v>
      </c>
      <c r="N1573" t="s">
        <v>716</v>
      </c>
      <c r="O1573" t="s">
        <v>926</v>
      </c>
      <c r="P1573" s="1">
        <f>HYPERLINK("https://ec.europa.eu/info/funding-tenders/opportunities/portal/screen/opportunities/topic-details/horizon-ju-clean-aviation-2022-01-csa-01", "HORIZON-JU-CLEAN-AVIATION-2022-01-CSA-01")</f>
        <v>0</v>
      </c>
      <c r="Q1573" t="s">
        <v>2504</v>
      </c>
    </row>
    <row r="1574" spans="1:17">
      <c r="A1574">
        <v>44995584</v>
      </c>
      <c r="B1574">
        <v>2022</v>
      </c>
      <c r="C1574" t="s">
        <v>29</v>
      </c>
      <c r="D1574" t="s">
        <v>48</v>
      </c>
      <c r="E1574" t="s">
        <v>82</v>
      </c>
      <c r="F1574" t="s">
        <v>156</v>
      </c>
      <c r="G1574" t="s">
        <v>279</v>
      </c>
      <c r="H1574" t="s">
        <v>353</v>
      </c>
      <c r="I1574" t="s">
        <v>413</v>
      </c>
      <c r="K1574" t="s">
        <v>466</v>
      </c>
      <c r="L1574" t="s">
        <v>469</v>
      </c>
      <c r="M1574" t="s">
        <v>478</v>
      </c>
      <c r="N1574" t="s">
        <v>716</v>
      </c>
      <c r="O1574" t="s">
        <v>926</v>
      </c>
      <c r="P1574" s="1">
        <f>HYPERLINK("https://ec.europa.eu/info/funding-tenders/opportunities/portal/screen/opportunities/topic-details/horizon-ju-clean-aviation-2022-01-her-01", "HORIZON-JU-CLEAN-AVIATION-2022-01-HER-01")</f>
        <v>0</v>
      </c>
      <c r="Q1574" t="s">
        <v>2505</v>
      </c>
    </row>
    <row r="1575" spans="1:17">
      <c r="A1575">
        <v>44995590</v>
      </c>
      <c r="B1575">
        <v>2022</v>
      </c>
      <c r="C1575" t="s">
        <v>29</v>
      </c>
      <c r="D1575" t="s">
        <v>48</v>
      </c>
      <c r="E1575" t="s">
        <v>82</v>
      </c>
      <c r="F1575" t="s">
        <v>156</v>
      </c>
      <c r="G1575" t="s">
        <v>279</v>
      </c>
      <c r="H1575" t="s">
        <v>353</v>
      </c>
      <c r="I1575" t="s">
        <v>413</v>
      </c>
      <c r="K1575" t="s">
        <v>466</v>
      </c>
      <c r="L1575" t="s">
        <v>469</v>
      </c>
      <c r="M1575" t="s">
        <v>478</v>
      </c>
      <c r="N1575" t="s">
        <v>716</v>
      </c>
      <c r="O1575" t="s">
        <v>926</v>
      </c>
      <c r="P1575" s="1">
        <f>HYPERLINK("https://ec.europa.eu/info/funding-tenders/opportunities/portal/screen/opportunities/topic-details/horizon-ju-clean-aviation-2022-01-her-02", "HORIZON-JU-CLEAN-AVIATION-2022-01-HER-02")</f>
        <v>0</v>
      </c>
      <c r="Q1575" t="s">
        <v>2506</v>
      </c>
    </row>
    <row r="1576" spans="1:17">
      <c r="A1576">
        <v>44995638</v>
      </c>
      <c r="B1576">
        <v>2022</v>
      </c>
      <c r="C1576" t="s">
        <v>29</v>
      </c>
      <c r="D1576" t="s">
        <v>48</v>
      </c>
      <c r="E1576" t="s">
        <v>82</v>
      </c>
      <c r="F1576" t="s">
        <v>156</v>
      </c>
      <c r="G1576" t="s">
        <v>279</v>
      </c>
      <c r="H1576" t="s">
        <v>353</v>
      </c>
      <c r="I1576" t="s">
        <v>413</v>
      </c>
      <c r="K1576" t="s">
        <v>466</v>
      </c>
      <c r="L1576" t="s">
        <v>469</v>
      </c>
      <c r="M1576" t="s">
        <v>478</v>
      </c>
      <c r="N1576" t="s">
        <v>716</v>
      </c>
      <c r="O1576" t="s">
        <v>926</v>
      </c>
      <c r="P1576" s="1">
        <f>HYPERLINK("https://ec.europa.eu/info/funding-tenders/opportunities/portal/screen/opportunities/topic-details/horizon-ju-clean-aviation-2022-01-her-03", "HORIZON-JU-CLEAN-AVIATION-2022-01-HER-03")</f>
        <v>0</v>
      </c>
      <c r="Q1576" t="s">
        <v>2507</v>
      </c>
    </row>
    <row r="1577" spans="1:17">
      <c r="A1577">
        <v>44995596</v>
      </c>
      <c r="B1577">
        <v>2022</v>
      </c>
      <c r="C1577" t="s">
        <v>29</v>
      </c>
      <c r="D1577" t="s">
        <v>48</v>
      </c>
      <c r="E1577" t="s">
        <v>82</v>
      </c>
      <c r="F1577" t="s">
        <v>156</v>
      </c>
      <c r="G1577" t="s">
        <v>279</v>
      </c>
      <c r="H1577" t="s">
        <v>353</v>
      </c>
      <c r="I1577" t="s">
        <v>413</v>
      </c>
      <c r="K1577" t="s">
        <v>466</v>
      </c>
      <c r="L1577" t="s">
        <v>469</v>
      </c>
      <c r="M1577" t="s">
        <v>478</v>
      </c>
      <c r="N1577" t="s">
        <v>716</v>
      </c>
      <c r="O1577" t="s">
        <v>926</v>
      </c>
      <c r="P1577" s="1">
        <f>HYPERLINK("https://ec.europa.eu/info/funding-tenders/opportunities/portal/screen/opportunities/topic-details/horizon-ju-clean-aviation-2022-01-her-04", "HORIZON-JU-CLEAN-AVIATION-2022-01-HER-04")</f>
        <v>0</v>
      </c>
      <c r="Q1577" t="s">
        <v>2508</v>
      </c>
    </row>
    <row r="1578" spans="1:17">
      <c r="A1578">
        <v>44995650</v>
      </c>
      <c r="B1578">
        <v>2022</v>
      </c>
      <c r="C1578" t="s">
        <v>29</v>
      </c>
      <c r="D1578" t="s">
        <v>48</v>
      </c>
      <c r="E1578" t="s">
        <v>82</v>
      </c>
      <c r="F1578" t="s">
        <v>156</v>
      </c>
      <c r="G1578" t="s">
        <v>279</v>
      </c>
      <c r="H1578" t="s">
        <v>353</v>
      </c>
      <c r="I1578" t="s">
        <v>413</v>
      </c>
      <c r="K1578" t="s">
        <v>466</v>
      </c>
      <c r="L1578" t="s">
        <v>469</v>
      </c>
      <c r="M1578" t="s">
        <v>478</v>
      </c>
      <c r="N1578" t="s">
        <v>716</v>
      </c>
      <c r="O1578" t="s">
        <v>926</v>
      </c>
      <c r="P1578" s="1">
        <f>HYPERLINK("https://ec.europa.eu/info/funding-tenders/opportunities/portal/screen/opportunities/topic-details/horizon-ju-clean-aviation-2022-01-hpa-01", "HORIZON-JU-CLEAN-AVIATION-2022-01-HPA-01")</f>
        <v>0</v>
      </c>
      <c r="Q1578" t="s">
        <v>2509</v>
      </c>
    </row>
    <row r="1579" spans="1:17">
      <c r="A1579">
        <v>44995578</v>
      </c>
      <c r="B1579">
        <v>2022</v>
      </c>
      <c r="C1579" t="s">
        <v>29</v>
      </c>
      <c r="D1579" t="s">
        <v>48</v>
      </c>
      <c r="E1579" t="s">
        <v>82</v>
      </c>
      <c r="F1579" t="s">
        <v>156</v>
      </c>
      <c r="G1579" t="s">
        <v>279</v>
      </c>
      <c r="H1579" t="s">
        <v>353</v>
      </c>
      <c r="I1579" t="s">
        <v>413</v>
      </c>
      <c r="K1579" t="s">
        <v>466</v>
      </c>
      <c r="L1579" t="s">
        <v>469</v>
      </c>
      <c r="M1579" t="s">
        <v>478</v>
      </c>
      <c r="N1579" t="s">
        <v>716</v>
      </c>
      <c r="O1579" t="s">
        <v>926</v>
      </c>
      <c r="P1579" s="1">
        <f>HYPERLINK("https://ec.europa.eu/info/funding-tenders/opportunities/portal/screen/opportunities/topic-details/horizon-ju-clean-aviation-2022-01-hpa-02", "HORIZON-JU-CLEAN-AVIATION-2022-01-HPA-02")</f>
        <v>0</v>
      </c>
      <c r="Q1579" t="s">
        <v>2510</v>
      </c>
    </row>
    <row r="1580" spans="1:17">
      <c r="A1580">
        <v>44995572</v>
      </c>
      <c r="B1580">
        <v>2022</v>
      </c>
      <c r="C1580" t="s">
        <v>29</v>
      </c>
      <c r="D1580" t="s">
        <v>48</v>
      </c>
      <c r="E1580" t="s">
        <v>82</v>
      </c>
      <c r="F1580" t="s">
        <v>156</v>
      </c>
      <c r="G1580" t="s">
        <v>279</v>
      </c>
      <c r="H1580" t="s">
        <v>353</v>
      </c>
      <c r="I1580" t="s">
        <v>413</v>
      </c>
      <c r="K1580" t="s">
        <v>466</v>
      </c>
      <c r="L1580" t="s">
        <v>469</v>
      </c>
      <c r="M1580" t="s">
        <v>478</v>
      </c>
      <c r="N1580" t="s">
        <v>716</v>
      </c>
      <c r="O1580" t="s">
        <v>926</v>
      </c>
      <c r="P1580" s="1">
        <f>HYPERLINK("https://ec.europa.eu/info/funding-tenders/opportunities/portal/screen/opportunities/topic-details/horizon-ju-clean-aviation-2022-01-hpa-03", "HORIZON-JU-CLEAN-AVIATION-2022-01-HPA-03")</f>
        <v>0</v>
      </c>
      <c r="Q1580" t="s">
        <v>2511</v>
      </c>
    </row>
    <row r="1581" spans="1:17">
      <c r="A1581">
        <v>44995602</v>
      </c>
      <c r="B1581">
        <v>2022</v>
      </c>
      <c r="C1581" t="s">
        <v>29</v>
      </c>
      <c r="D1581" t="s">
        <v>48</v>
      </c>
      <c r="E1581" t="s">
        <v>82</v>
      </c>
      <c r="F1581" t="s">
        <v>156</v>
      </c>
      <c r="G1581" t="s">
        <v>279</v>
      </c>
      <c r="H1581" t="s">
        <v>353</v>
      </c>
      <c r="I1581" t="s">
        <v>413</v>
      </c>
      <c r="K1581" t="s">
        <v>466</v>
      </c>
      <c r="L1581" t="s">
        <v>469</v>
      </c>
      <c r="M1581" t="s">
        <v>478</v>
      </c>
      <c r="N1581" t="s">
        <v>716</v>
      </c>
      <c r="O1581" t="s">
        <v>926</v>
      </c>
      <c r="P1581" s="1">
        <f>HYPERLINK("https://ec.europa.eu/info/funding-tenders/opportunities/portal/screen/opportunities/topic-details/horizon-ju-clean-aviation-2022-01-hpa-04", "HORIZON-JU-CLEAN-AVIATION-2022-01-HPA-04")</f>
        <v>0</v>
      </c>
      <c r="Q1581" t="s">
        <v>2512</v>
      </c>
    </row>
    <row r="1582" spans="1:17">
      <c r="A1582">
        <v>44995614</v>
      </c>
      <c r="B1582">
        <v>2022</v>
      </c>
      <c r="C1582" t="s">
        <v>29</v>
      </c>
      <c r="D1582" t="s">
        <v>48</v>
      </c>
      <c r="E1582" t="s">
        <v>82</v>
      </c>
      <c r="F1582" t="s">
        <v>156</v>
      </c>
      <c r="G1582" t="s">
        <v>279</v>
      </c>
      <c r="H1582" t="s">
        <v>353</v>
      </c>
      <c r="I1582" t="s">
        <v>413</v>
      </c>
      <c r="K1582" t="s">
        <v>466</v>
      </c>
      <c r="L1582" t="s">
        <v>469</v>
      </c>
      <c r="M1582" t="s">
        <v>478</v>
      </c>
      <c r="N1582" t="s">
        <v>716</v>
      </c>
      <c r="O1582" t="s">
        <v>926</v>
      </c>
      <c r="P1582" s="1">
        <f>HYPERLINK("https://ec.europa.eu/info/funding-tenders/opportunities/portal/screen/opportunities/topic-details/horizon-ju-clean-aviation-2022-01-smr-01", "HORIZON-JU-CLEAN-AVIATION-2022-01-SMR-01")</f>
        <v>0</v>
      </c>
      <c r="Q1582" t="s">
        <v>2513</v>
      </c>
    </row>
    <row r="1583" spans="1:17">
      <c r="A1583">
        <v>44995620</v>
      </c>
      <c r="B1583">
        <v>2022</v>
      </c>
      <c r="C1583" t="s">
        <v>29</v>
      </c>
      <c r="D1583" t="s">
        <v>48</v>
      </c>
      <c r="E1583" t="s">
        <v>82</v>
      </c>
      <c r="F1583" t="s">
        <v>156</v>
      </c>
      <c r="G1583" t="s">
        <v>279</v>
      </c>
      <c r="H1583" t="s">
        <v>353</v>
      </c>
      <c r="I1583" t="s">
        <v>413</v>
      </c>
      <c r="K1583" t="s">
        <v>466</v>
      </c>
      <c r="L1583" t="s">
        <v>469</v>
      </c>
      <c r="M1583" t="s">
        <v>478</v>
      </c>
      <c r="N1583" t="s">
        <v>716</v>
      </c>
      <c r="O1583" t="s">
        <v>926</v>
      </c>
      <c r="P1583" s="1">
        <f>HYPERLINK("https://ec.europa.eu/info/funding-tenders/opportunities/portal/screen/opportunities/topic-details/horizon-ju-clean-aviation-2022-01-smr-02", "HORIZON-JU-CLEAN-AVIATION-2022-01-SMR-02")</f>
        <v>0</v>
      </c>
      <c r="Q1583" t="s">
        <v>2514</v>
      </c>
    </row>
    <row r="1584" spans="1:17">
      <c r="A1584">
        <v>44995626</v>
      </c>
      <c r="B1584">
        <v>2022</v>
      </c>
      <c r="C1584" t="s">
        <v>29</v>
      </c>
      <c r="D1584" t="s">
        <v>48</v>
      </c>
      <c r="E1584" t="s">
        <v>82</v>
      </c>
      <c r="F1584" t="s">
        <v>156</v>
      </c>
      <c r="G1584" t="s">
        <v>279</v>
      </c>
      <c r="H1584" t="s">
        <v>353</v>
      </c>
      <c r="I1584" t="s">
        <v>413</v>
      </c>
      <c r="K1584" t="s">
        <v>466</v>
      </c>
      <c r="L1584" t="s">
        <v>469</v>
      </c>
      <c r="M1584" t="s">
        <v>478</v>
      </c>
      <c r="N1584" t="s">
        <v>716</v>
      </c>
      <c r="O1584" t="s">
        <v>926</v>
      </c>
      <c r="P1584" s="1">
        <f>HYPERLINK("https://ec.europa.eu/info/funding-tenders/opportunities/portal/screen/opportunities/topic-details/horizon-ju-clean-aviation-2022-01-smr-03", "HORIZON-JU-CLEAN-AVIATION-2022-01-SMR-03")</f>
        <v>0</v>
      </c>
      <c r="Q1584" t="s">
        <v>2515</v>
      </c>
    </row>
    <row r="1585" spans="1:17">
      <c r="A1585">
        <v>44995608</v>
      </c>
      <c r="B1585">
        <v>2022</v>
      </c>
      <c r="C1585" t="s">
        <v>29</v>
      </c>
      <c r="D1585" t="s">
        <v>48</v>
      </c>
      <c r="E1585" t="s">
        <v>82</v>
      </c>
      <c r="F1585" t="s">
        <v>156</v>
      </c>
      <c r="G1585" t="s">
        <v>279</v>
      </c>
      <c r="H1585" t="s">
        <v>353</v>
      </c>
      <c r="I1585" t="s">
        <v>413</v>
      </c>
      <c r="K1585" t="s">
        <v>466</v>
      </c>
      <c r="L1585" t="s">
        <v>469</v>
      </c>
      <c r="M1585" t="s">
        <v>478</v>
      </c>
      <c r="N1585" t="s">
        <v>716</v>
      </c>
      <c r="O1585" t="s">
        <v>926</v>
      </c>
      <c r="P1585" s="1">
        <f>HYPERLINK("https://ec.europa.eu/info/funding-tenders/opportunities/portal/screen/opportunities/topic-details/horizon-ju-clean-aviation-2022-01-tra-01", "HORIZON-JU-CLEAN-AVIATION-2022-01-TRA-01")</f>
        <v>0</v>
      </c>
      <c r="Q1585" t="s">
        <v>2516</v>
      </c>
    </row>
    <row r="1586" spans="1:17">
      <c r="A1586">
        <v>44995632</v>
      </c>
      <c r="B1586">
        <v>2022</v>
      </c>
      <c r="C1586" t="s">
        <v>29</v>
      </c>
      <c r="D1586" t="s">
        <v>48</v>
      </c>
      <c r="E1586" t="s">
        <v>82</v>
      </c>
      <c r="F1586" t="s">
        <v>156</v>
      </c>
      <c r="G1586" t="s">
        <v>279</v>
      </c>
      <c r="H1586" t="s">
        <v>353</v>
      </c>
      <c r="I1586" t="s">
        <v>413</v>
      </c>
      <c r="K1586" t="s">
        <v>466</v>
      </c>
      <c r="L1586" t="s">
        <v>469</v>
      </c>
      <c r="M1586" t="s">
        <v>478</v>
      </c>
      <c r="N1586" t="s">
        <v>716</v>
      </c>
      <c r="O1586" t="s">
        <v>926</v>
      </c>
      <c r="P1586" s="1">
        <f>HYPERLINK("https://ec.europa.eu/info/funding-tenders/opportunities/portal/screen/opportunities/topic-details/horizon-ju-clean-aviation-2022-01-tra-02", "HORIZON-JU-CLEAN-AVIATION-2022-01-TRA-02")</f>
        <v>0</v>
      </c>
      <c r="Q1586" t="s">
        <v>2517</v>
      </c>
    </row>
    <row r="1587" spans="1:17">
      <c r="A1587">
        <v>45898449</v>
      </c>
      <c r="B1587">
        <v>2023</v>
      </c>
      <c r="C1587" t="s">
        <v>29</v>
      </c>
      <c r="D1587" t="s">
        <v>48</v>
      </c>
      <c r="E1587" t="s">
        <v>82</v>
      </c>
      <c r="F1587" t="s">
        <v>156</v>
      </c>
      <c r="G1587" t="s">
        <v>280</v>
      </c>
      <c r="H1587" t="s">
        <v>354</v>
      </c>
      <c r="I1587" t="s">
        <v>437</v>
      </c>
      <c r="K1587" t="s">
        <v>466</v>
      </c>
      <c r="L1587" t="s">
        <v>469</v>
      </c>
      <c r="M1587" t="s">
        <v>479</v>
      </c>
      <c r="N1587" t="s">
        <v>717</v>
      </c>
      <c r="O1587" t="s">
        <v>927</v>
      </c>
      <c r="P1587" s="1">
        <f>HYPERLINK("https://ec.europa.eu/info/funding-tenders/opportunities/portal/screen/opportunities/topic-details/horizon-ju-clean-aviation-2023-02-csa-01", "HORIZON-JU-CLEAN-AVIATION-2023-02-CSA-01")</f>
        <v>0</v>
      </c>
      <c r="Q1587" t="s">
        <v>2518</v>
      </c>
    </row>
    <row r="1588" spans="1:17">
      <c r="A1588">
        <v>45898476</v>
      </c>
      <c r="B1588">
        <v>2023</v>
      </c>
      <c r="C1588" t="s">
        <v>29</v>
      </c>
      <c r="D1588" t="s">
        <v>48</v>
      </c>
      <c r="E1588" t="s">
        <v>82</v>
      </c>
      <c r="F1588" t="s">
        <v>156</v>
      </c>
      <c r="G1588" t="s">
        <v>280</v>
      </c>
      <c r="H1588" t="s">
        <v>354</v>
      </c>
      <c r="I1588" t="s">
        <v>437</v>
      </c>
      <c r="K1588" t="s">
        <v>466</v>
      </c>
      <c r="L1588" t="s">
        <v>469</v>
      </c>
      <c r="M1588" t="s">
        <v>478</v>
      </c>
      <c r="N1588" t="s">
        <v>717</v>
      </c>
      <c r="O1588" t="s">
        <v>927</v>
      </c>
      <c r="P1588" s="1">
        <f>HYPERLINK("https://ec.europa.eu/info/funding-tenders/opportunities/portal/screen/opportunities/topic-details/horizon-ju-clean-aviation-2023-02-her-01", "HORIZON-JU-CLEAN-AVIATION-2023-02-HER-01")</f>
        <v>0</v>
      </c>
      <c r="Q1588" t="s">
        <v>2519</v>
      </c>
    </row>
    <row r="1589" spans="1:17">
      <c r="A1589">
        <v>45898482</v>
      </c>
      <c r="B1589">
        <v>2023</v>
      </c>
      <c r="C1589" t="s">
        <v>29</v>
      </c>
      <c r="D1589" t="s">
        <v>48</v>
      </c>
      <c r="E1589" t="s">
        <v>82</v>
      </c>
      <c r="F1589" t="s">
        <v>156</v>
      </c>
      <c r="G1589" t="s">
        <v>280</v>
      </c>
      <c r="H1589" t="s">
        <v>354</v>
      </c>
      <c r="I1589" t="s">
        <v>437</v>
      </c>
      <c r="K1589" t="s">
        <v>466</v>
      </c>
      <c r="L1589" t="s">
        <v>469</v>
      </c>
      <c r="M1589" t="s">
        <v>478</v>
      </c>
      <c r="N1589" t="s">
        <v>717</v>
      </c>
      <c r="O1589" t="s">
        <v>927</v>
      </c>
      <c r="P1589" s="1">
        <f>HYPERLINK("https://ec.europa.eu/info/funding-tenders/opportunities/portal/screen/opportunities/topic-details/horizon-ju-clean-aviation-2023-02-her-02", "HORIZON-JU-CLEAN-AVIATION-2023-02-HER-02")</f>
        <v>0</v>
      </c>
      <c r="Q1589" t="s">
        <v>2520</v>
      </c>
    </row>
    <row r="1590" spans="1:17">
      <c r="A1590">
        <v>45898488</v>
      </c>
      <c r="B1590">
        <v>2023</v>
      </c>
      <c r="C1590" t="s">
        <v>29</v>
      </c>
      <c r="D1590" t="s">
        <v>48</v>
      </c>
      <c r="E1590" t="s">
        <v>82</v>
      </c>
      <c r="F1590" t="s">
        <v>156</v>
      </c>
      <c r="G1590" t="s">
        <v>280</v>
      </c>
      <c r="H1590" t="s">
        <v>354</v>
      </c>
      <c r="I1590" t="s">
        <v>437</v>
      </c>
      <c r="K1590" t="s">
        <v>466</v>
      </c>
      <c r="L1590" t="s">
        <v>469</v>
      </c>
      <c r="M1590" t="s">
        <v>478</v>
      </c>
      <c r="N1590" t="s">
        <v>717</v>
      </c>
      <c r="O1590" t="s">
        <v>927</v>
      </c>
      <c r="P1590" s="1">
        <f>HYPERLINK("https://ec.europa.eu/info/funding-tenders/opportunities/portal/screen/opportunities/topic-details/horizon-ju-clean-aviation-2023-02-hpa-01", "HORIZON-JU-CLEAN-AVIATION-2023-02-HPA-01")</f>
        <v>0</v>
      </c>
      <c r="Q1590" t="s">
        <v>2521</v>
      </c>
    </row>
    <row r="1591" spans="1:17">
      <c r="A1591">
        <v>45898494</v>
      </c>
      <c r="B1591">
        <v>2023</v>
      </c>
      <c r="C1591" t="s">
        <v>29</v>
      </c>
      <c r="D1591" t="s">
        <v>48</v>
      </c>
      <c r="E1591" t="s">
        <v>82</v>
      </c>
      <c r="F1591" t="s">
        <v>156</v>
      </c>
      <c r="G1591" t="s">
        <v>280</v>
      </c>
      <c r="H1591" t="s">
        <v>354</v>
      </c>
      <c r="I1591" t="s">
        <v>437</v>
      </c>
      <c r="K1591" t="s">
        <v>466</v>
      </c>
      <c r="L1591" t="s">
        <v>469</v>
      </c>
      <c r="M1591" t="s">
        <v>478</v>
      </c>
      <c r="N1591" t="s">
        <v>717</v>
      </c>
      <c r="O1591" t="s">
        <v>927</v>
      </c>
      <c r="P1591" s="1">
        <f>HYPERLINK("https://ec.europa.eu/info/funding-tenders/opportunities/portal/screen/opportunities/topic-details/horizon-ju-clean-aviation-2023-02-hpa-02", "HORIZON-JU-CLEAN-AVIATION-2023-02-HPA-02")</f>
        <v>0</v>
      </c>
      <c r="Q1591" t="s">
        <v>2522</v>
      </c>
    </row>
    <row r="1592" spans="1:17">
      <c r="A1592">
        <v>45898500</v>
      </c>
      <c r="B1592">
        <v>2023</v>
      </c>
      <c r="C1592" t="s">
        <v>29</v>
      </c>
      <c r="D1592" t="s">
        <v>48</v>
      </c>
      <c r="E1592" t="s">
        <v>82</v>
      </c>
      <c r="F1592" t="s">
        <v>156</v>
      </c>
      <c r="G1592" t="s">
        <v>280</v>
      </c>
      <c r="H1592" t="s">
        <v>354</v>
      </c>
      <c r="I1592" t="s">
        <v>437</v>
      </c>
      <c r="K1592" t="s">
        <v>466</v>
      </c>
      <c r="L1592" t="s">
        <v>469</v>
      </c>
      <c r="M1592" t="s">
        <v>478</v>
      </c>
      <c r="N1592" t="s">
        <v>717</v>
      </c>
      <c r="O1592" t="s">
        <v>927</v>
      </c>
      <c r="P1592" s="1">
        <f>HYPERLINK("https://ec.europa.eu/info/funding-tenders/opportunities/portal/screen/opportunities/topic-details/horizon-ju-clean-aviation-2023-02-hpa-03", "HORIZON-JU-CLEAN-AVIATION-2023-02-HPA-03")</f>
        <v>0</v>
      </c>
      <c r="Q1592" t="s">
        <v>2510</v>
      </c>
    </row>
    <row r="1593" spans="1:17">
      <c r="A1593">
        <v>45898506</v>
      </c>
      <c r="B1593">
        <v>2023</v>
      </c>
      <c r="C1593" t="s">
        <v>29</v>
      </c>
      <c r="D1593" t="s">
        <v>48</v>
      </c>
      <c r="E1593" t="s">
        <v>82</v>
      </c>
      <c r="F1593" t="s">
        <v>156</v>
      </c>
      <c r="G1593" t="s">
        <v>280</v>
      </c>
      <c r="H1593" t="s">
        <v>354</v>
      </c>
      <c r="I1593" t="s">
        <v>437</v>
      </c>
      <c r="K1593" t="s">
        <v>466</v>
      </c>
      <c r="L1593" t="s">
        <v>469</v>
      </c>
      <c r="M1593" t="s">
        <v>478</v>
      </c>
      <c r="N1593" t="s">
        <v>717</v>
      </c>
      <c r="O1593" t="s">
        <v>927</v>
      </c>
      <c r="P1593" s="1">
        <f>HYPERLINK("https://ec.europa.eu/info/funding-tenders/opportunities/portal/screen/opportunities/topic-details/horizon-ju-clean-aviation-2023-02-smr-01", "HORIZON-JU-CLEAN-AVIATION-2023-02-SMR-01")</f>
        <v>0</v>
      </c>
      <c r="Q1593" t="s">
        <v>2523</v>
      </c>
    </row>
    <row r="1594" spans="1:17">
      <c r="A1594">
        <v>45898512</v>
      </c>
      <c r="B1594">
        <v>2023</v>
      </c>
      <c r="C1594" t="s">
        <v>29</v>
      </c>
      <c r="D1594" t="s">
        <v>48</v>
      </c>
      <c r="E1594" t="s">
        <v>82</v>
      </c>
      <c r="F1594" t="s">
        <v>156</v>
      </c>
      <c r="G1594" t="s">
        <v>280</v>
      </c>
      <c r="H1594" t="s">
        <v>354</v>
      </c>
      <c r="I1594" t="s">
        <v>437</v>
      </c>
      <c r="K1594" t="s">
        <v>466</v>
      </c>
      <c r="L1594" t="s">
        <v>469</v>
      </c>
      <c r="M1594" t="s">
        <v>478</v>
      </c>
      <c r="N1594" t="s">
        <v>717</v>
      </c>
      <c r="O1594" t="s">
        <v>927</v>
      </c>
      <c r="P1594" s="1">
        <f>HYPERLINK("https://ec.europa.eu/info/funding-tenders/opportunities/portal/screen/opportunities/topic-details/horizon-ju-clean-aviation-2023-02-smr-02", "HORIZON-JU-CLEAN-AVIATION-2023-02-SMR-02")</f>
        <v>0</v>
      </c>
      <c r="Q1594" t="s">
        <v>2524</v>
      </c>
    </row>
    <row r="1595" spans="1:17">
      <c r="A1595">
        <v>45898518</v>
      </c>
      <c r="B1595">
        <v>2023</v>
      </c>
      <c r="C1595" t="s">
        <v>29</v>
      </c>
      <c r="D1595" t="s">
        <v>48</v>
      </c>
      <c r="E1595" t="s">
        <v>82</v>
      </c>
      <c r="F1595" t="s">
        <v>156</v>
      </c>
      <c r="G1595" t="s">
        <v>280</v>
      </c>
      <c r="H1595" t="s">
        <v>354</v>
      </c>
      <c r="I1595" t="s">
        <v>437</v>
      </c>
      <c r="K1595" t="s">
        <v>466</v>
      </c>
      <c r="L1595" t="s">
        <v>469</v>
      </c>
      <c r="M1595" t="s">
        <v>478</v>
      </c>
      <c r="N1595" t="s">
        <v>717</v>
      </c>
      <c r="O1595" t="s">
        <v>927</v>
      </c>
      <c r="P1595" s="1">
        <f>HYPERLINK("https://ec.europa.eu/info/funding-tenders/opportunities/portal/screen/opportunities/topic-details/horizon-ju-clean-aviation-2023-02-smr-03", "HORIZON-JU-CLEAN-AVIATION-2023-02-SMR-03")</f>
        <v>0</v>
      </c>
      <c r="Q1595" t="s">
        <v>2525</v>
      </c>
    </row>
    <row r="1596" spans="1:17">
      <c r="A1596">
        <v>46677338</v>
      </c>
      <c r="B1596">
        <v>2023</v>
      </c>
      <c r="C1596" t="s">
        <v>30</v>
      </c>
      <c r="D1596" t="s">
        <v>49</v>
      </c>
      <c r="E1596" t="s">
        <v>64</v>
      </c>
      <c r="F1596" t="s">
        <v>205</v>
      </c>
      <c r="G1596" t="s">
        <v>281</v>
      </c>
      <c r="H1596" t="s">
        <v>355</v>
      </c>
      <c r="I1596" t="s">
        <v>438</v>
      </c>
      <c r="K1596" t="s">
        <v>466</v>
      </c>
      <c r="L1596" t="s">
        <v>469</v>
      </c>
      <c r="M1596" t="s">
        <v>477</v>
      </c>
      <c r="N1596" t="s">
        <v>718</v>
      </c>
      <c r="O1596" t="s">
        <v>928</v>
      </c>
      <c r="P1596" s="1">
        <f>HYPERLINK("https://ec.europa.eu/info/funding-tenders/opportunities/portal/screen/opportunities/topic-details/horizon-ju-chips-2023-ria-cpl-1", "HORIZON-JU-Chips-2023-RIA-CPL-1")</f>
        <v>0</v>
      </c>
      <c r="Q1596" t="s">
        <v>2526</v>
      </c>
    </row>
    <row r="1597" spans="1:17">
      <c r="A1597">
        <v>46677343</v>
      </c>
      <c r="B1597">
        <v>2023</v>
      </c>
      <c r="C1597" t="s">
        <v>30</v>
      </c>
      <c r="D1597" t="s">
        <v>49</v>
      </c>
      <c r="E1597" t="s">
        <v>64</v>
      </c>
      <c r="F1597" t="s">
        <v>205</v>
      </c>
      <c r="G1597" t="s">
        <v>281</v>
      </c>
      <c r="H1597" t="s">
        <v>355</v>
      </c>
      <c r="I1597" t="s">
        <v>438</v>
      </c>
      <c r="K1597" t="s">
        <v>466</v>
      </c>
      <c r="L1597" t="s">
        <v>469</v>
      </c>
      <c r="M1597" t="s">
        <v>477</v>
      </c>
      <c r="N1597" t="s">
        <v>718</v>
      </c>
      <c r="O1597" t="s">
        <v>928</v>
      </c>
      <c r="P1597" s="1">
        <f>HYPERLINK("https://ec.europa.eu/info/funding-tenders/opportunities/portal/screen/opportunities/topic-details/horizon-ju-chips-2023-ria-cpl-2", "HORIZON-JU-Chips-2023-RIA-CPL-2")</f>
        <v>0</v>
      </c>
      <c r="Q1597" t="s">
        <v>2527</v>
      </c>
    </row>
    <row r="1598" spans="1:17">
      <c r="A1598">
        <v>46677348</v>
      </c>
      <c r="B1598">
        <v>2023</v>
      </c>
      <c r="C1598" t="s">
        <v>30</v>
      </c>
      <c r="D1598" t="s">
        <v>49</v>
      </c>
      <c r="E1598" t="s">
        <v>64</v>
      </c>
      <c r="F1598" t="s">
        <v>205</v>
      </c>
      <c r="G1598" t="s">
        <v>281</v>
      </c>
      <c r="H1598" t="s">
        <v>355</v>
      </c>
      <c r="I1598" t="s">
        <v>438</v>
      </c>
      <c r="K1598" t="s">
        <v>466</v>
      </c>
      <c r="L1598" t="s">
        <v>469</v>
      </c>
      <c r="M1598" t="s">
        <v>477</v>
      </c>
      <c r="N1598" t="s">
        <v>718</v>
      </c>
      <c r="O1598" t="s">
        <v>928</v>
      </c>
      <c r="P1598" s="1">
        <f>HYPERLINK("https://ec.europa.eu/info/funding-tenders/opportunities/portal/screen/opportunities/topic-details/horizon-ju-chips-2023-ria-cpl-3", "HORIZON-JU-Chips-2023-RIA-CPL-3")</f>
        <v>0</v>
      </c>
      <c r="Q1598" t="s">
        <v>2528</v>
      </c>
    </row>
    <row r="1599" spans="1:17">
      <c r="A1599">
        <v>46677353</v>
      </c>
      <c r="B1599">
        <v>2023</v>
      </c>
      <c r="C1599" t="s">
        <v>30</v>
      </c>
      <c r="D1599" t="s">
        <v>49</v>
      </c>
      <c r="E1599" t="s">
        <v>64</v>
      </c>
      <c r="F1599" t="s">
        <v>205</v>
      </c>
      <c r="G1599" t="s">
        <v>281</v>
      </c>
      <c r="H1599" t="s">
        <v>355</v>
      </c>
      <c r="I1599" t="s">
        <v>438</v>
      </c>
      <c r="K1599" t="s">
        <v>466</v>
      </c>
      <c r="L1599" t="s">
        <v>469</v>
      </c>
      <c r="M1599" t="s">
        <v>477</v>
      </c>
      <c r="N1599" t="s">
        <v>718</v>
      </c>
      <c r="O1599" t="s">
        <v>928</v>
      </c>
      <c r="P1599" s="1">
        <f>HYPERLINK("https://ec.europa.eu/info/funding-tenders/opportunities/portal/screen/opportunities/topic-details/horizon-ju-chips-2023-ria-cpl-4", "HORIZON-JU-Chips-2023-RIA-CPL-4")</f>
        <v>0</v>
      </c>
      <c r="Q1599" t="s">
        <v>2529</v>
      </c>
    </row>
    <row r="1600" spans="1:17">
      <c r="A1600">
        <v>46739122</v>
      </c>
      <c r="B1600">
        <v>2024</v>
      </c>
      <c r="C1600" t="s">
        <v>30</v>
      </c>
      <c r="D1600" t="s">
        <v>49</v>
      </c>
      <c r="E1600" t="s">
        <v>64</v>
      </c>
      <c r="F1600" t="s">
        <v>206</v>
      </c>
      <c r="G1600" t="s">
        <v>263</v>
      </c>
      <c r="H1600" t="s">
        <v>263</v>
      </c>
      <c r="I1600" t="s">
        <v>358</v>
      </c>
      <c r="J1600" t="s">
        <v>327</v>
      </c>
      <c r="K1600" t="s">
        <v>466</v>
      </c>
      <c r="L1600" t="s">
        <v>470</v>
      </c>
      <c r="M1600" t="s">
        <v>478</v>
      </c>
      <c r="N1600" t="s">
        <v>719</v>
      </c>
      <c r="O1600" t="s">
        <v>719</v>
      </c>
      <c r="P1600" s="1">
        <f>HYPERLINK("https://ec.europa.eu/info/funding-tenders/opportunities/portal/screen/opportunities/topic-details/horizon-ju-chips-2024-1-ia-t1", "HORIZON-JU-Chips-2024-1-IA-T1")</f>
        <v>0</v>
      </c>
      <c r="Q1600" t="s">
        <v>2530</v>
      </c>
    </row>
    <row r="1601" spans="1:17">
      <c r="A1601">
        <v>46739128</v>
      </c>
      <c r="B1601">
        <v>2024</v>
      </c>
      <c r="C1601" t="s">
        <v>30</v>
      </c>
      <c r="D1601" t="s">
        <v>49</v>
      </c>
      <c r="E1601" t="s">
        <v>64</v>
      </c>
      <c r="F1601" t="s">
        <v>206</v>
      </c>
      <c r="G1601" t="s">
        <v>263</v>
      </c>
      <c r="H1601" t="s">
        <v>263</v>
      </c>
      <c r="I1601" t="s">
        <v>358</v>
      </c>
      <c r="J1601" t="s">
        <v>327</v>
      </c>
      <c r="K1601" t="s">
        <v>466</v>
      </c>
      <c r="L1601" t="s">
        <v>470</v>
      </c>
      <c r="M1601" t="s">
        <v>478</v>
      </c>
      <c r="N1601" t="s">
        <v>719</v>
      </c>
      <c r="O1601" t="s">
        <v>719</v>
      </c>
      <c r="P1601" s="1">
        <f>HYPERLINK("https://ec.europa.eu/info/funding-tenders/opportunities/portal/screen/opportunities/topic-details/horizon-ju-chips-2024-1-ia-t2", "HORIZON-JU-Chips-2024-1-IA-T2")</f>
        <v>0</v>
      </c>
      <c r="Q1601" t="s">
        <v>2531</v>
      </c>
    </row>
    <row r="1602" spans="1:17">
      <c r="A1602">
        <v>46739134</v>
      </c>
      <c r="B1602">
        <v>2024</v>
      </c>
      <c r="C1602" t="s">
        <v>30</v>
      </c>
      <c r="D1602" t="s">
        <v>49</v>
      </c>
      <c r="E1602" t="s">
        <v>64</v>
      </c>
      <c r="F1602" t="s">
        <v>206</v>
      </c>
      <c r="G1602" t="s">
        <v>263</v>
      </c>
      <c r="H1602" t="s">
        <v>263</v>
      </c>
      <c r="I1602" t="s">
        <v>358</v>
      </c>
      <c r="J1602" t="s">
        <v>327</v>
      </c>
      <c r="K1602" t="s">
        <v>466</v>
      </c>
      <c r="L1602" t="s">
        <v>470</v>
      </c>
      <c r="M1602" t="s">
        <v>478</v>
      </c>
      <c r="N1602" t="s">
        <v>719</v>
      </c>
      <c r="O1602" t="s">
        <v>719</v>
      </c>
      <c r="P1602" s="1">
        <f>HYPERLINK("https://ec.europa.eu/info/funding-tenders/opportunities/portal/screen/opportunities/topic-details/horizon-ju-chips-2024-1-ia-t3", "HORIZON-JU-Chips-2024-1-IA-T3")</f>
        <v>0</v>
      </c>
      <c r="Q1602" t="s">
        <v>2532</v>
      </c>
    </row>
    <row r="1603" spans="1:17">
      <c r="A1603">
        <v>46739101</v>
      </c>
      <c r="B1603">
        <v>2024</v>
      </c>
      <c r="C1603" t="s">
        <v>30</v>
      </c>
      <c r="D1603" t="s">
        <v>49</v>
      </c>
      <c r="E1603" t="s">
        <v>64</v>
      </c>
      <c r="F1603" t="s">
        <v>207</v>
      </c>
      <c r="G1603" t="s">
        <v>263</v>
      </c>
      <c r="H1603" t="s">
        <v>263</v>
      </c>
      <c r="I1603" t="s">
        <v>358</v>
      </c>
      <c r="J1603" t="s">
        <v>327</v>
      </c>
      <c r="K1603" t="s">
        <v>466</v>
      </c>
      <c r="L1603" t="s">
        <v>470</v>
      </c>
      <c r="M1603" t="s">
        <v>477</v>
      </c>
      <c r="N1603" t="s">
        <v>720</v>
      </c>
      <c r="O1603" t="s">
        <v>720</v>
      </c>
      <c r="P1603" s="1">
        <f>HYPERLINK("https://ec.europa.eu/info/funding-tenders/opportunities/portal/screen/opportunities/topic-details/horizon-ju-chips-2024-2-ria-t1", "HORIZON-JU-Chips-2024-2-RIA-T1")</f>
        <v>0</v>
      </c>
      <c r="Q1603" t="s">
        <v>2533</v>
      </c>
    </row>
    <row r="1604" spans="1:17">
      <c r="A1604">
        <v>46739095</v>
      </c>
      <c r="B1604">
        <v>2024</v>
      </c>
      <c r="C1604" t="s">
        <v>30</v>
      </c>
      <c r="D1604" t="s">
        <v>49</v>
      </c>
      <c r="E1604" t="s">
        <v>64</v>
      </c>
      <c r="F1604" t="s">
        <v>207</v>
      </c>
      <c r="G1604" t="s">
        <v>263</v>
      </c>
      <c r="H1604" t="s">
        <v>263</v>
      </c>
      <c r="I1604" t="s">
        <v>358</v>
      </c>
      <c r="J1604" t="s">
        <v>327</v>
      </c>
      <c r="K1604" t="s">
        <v>466</v>
      </c>
      <c r="L1604" t="s">
        <v>470</v>
      </c>
      <c r="M1604" t="s">
        <v>477</v>
      </c>
      <c r="N1604" t="s">
        <v>720</v>
      </c>
      <c r="O1604" t="s">
        <v>720</v>
      </c>
      <c r="P1604" s="1">
        <f>HYPERLINK("https://ec.europa.eu/info/funding-tenders/opportunities/portal/screen/opportunities/topic-details/horizon-ju-chips-2024-2-ria-t2", "HORIZON-JU-Chips-2024-2-RIA-T2")</f>
        <v>0</v>
      </c>
      <c r="Q1604" t="s">
        <v>2534</v>
      </c>
    </row>
    <row r="1605" spans="1:17">
      <c r="A1605">
        <v>46739158</v>
      </c>
      <c r="B1605">
        <v>2024</v>
      </c>
      <c r="C1605" t="s">
        <v>30</v>
      </c>
      <c r="D1605" t="s">
        <v>49</v>
      </c>
      <c r="E1605" t="s">
        <v>64</v>
      </c>
      <c r="F1605" t="s">
        <v>208</v>
      </c>
      <c r="G1605" t="s">
        <v>263</v>
      </c>
      <c r="H1605" t="s">
        <v>263</v>
      </c>
      <c r="I1605" t="s">
        <v>358</v>
      </c>
      <c r="K1605" t="s">
        <v>466</v>
      </c>
      <c r="L1605" t="s">
        <v>469</v>
      </c>
      <c r="M1605" t="s">
        <v>477</v>
      </c>
      <c r="N1605" t="s">
        <v>721</v>
      </c>
      <c r="O1605" t="s">
        <v>721</v>
      </c>
      <c r="P1605" s="1">
        <f>HYPERLINK("https://ec.europa.eu/info/funding-tenders/opportunities/portal/screen/opportunities/topic-details/horizon-ju-chips-2024-3-ria", "HORIZON-JU-Chips-2024-3-RIA")</f>
        <v>0</v>
      </c>
      <c r="Q1605" t="s">
        <v>2535</v>
      </c>
    </row>
    <row r="1606" spans="1:17">
      <c r="A1606">
        <v>45032531</v>
      </c>
      <c r="B1606">
        <v>2022</v>
      </c>
      <c r="C1606" t="s">
        <v>31</v>
      </c>
      <c r="D1606" t="s">
        <v>50</v>
      </c>
      <c r="E1606" t="s">
        <v>93</v>
      </c>
      <c r="F1606" t="s">
        <v>156</v>
      </c>
      <c r="G1606" t="s">
        <v>246</v>
      </c>
      <c r="H1606" t="s">
        <v>246</v>
      </c>
      <c r="I1606" t="s">
        <v>439</v>
      </c>
      <c r="K1606" t="s">
        <v>466</v>
      </c>
      <c r="L1606" t="s">
        <v>469</v>
      </c>
      <c r="M1606" t="s">
        <v>477</v>
      </c>
      <c r="N1606" t="s">
        <v>722</v>
      </c>
      <c r="O1606" t="s">
        <v>929</v>
      </c>
      <c r="P1606" s="1">
        <f>HYPERLINK("https://ec.europa.eu/info/funding-tenders/opportunities/portal/screen/opportunities/topic-details/horizon-ju-gh-edctp3-2022-call1-01-01", "HORIZON-JU-GH-EDCTP3-2022-CALL1-01-01")</f>
        <v>0</v>
      </c>
      <c r="Q1606" t="s">
        <v>2536</v>
      </c>
    </row>
    <row r="1607" spans="1:17">
      <c r="A1607">
        <v>45032707</v>
      </c>
      <c r="B1607">
        <v>2022</v>
      </c>
      <c r="C1607" t="s">
        <v>31</v>
      </c>
      <c r="D1607" t="s">
        <v>50</v>
      </c>
      <c r="E1607" t="s">
        <v>93</v>
      </c>
      <c r="F1607" t="s">
        <v>156</v>
      </c>
      <c r="G1607" t="s">
        <v>246</v>
      </c>
      <c r="H1607" t="s">
        <v>246</v>
      </c>
      <c r="I1607" t="s">
        <v>439</v>
      </c>
      <c r="K1607" t="s">
        <v>466</v>
      </c>
      <c r="L1607" t="s">
        <v>469</v>
      </c>
      <c r="M1607" t="s">
        <v>477</v>
      </c>
      <c r="N1607" t="s">
        <v>722</v>
      </c>
      <c r="O1607" t="s">
        <v>929</v>
      </c>
      <c r="P1607" s="1">
        <f>HYPERLINK("https://ec.europa.eu/info/funding-tenders/opportunities/portal/screen/opportunities/topic-details/horizon-ju-gh-edctp3-2022-call1-01-02", "HORIZON-JU-GH-EDCTP3-2022-CALL1-01-02")</f>
        <v>0</v>
      </c>
      <c r="Q1607" t="s">
        <v>2537</v>
      </c>
    </row>
    <row r="1608" spans="1:17">
      <c r="A1608">
        <v>45032582</v>
      </c>
      <c r="B1608">
        <v>2022</v>
      </c>
      <c r="C1608" t="s">
        <v>31</v>
      </c>
      <c r="D1608" t="s">
        <v>50</v>
      </c>
      <c r="E1608" t="s">
        <v>93</v>
      </c>
      <c r="F1608" t="s">
        <v>156</v>
      </c>
      <c r="G1608" t="s">
        <v>246</v>
      </c>
      <c r="H1608" t="s">
        <v>246</v>
      </c>
      <c r="I1608" t="s">
        <v>439</v>
      </c>
      <c r="K1608" t="s">
        <v>466</v>
      </c>
      <c r="L1608" t="s">
        <v>469</v>
      </c>
      <c r="M1608" t="s">
        <v>477</v>
      </c>
      <c r="N1608" t="s">
        <v>722</v>
      </c>
      <c r="O1608" t="s">
        <v>929</v>
      </c>
      <c r="P1608" s="1">
        <f>HYPERLINK("https://ec.europa.eu/info/funding-tenders/opportunities/portal/screen/opportunities/topic-details/horizon-ju-gh-edctp3-2022-call1-01-03", "HORIZON-JU-GH-EDCTP3-2022-CALL1-01-03")</f>
        <v>0</v>
      </c>
      <c r="Q1608" t="s">
        <v>2538</v>
      </c>
    </row>
    <row r="1609" spans="1:17">
      <c r="A1609">
        <v>45032627</v>
      </c>
      <c r="B1609">
        <v>2022</v>
      </c>
      <c r="C1609" t="s">
        <v>31</v>
      </c>
      <c r="D1609" t="s">
        <v>50</v>
      </c>
      <c r="E1609" t="s">
        <v>93</v>
      </c>
      <c r="F1609" t="s">
        <v>156</v>
      </c>
      <c r="G1609" t="s">
        <v>246</v>
      </c>
      <c r="H1609" t="s">
        <v>246</v>
      </c>
      <c r="I1609" t="s">
        <v>439</v>
      </c>
      <c r="K1609" t="s">
        <v>466</v>
      </c>
      <c r="L1609" t="s">
        <v>469</v>
      </c>
      <c r="M1609" t="s">
        <v>479</v>
      </c>
      <c r="N1609" t="s">
        <v>722</v>
      </c>
      <c r="O1609" t="s">
        <v>929</v>
      </c>
      <c r="P1609" s="1">
        <f>HYPERLINK("https://ec.europa.eu/info/funding-tenders/opportunities/portal/screen/opportunities/topic-details/horizon-ju-gh-edctp3-2022-call1-01-04", "HORIZON-JU-GH-EDCTP3-2022-CALL1-01-04")</f>
        <v>0</v>
      </c>
      <c r="Q1609" t="s">
        <v>2539</v>
      </c>
    </row>
    <row r="1610" spans="1:17">
      <c r="A1610">
        <v>45032667</v>
      </c>
      <c r="B1610">
        <v>2022</v>
      </c>
      <c r="C1610" t="s">
        <v>31</v>
      </c>
      <c r="D1610" t="s">
        <v>50</v>
      </c>
      <c r="E1610" t="s">
        <v>93</v>
      </c>
      <c r="F1610" t="s">
        <v>156</v>
      </c>
      <c r="G1610" t="s">
        <v>246</v>
      </c>
      <c r="H1610" t="s">
        <v>246</v>
      </c>
      <c r="I1610" t="s">
        <v>439</v>
      </c>
      <c r="K1610" t="s">
        <v>466</v>
      </c>
      <c r="L1610" t="s">
        <v>469</v>
      </c>
      <c r="M1610" t="s">
        <v>479</v>
      </c>
      <c r="N1610" t="s">
        <v>722</v>
      </c>
      <c r="O1610" t="s">
        <v>929</v>
      </c>
      <c r="P1610" s="1">
        <f>HYPERLINK("https://ec.europa.eu/info/funding-tenders/opportunities/portal/screen/opportunities/topic-details/horizon-ju-gh-edctp3-2022-call1-01-05", "HORIZON-JU-GH-EDCTP3-2022-CALL1-01-05")</f>
        <v>0</v>
      </c>
      <c r="Q1610" t="s">
        <v>2540</v>
      </c>
    </row>
    <row r="1611" spans="1:17">
      <c r="A1611">
        <v>46015116</v>
      </c>
      <c r="B1611">
        <v>2023</v>
      </c>
      <c r="C1611" t="s">
        <v>31</v>
      </c>
      <c r="D1611" t="s">
        <v>50</v>
      </c>
      <c r="E1611" t="s">
        <v>93</v>
      </c>
      <c r="F1611" t="s">
        <v>156</v>
      </c>
      <c r="G1611" t="s">
        <v>282</v>
      </c>
      <c r="H1611" t="s">
        <v>356</v>
      </c>
      <c r="I1611" t="s">
        <v>440</v>
      </c>
      <c r="K1611" t="s">
        <v>466</v>
      </c>
      <c r="L1611" t="s">
        <v>469</v>
      </c>
      <c r="M1611" t="s">
        <v>477</v>
      </c>
      <c r="N1611" t="s">
        <v>723</v>
      </c>
      <c r="O1611" t="s">
        <v>723</v>
      </c>
      <c r="P1611" s="1">
        <f>HYPERLINK("https://ec.europa.eu/info/funding-tenders/opportunities/portal/screen/opportunities/topic-details/horizon-ju-gh-edctp3-2023-01-01", "HORIZON-JU-GH-EDCTP3-2023-01-01")</f>
        <v>0</v>
      </c>
      <c r="Q1611" t="s">
        <v>2541</v>
      </c>
    </row>
    <row r="1612" spans="1:17">
      <c r="A1612">
        <v>46015157</v>
      </c>
      <c r="B1612">
        <v>2023</v>
      </c>
      <c r="C1612" t="s">
        <v>31</v>
      </c>
      <c r="D1612" t="s">
        <v>50</v>
      </c>
      <c r="E1612" t="s">
        <v>93</v>
      </c>
      <c r="F1612" t="s">
        <v>156</v>
      </c>
      <c r="G1612" t="s">
        <v>282</v>
      </c>
      <c r="H1612" t="s">
        <v>356</v>
      </c>
      <c r="I1612" t="s">
        <v>440</v>
      </c>
      <c r="K1612" t="s">
        <v>466</v>
      </c>
      <c r="L1612" t="s">
        <v>469</v>
      </c>
      <c r="M1612" t="s">
        <v>477</v>
      </c>
      <c r="N1612" t="s">
        <v>723</v>
      </c>
      <c r="O1612" t="s">
        <v>723</v>
      </c>
      <c r="P1612" s="1">
        <f>HYPERLINK("https://ec.europa.eu/info/funding-tenders/opportunities/portal/screen/opportunities/topic-details/horizon-ju-gh-edctp3-2023-01-02", "HORIZON-JU-GH-EDCTP3-2023-01-02")</f>
        <v>0</v>
      </c>
      <c r="Q1612" t="s">
        <v>2542</v>
      </c>
    </row>
    <row r="1613" spans="1:17">
      <c r="A1613">
        <v>46015193</v>
      </c>
      <c r="B1613">
        <v>2023</v>
      </c>
      <c r="C1613" t="s">
        <v>31</v>
      </c>
      <c r="D1613" t="s">
        <v>50</v>
      </c>
      <c r="E1613" t="s">
        <v>93</v>
      </c>
      <c r="F1613" t="s">
        <v>156</v>
      </c>
      <c r="G1613" t="s">
        <v>282</v>
      </c>
      <c r="H1613" t="s">
        <v>356</v>
      </c>
      <c r="I1613" t="s">
        <v>440</v>
      </c>
      <c r="K1613" t="s">
        <v>466</v>
      </c>
      <c r="L1613" t="s">
        <v>469</v>
      </c>
      <c r="M1613" t="s">
        <v>477</v>
      </c>
      <c r="N1613" t="s">
        <v>723</v>
      </c>
      <c r="O1613" t="s">
        <v>723</v>
      </c>
      <c r="P1613" s="1">
        <f>HYPERLINK("https://ec.europa.eu/info/funding-tenders/opportunities/portal/screen/opportunities/topic-details/horizon-ju-gh-edctp3-2023-01-03", "HORIZON-JU-GH-EDCTP3-2023-01-03")</f>
        <v>0</v>
      </c>
      <c r="Q1613" t="s">
        <v>2543</v>
      </c>
    </row>
    <row r="1614" spans="1:17">
      <c r="A1614">
        <v>46015248</v>
      </c>
      <c r="B1614">
        <v>2023</v>
      </c>
      <c r="C1614" t="s">
        <v>31</v>
      </c>
      <c r="D1614" t="s">
        <v>50</v>
      </c>
      <c r="E1614" t="s">
        <v>93</v>
      </c>
      <c r="F1614" t="s">
        <v>156</v>
      </c>
      <c r="G1614" t="s">
        <v>282</v>
      </c>
      <c r="H1614" t="s">
        <v>356</v>
      </c>
      <c r="I1614" t="s">
        <v>440</v>
      </c>
      <c r="K1614" t="s">
        <v>466</v>
      </c>
      <c r="L1614" t="s">
        <v>469</v>
      </c>
      <c r="M1614" t="s">
        <v>477</v>
      </c>
      <c r="N1614" t="s">
        <v>723</v>
      </c>
      <c r="O1614" t="s">
        <v>723</v>
      </c>
      <c r="P1614" s="1">
        <f>HYPERLINK("https://ec.europa.eu/info/funding-tenders/opportunities/portal/screen/opportunities/topic-details/horizon-ju-gh-edctp3-2023-01-04", "HORIZON-JU-GH-EDCTP3-2023-01-04")</f>
        <v>0</v>
      </c>
      <c r="Q1614" t="s">
        <v>2544</v>
      </c>
    </row>
    <row r="1615" spans="1:17">
      <c r="A1615">
        <v>46015293</v>
      </c>
      <c r="B1615">
        <v>2023</v>
      </c>
      <c r="C1615" t="s">
        <v>31</v>
      </c>
      <c r="D1615" t="s">
        <v>50</v>
      </c>
      <c r="E1615" t="s">
        <v>93</v>
      </c>
      <c r="F1615" t="s">
        <v>156</v>
      </c>
      <c r="G1615" t="s">
        <v>282</v>
      </c>
      <c r="H1615" t="s">
        <v>356</v>
      </c>
      <c r="I1615" t="s">
        <v>440</v>
      </c>
      <c r="K1615" t="s">
        <v>466</v>
      </c>
      <c r="L1615" t="s">
        <v>469</v>
      </c>
      <c r="M1615" t="s">
        <v>479</v>
      </c>
      <c r="N1615" t="s">
        <v>723</v>
      </c>
      <c r="O1615" t="s">
        <v>723</v>
      </c>
      <c r="P1615" s="1">
        <f>HYPERLINK("https://ec.europa.eu/info/funding-tenders/opportunities/portal/screen/opportunities/topic-details/horizon-ju-gh-edctp3-2023-01-05", "HORIZON-JU-GH-EDCTP3-2023-01-05")</f>
        <v>0</v>
      </c>
      <c r="Q1615" t="s">
        <v>2545</v>
      </c>
    </row>
    <row r="1616" spans="1:17">
      <c r="A1616">
        <v>45928900</v>
      </c>
      <c r="B1616">
        <v>2023</v>
      </c>
      <c r="C1616" t="s">
        <v>31</v>
      </c>
      <c r="D1616" t="s">
        <v>50</v>
      </c>
      <c r="E1616" t="s">
        <v>93</v>
      </c>
      <c r="F1616" t="s">
        <v>209</v>
      </c>
      <c r="G1616" t="s">
        <v>282</v>
      </c>
      <c r="H1616" t="s">
        <v>357</v>
      </c>
      <c r="I1616" t="s">
        <v>441</v>
      </c>
      <c r="J1616" t="s">
        <v>463</v>
      </c>
      <c r="K1616" t="s">
        <v>466</v>
      </c>
      <c r="L1616" t="s">
        <v>470</v>
      </c>
      <c r="M1616" t="s">
        <v>477</v>
      </c>
      <c r="N1616" t="s">
        <v>724</v>
      </c>
      <c r="O1616" t="s">
        <v>929</v>
      </c>
      <c r="P1616" s="1">
        <f>HYPERLINK("https://ec.europa.eu/info/funding-tenders/opportunities/portal/screen/opportunities/topic-details/horizon-ju-gh-edctp3-2023-02-01-two-stage", "HORIZON-JU-GH-EDCTP3-2023-02-01-two-stage")</f>
        <v>0</v>
      </c>
      <c r="Q1616" t="s">
        <v>2546</v>
      </c>
    </row>
    <row r="1617" spans="1:17">
      <c r="A1617">
        <v>45928853</v>
      </c>
      <c r="B1617">
        <v>2023</v>
      </c>
      <c r="C1617" t="s">
        <v>31</v>
      </c>
      <c r="D1617" t="s">
        <v>50</v>
      </c>
      <c r="E1617" t="s">
        <v>93</v>
      </c>
      <c r="F1617" t="s">
        <v>209</v>
      </c>
      <c r="G1617" t="s">
        <v>282</v>
      </c>
      <c r="H1617" t="s">
        <v>357</v>
      </c>
      <c r="I1617" t="s">
        <v>441</v>
      </c>
      <c r="J1617" t="s">
        <v>463</v>
      </c>
      <c r="K1617" t="s">
        <v>466</v>
      </c>
      <c r="L1617" t="s">
        <v>470</v>
      </c>
      <c r="M1617" t="s">
        <v>477</v>
      </c>
      <c r="N1617" t="s">
        <v>724</v>
      </c>
      <c r="O1617" t="s">
        <v>929</v>
      </c>
      <c r="P1617" s="1">
        <f>HYPERLINK("https://ec.europa.eu/info/funding-tenders/opportunities/portal/screen/opportunities/topic-details/horizon-ju-gh-edctp3-2023-02-02-two-stage", "HORIZON-JU-GH-EDCTP3-2023-02-02-two-stage")</f>
        <v>0</v>
      </c>
      <c r="Q1617" t="s">
        <v>2547</v>
      </c>
    </row>
    <row r="1618" spans="1:17">
      <c r="A1618">
        <v>46695070</v>
      </c>
      <c r="B1618">
        <v>2024</v>
      </c>
      <c r="C1618" t="s">
        <v>31</v>
      </c>
      <c r="D1618" t="s">
        <v>50</v>
      </c>
      <c r="E1618" t="s">
        <v>93</v>
      </c>
      <c r="F1618" t="s">
        <v>210</v>
      </c>
      <c r="G1618" t="s">
        <v>255</v>
      </c>
      <c r="H1618" t="s">
        <v>350</v>
      </c>
      <c r="I1618" t="s">
        <v>442</v>
      </c>
      <c r="J1618" t="s">
        <v>327</v>
      </c>
      <c r="K1618" t="s">
        <v>466</v>
      </c>
      <c r="L1618" t="s">
        <v>470</v>
      </c>
      <c r="M1618" t="s">
        <v>477</v>
      </c>
      <c r="N1618" t="s">
        <v>725</v>
      </c>
      <c r="O1618" t="s">
        <v>930</v>
      </c>
      <c r="P1618" s="1">
        <f>HYPERLINK("https://ec.europa.eu/info/funding-tenders/opportunities/portal/screen/opportunities/topic-details/horizon-ju-gh-edctp3-2024-01-01-two-stage", "HORIZON-JU-GH-EDCTP3-2024-01-01-two-stage")</f>
        <v>0</v>
      </c>
      <c r="Q1618" t="s">
        <v>2548</v>
      </c>
    </row>
    <row r="1619" spans="1:17">
      <c r="A1619">
        <v>46695107</v>
      </c>
      <c r="B1619">
        <v>2024</v>
      </c>
      <c r="C1619" t="s">
        <v>31</v>
      </c>
      <c r="D1619" t="s">
        <v>50</v>
      </c>
      <c r="E1619" t="s">
        <v>93</v>
      </c>
      <c r="F1619" t="s">
        <v>210</v>
      </c>
      <c r="G1619" t="s">
        <v>255</v>
      </c>
      <c r="H1619" t="s">
        <v>350</v>
      </c>
      <c r="I1619" t="s">
        <v>442</v>
      </c>
      <c r="J1619" t="s">
        <v>327</v>
      </c>
      <c r="K1619" t="s">
        <v>466</v>
      </c>
      <c r="L1619" t="s">
        <v>470</v>
      </c>
      <c r="M1619" t="s">
        <v>477</v>
      </c>
      <c r="N1619" t="s">
        <v>725</v>
      </c>
      <c r="O1619" t="s">
        <v>930</v>
      </c>
      <c r="P1619" s="1">
        <f>HYPERLINK("https://ec.europa.eu/info/funding-tenders/opportunities/portal/screen/opportunities/topic-details/horizon-ju-gh-edctp3-2024-01-02-two-stage", "HORIZON-JU-GH-EDCTP3-2024-01-02-two-stage")</f>
        <v>0</v>
      </c>
      <c r="Q1619" t="s">
        <v>2549</v>
      </c>
    </row>
    <row r="1620" spans="1:17">
      <c r="A1620">
        <v>46695154</v>
      </c>
      <c r="B1620">
        <v>2024</v>
      </c>
      <c r="C1620" t="s">
        <v>31</v>
      </c>
      <c r="D1620" t="s">
        <v>50</v>
      </c>
      <c r="E1620" t="s">
        <v>93</v>
      </c>
      <c r="F1620" t="s">
        <v>210</v>
      </c>
      <c r="G1620" t="s">
        <v>255</v>
      </c>
      <c r="H1620" t="s">
        <v>350</v>
      </c>
      <c r="I1620" t="s">
        <v>442</v>
      </c>
      <c r="J1620" t="s">
        <v>327</v>
      </c>
      <c r="K1620" t="s">
        <v>466</v>
      </c>
      <c r="L1620" t="s">
        <v>470</v>
      </c>
      <c r="M1620" t="s">
        <v>477</v>
      </c>
      <c r="N1620" t="s">
        <v>725</v>
      </c>
      <c r="O1620" t="s">
        <v>930</v>
      </c>
      <c r="P1620" s="1">
        <f>HYPERLINK("https://ec.europa.eu/info/funding-tenders/opportunities/portal/screen/opportunities/topic-details/horizon-ju-gh-edctp3-2024-01-03-two-stage", "HORIZON-JU-GH-EDCTP3-2024-01-03-two-stage")</f>
        <v>0</v>
      </c>
      <c r="Q1620" t="s">
        <v>2550</v>
      </c>
    </row>
    <row r="1621" spans="1:17">
      <c r="A1621">
        <v>46695211</v>
      </c>
      <c r="B1621">
        <v>2024</v>
      </c>
      <c r="C1621" t="s">
        <v>31</v>
      </c>
      <c r="D1621" t="s">
        <v>50</v>
      </c>
      <c r="E1621" t="s">
        <v>93</v>
      </c>
      <c r="F1621" t="s">
        <v>210</v>
      </c>
      <c r="G1621" t="s">
        <v>255</v>
      </c>
      <c r="H1621" t="s">
        <v>350</v>
      </c>
      <c r="I1621" t="s">
        <v>442</v>
      </c>
      <c r="J1621" t="s">
        <v>327</v>
      </c>
      <c r="K1621" t="s">
        <v>466</v>
      </c>
      <c r="L1621" t="s">
        <v>470</v>
      </c>
      <c r="M1621" t="s">
        <v>477</v>
      </c>
      <c r="N1621" t="s">
        <v>725</v>
      </c>
      <c r="O1621" t="s">
        <v>930</v>
      </c>
      <c r="P1621" s="1">
        <f>HYPERLINK("https://ec.europa.eu/info/funding-tenders/opportunities/portal/screen/opportunities/topic-details/horizon-ju-gh-edctp3-2024-01-04-two-stage", "HORIZON-JU-GH-EDCTP3-2024-01-04-two-stage")</f>
        <v>0</v>
      </c>
      <c r="Q1621" t="s">
        <v>2551</v>
      </c>
    </row>
    <row r="1622" spans="1:17">
      <c r="A1622">
        <v>46695309</v>
      </c>
      <c r="B1622">
        <v>2024</v>
      </c>
      <c r="C1622" t="s">
        <v>31</v>
      </c>
      <c r="D1622" t="s">
        <v>50</v>
      </c>
      <c r="E1622" t="s">
        <v>93</v>
      </c>
      <c r="F1622" t="s">
        <v>210</v>
      </c>
      <c r="G1622" t="s">
        <v>255</v>
      </c>
      <c r="H1622" t="s">
        <v>350</v>
      </c>
      <c r="I1622" t="s">
        <v>442</v>
      </c>
      <c r="J1622" t="s">
        <v>327</v>
      </c>
      <c r="K1622" t="s">
        <v>466</v>
      </c>
      <c r="L1622" t="s">
        <v>470</v>
      </c>
      <c r="M1622" t="s">
        <v>477</v>
      </c>
      <c r="N1622" t="s">
        <v>725</v>
      </c>
      <c r="O1622" t="s">
        <v>930</v>
      </c>
      <c r="P1622" s="1">
        <f>HYPERLINK("https://ec.europa.eu/info/funding-tenders/opportunities/portal/screen/opportunities/topic-details/horizon-ju-gh-edctp3-2024-01-05-two-stage", "HORIZON-JU-GH-EDCTP3-2024-01-05-two-stage")</f>
        <v>0</v>
      </c>
      <c r="Q1622" t="s">
        <v>2552</v>
      </c>
    </row>
    <row r="1623" spans="1:17">
      <c r="A1623">
        <v>46695261</v>
      </c>
      <c r="B1623">
        <v>2024</v>
      </c>
      <c r="C1623" t="s">
        <v>31</v>
      </c>
      <c r="D1623" t="s">
        <v>50</v>
      </c>
      <c r="E1623" t="s">
        <v>93</v>
      </c>
      <c r="F1623" t="s">
        <v>210</v>
      </c>
      <c r="G1623" t="s">
        <v>255</v>
      </c>
      <c r="H1623" t="s">
        <v>350</v>
      </c>
      <c r="I1623" t="s">
        <v>442</v>
      </c>
      <c r="J1623" t="s">
        <v>327</v>
      </c>
      <c r="K1623" t="s">
        <v>466</v>
      </c>
      <c r="L1623" t="s">
        <v>470</v>
      </c>
      <c r="M1623" t="s">
        <v>477</v>
      </c>
      <c r="N1623" t="s">
        <v>725</v>
      </c>
      <c r="O1623" t="s">
        <v>930</v>
      </c>
      <c r="P1623" s="1">
        <f>HYPERLINK("https://ec.europa.eu/info/funding-tenders/opportunities/portal/screen/opportunities/topic-details/horizon-ju-gh-edctp3-2024-01-06-two-stage", "HORIZON-JU-GH-EDCTP3-2024-01-06-two-stage")</f>
        <v>0</v>
      </c>
      <c r="Q1623" t="s">
        <v>2553</v>
      </c>
    </row>
    <row r="1624" spans="1:17">
      <c r="A1624">
        <v>46696057</v>
      </c>
      <c r="B1624">
        <v>2024</v>
      </c>
      <c r="C1624" t="s">
        <v>31</v>
      </c>
      <c r="D1624" t="s">
        <v>50</v>
      </c>
      <c r="E1624" t="s">
        <v>93</v>
      </c>
      <c r="F1624" t="s">
        <v>209</v>
      </c>
      <c r="G1624" t="s">
        <v>255</v>
      </c>
      <c r="H1624" t="s">
        <v>350</v>
      </c>
      <c r="I1624" t="s">
        <v>442</v>
      </c>
      <c r="J1624" t="s">
        <v>327</v>
      </c>
      <c r="K1624" t="s">
        <v>466</v>
      </c>
      <c r="L1624" t="s">
        <v>470</v>
      </c>
      <c r="M1624" t="s">
        <v>479</v>
      </c>
      <c r="N1624" t="s">
        <v>726</v>
      </c>
      <c r="O1624" t="s">
        <v>931</v>
      </c>
      <c r="P1624" s="1">
        <f>HYPERLINK("https://ec.europa.eu/info/funding-tenders/opportunities/portal/screen/opportunities/topic-details/horizon-ju-gh-edctp3-2024-02-01-two-stage", "HORIZON-JU-GH-EDCTP3-2024-02-01-two-stage")</f>
        <v>0</v>
      </c>
      <c r="Q1624" t="s">
        <v>2554</v>
      </c>
    </row>
    <row r="1625" spans="1:17">
      <c r="A1625">
        <v>47034188</v>
      </c>
      <c r="B1625">
        <v>2024</v>
      </c>
      <c r="C1625" t="s">
        <v>31</v>
      </c>
      <c r="D1625" t="s">
        <v>50</v>
      </c>
      <c r="E1625" t="s">
        <v>93</v>
      </c>
      <c r="F1625" t="s">
        <v>211</v>
      </c>
      <c r="G1625" t="s">
        <v>283</v>
      </c>
      <c r="H1625" t="s">
        <v>358</v>
      </c>
      <c r="I1625" t="s">
        <v>265</v>
      </c>
      <c r="K1625" t="s">
        <v>466</v>
      </c>
      <c r="L1625" t="s">
        <v>469</v>
      </c>
      <c r="M1625" t="s">
        <v>477</v>
      </c>
      <c r="N1625" t="s">
        <v>727</v>
      </c>
      <c r="O1625" t="s">
        <v>932</v>
      </c>
      <c r="P1625" s="1">
        <f>HYPERLINK("https://ec.europa.eu/info/funding-tenders/opportunities/portal/screen/opportunities/topic-details/horizon-ju-gh-edctp3-2024-mpox", "HORIZON-JU-GH-EDCTP3-2024-Mpox")</f>
        <v>0</v>
      </c>
      <c r="Q1625" t="s">
        <v>932</v>
      </c>
    </row>
    <row r="1626" spans="1:17">
      <c r="A1626">
        <v>45190423</v>
      </c>
      <c r="B1626">
        <v>2022</v>
      </c>
      <c r="C1626" t="s">
        <v>32</v>
      </c>
      <c r="D1626" t="s">
        <v>51</v>
      </c>
      <c r="E1626" t="s">
        <v>94</v>
      </c>
      <c r="F1626" t="s">
        <v>212</v>
      </c>
      <c r="G1626" t="s">
        <v>284</v>
      </c>
      <c r="H1626" t="s">
        <v>284</v>
      </c>
      <c r="I1626" t="s">
        <v>434</v>
      </c>
      <c r="K1626" t="s">
        <v>466</v>
      </c>
      <c r="L1626" t="s">
        <v>469</v>
      </c>
      <c r="M1626" t="s">
        <v>477</v>
      </c>
      <c r="N1626" t="s">
        <v>728</v>
      </c>
      <c r="O1626" t="s">
        <v>728</v>
      </c>
      <c r="P1626" s="1">
        <f>HYPERLINK("https://ec.europa.eu/info/funding-tenders/opportunities/portal/screen/opportunities/topic-details/horizon-ju-ihi-2022-01-01", "HORIZON-JU-IHI-2022-01-01")</f>
        <v>0</v>
      </c>
      <c r="Q1626" t="s">
        <v>2555</v>
      </c>
    </row>
    <row r="1627" spans="1:17">
      <c r="A1627">
        <v>45190445</v>
      </c>
      <c r="B1627">
        <v>2022</v>
      </c>
      <c r="C1627" t="s">
        <v>32</v>
      </c>
      <c r="D1627" t="s">
        <v>51</v>
      </c>
      <c r="E1627" t="s">
        <v>94</v>
      </c>
      <c r="F1627" t="s">
        <v>212</v>
      </c>
      <c r="G1627" t="s">
        <v>284</v>
      </c>
      <c r="H1627" t="s">
        <v>284</v>
      </c>
      <c r="I1627" t="s">
        <v>434</v>
      </c>
      <c r="K1627" t="s">
        <v>466</v>
      </c>
      <c r="L1627" t="s">
        <v>469</v>
      </c>
      <c r="M1627" t="s">
        <v>477</v>
      </c>
      <c r="N1627" t="s">
        <v>728</v>
      </c>
      <c r="O1627" t="s">
        <v>728</v>
      </c>
      <c r="P1627" s="1">
        <f>HYPERLINK("https://ec.europa.eu/info/funding-tenders/opportunities/portal/screen/opportunities/topic-details/horizon-ju-ihi-2022-01-02", "HORIZON-JU-IHI-2022-01-02")</f>
        <v>0</v>
      </c>
      <c r="Q1627" t="s">
        <v>2556</v>
      </c>
    </row>
    <row r="1628" spans="1:17">
      <c r="A1628">
        <v>45190460</v>
      </c>
      <c r="B1628">
        <v>2022</v>
      </c>
      <c r="C1628" t="s">
        <v>32</v>
      </c>
      <c r="D1628" t="s">
        <v>51</v>
      </c>
      <c r="E1628" t="s">
        <v>94</v>
      </c>
      <c r="F1628" t="s">
        <v>212</v>
      </c>
      <c r="G1628" t="s">
        <v>284</v>
      </c>
      <c r="H1628" t="s">
        <v>284</v>
      </c>
      <c r="I1628" t="s">
        <v>434</v>
      </c>
      <c r="K1628" t="s">
        <v>466</v>
      </c>
      <c r="L1628" t="s">
        <v>469</v>
      </c>
      <c r="M1628" t="s">
        <v>477</v>
      </c>
      <c r="N1628" t="s">
        <v>728</v>
      </c>
      <c r="O1628" t="s">
        <v>728</v>
      </c>
      <c r="P1628" s="1">
        <f>HYPERLINK("https://ec.europa.eu/info/funding-tenders/opportunities/portal/screen/opportunities/topic-details/horizon-ju-ihi-2022-01-03", "HORIZON-JU-IHI-2022-01-03")</f>
        <v>0</v>
      </c>
      <c r="Q1628" t="s">
        <v>2557</v>
      </c>
    </row>
    <row r="1629" spans="1:17">
      <c r="A1629">
        <v>45190475</v>
      </c>
      <c r="B1629">
        <v>2022</v>
      </c>
      <c r="C1629" t="s">
        <v>32</v>
      </c>
      <c r="D1629" t="s">
        <v>51</v>
      </c>
      <c r="E1629" t="s">
        <v>94</v>
      </c>
      <c r="F1629" t="s">
        <v>212</v>
      </c>
      <c r="G1629" t="s">
        <v>284</v>
      </c>
      <c r="H1629" t="s">
        <v>284</v>
      </c>
      <c r="I1629" t="s">
        <v>434</v>
      </c>
      <c r="K1629" t="s">
        <v>466</v>
      </c>
      <c r="L1629" t="s">
        <v>469</v>
      </c>
      <c r="M1629" t="s">
        <v>477</v>
      </c>
      <c r="N1629" t="s">
        <v>728</v>
      </c>
      <c r="O1629" t="s">
        <v>728</v>
      </c>
      <c r="P1629" s="1">
        <f>HYPERLINK("https://ec.europa.eu/info/funding-tenders/opportunities/portal/screen/opportunities/topic-details/horizon-ju-ihi-2022-01-04", "HORIZON-JU-IHI-2022-01-04")</f>
        <v>0</v>
      </c>
      <c r="Q1629" t="s">
        <v>2558</v>
      </c>
    </row>
    <row r="1630" spans="1:17">
      <c r="A1630">
        <v>45190393</v>
      </c>
      <c r="B1630">
        <v>2022</v>
      </c>
      <c r="C1630" t="s">
        <v>32</v>
      </c>
      <c r="D1630" t="s">
        <v>51</v>
      </c>
      <c r="E1630" t="s">
        <v>94</v>
      </c>
      <c r="F1630" t="s">
        <v>209</v>
      </c>
      <c r="G1630" t="s">
        <v>284</v>
      </c>
      <c r="H1630" t="s">
        <v>284</v>
      </c>
      <c r="I1630" t="s">
        <v>434</v>
      </c>
      <c r="J1630" t="s">
        <v>464</v>
      </c>
      <c r="K1630" t="s">
        <v>466</v>
      </c>
      <c r="L1630" t="s">
        <v>470</v>
      </c>
      <c r="M1630" t="s">
        <v>477</v>
      </c>
      <c r="N1630" t="s">
        <v>729</v>
      </c>
      <c r="O1630" t="s">
        <v>729</v>
      </c>
      <c r="P1630" s="1">
        <f>HYPERLINK("https://ec.europa.eu/info/funding-tenders/opportunities/portal/screen/opportunities/topic-details/horizon-ju-ihi-2022-02-01", "HORIZON-JU-IHI-2022-02-01")</f>
        <v>0</v>
      </c>
      <c r="Q1630" t="s">
        <v>2559</v>
      </c>
    </row>
    <row r="1631" spans="1:17">
      <c r="A1631">
        <v>45190408</v>
      </c>
      <c r="B1631">
        <v>2022</v>
      </c>
      <c r="C1631" t="s">
        <v>32</v>
      </c>
      <c r="D1631" t="s">
        <v>51</v>
      </c>
      <c r="E1631" t="s">
        <v>94</v>
      </c>
      <c r="F1631" t="s">
        <v>209</v>
      </c>
      <c r="G1631" t="s">
        <v>284</v>
      </c>
      <c r="H1631" t="s">
        <v>284</v>
      </c>
      <c r="I1631" t="s">
        <v>434</v>
      </c>
      <c r="J1631" t="s">
        <v>464</v>
      </c>
      <c r="K1631" t="s">
        <v>466</v>
      </c>
      <c r="L1631" t="s">
        <v>470</v>
      </c>
      <c r="M1631" t="s">
        <v>477</v>
      </c>
      <c r="N1631" t="s">
        <v>729</v>
      </c>
      <c r="O1631" t="s">
        <v>729</v>
      </c>
      <c r="P1631" s="1">
        <f>HYPERLINK("https://ec.europa.eu/info/funding-tenders/opportunities/portal/screen/opportunities/topic-details/horizon-ju-ihi-2022-02-02", "HORIZON-JU-IHI-2022-02-02")</f>
        <v>0</v>
      </c>
      <c r="Q1631" t="s">
        <v>2560</v>
      </c>
    </row>
    <row r="1632" spans="1:17">
      <c r="A1632">
        <v>45689220</v>
      </c>
      <c r="B1632">
        <v>2022</v>
      </c>
      <c r="C1632" t="s">
        <v>32</v>
      </c>
      <c r="D1632" t="s">
        <v>51</v>
      </c>
      <c r="E1632" t="s">
        <v>94</v>
      </c>
      <c r="F1632" t="s">
        <v>213</v>
      </c>
      <c r="G1632" t="s">
        <v>285</v>
      </c>
      <c r="H1632" t="s">
        <v>285</v>
      </c>
      <c r="I1632" t="s">
        <v>443</v>
      </c>
      <c r="K1632" t="s">
        <v>466</v>
      </c>
      <c r="L1632" t="s">
        <v>469</v>
      </c>
      <c r="M1632" t="s">
        <v>477</v>
      </c>
      <c r="N1632" t="s">
        <v>730</v>
      </c>
      <c r="O1632" t="s">
        <v>730</v>
      </c>
      <c r="P1632" s="1">
        <f>HYPERLINK("https://ec.europa.eu/info/funding-tenders/opportunities/portal/screen/opportunities/topic-details/horizon-ju-ihi-2022-03-01", "HORIZON-JU-IHI-2022-03-01")</f>
        <v>0</v>
      </c>
      <c r="Q1632" t="s">
        <v>2561</v>
      </c>
    </row>
    <row r="1633" spans="1:17">
      <c r="A1633">
        <v>45689240</v>
      </c>
      <c r="B1633">
        <v>2022</v>
      </c>
      <c r="C1633" t="s">
        <v>32</v>
      </c>
      <c r="D1633" t="s">
        <v>51</v>
      </c>
      <c r="E1633" t="s">
        <v>94</v>
      </c>
      <c r="F1633" t="s">
        <v>213</v>
      </c>
      <c r="G1633" t="s">
        <v>285</v>
      </c>
      <c r="H1633" t="s">
        <v>285</v>
      </c>
      <c r="I1633" t="s">
        <v>443</v>
      </c>
      <c r="K1633" t="s">
        <v>466</v>
      </c>
      <c r="L1633" t="s">
        <v>469</v>
      </c>
      <c r="M1633" t="s">
        <v>477</v>
      </c>
      <c r="N1633" t="s">
        <v>730</v>
      </c>
      <c r="O1633" t="s">
        <v>730</v>
      </c>
      <c r="P1633" s="1">
        <f>HYPERLINK("https://ec.europa.eu/info/funding-tenders/opportunities/portal/screen/opportunities/topic-details/horizon-ju-ihi-2022-03-02", "HORIZON-JU-IHI-2022-03-02")</f>
        <v>0</v>
      </c>
      <c r="Q1633" t="s">
        <v>2562</v>
      </c>
    </row>
    <row r="1634" spans="1:17">
      <c r="A1634">
        <v>45689258</v>
      </c>
      <c r="B1634">
        <v>2022</v>
      </c>
      <c r="C1634" t="s">
        <v>32</v>
      </c>
      <c r="D1634" t="s">
        <v>51</v>
      </c>
      <c r="E1634" t="s">
        <v>94</v>
      </c>
      <c r="F1634" t="s">
        <v>213</v>
      </c>
      <c r="G1634" t="s">
        <v>285</v>
      </c>
      <c r="H1634" t="s">
        <v>285</v>
      </c>
      <c r="I1634" t="s">
        <v>443</v>
      </c>
      <c r="K1634" t="s">
        <v>466</v>
      </c>
      <c r="L1634" t="s">
        <v>469</v>
      </c>
      <c r="M1634" t="s">
        <v>477</v>
      </c>
      <c r="N1634" t="s">
        <v>730</v>
      </c>
      <c r="O1634" t="s">
        <v>730</v>
      </c>
      <c r="P1634" s="1">
        <f>HYPERLINK("https://ec.europa.eu/info/funding-tenders/opportunities/portal/screen/opportunities/topic-details/horizon-ju-ihi-2022-03-03", "HORIZON-JU-IHI-2022-03-03")</f>
        <v>0</v>
      </c>
      <c r="Q1634" t="s">
        <v>2563</v>
      </c>
    </row>
    <row r="1635" spans="1:17">
      <c r="A1635">
        <v>45689276</v>
      </c>
      <c r="B1635">
        <v>2022</v>
      </c>
      <c r="C1635" t="s">
        <v>32</v>
      </c>
      <c r="D1635" t="s">
        <v>51</v>
      </c>
      <c r="E1635" t="s">
        <v>94</v>
      </c>
      <c r="F1635" t="s">
        <v>213</v>
      </c>
      <c r="G1635" t="s">
        <v>285</v>
      </c>
      <c r="H1635" t="s">
        <v>285</v>
      </c>
      <c r="I1635" t="s">
        <v>443</v>
      </c>
      <c r="K1635" t="s">
        <v>466</v>
      </c>
      <c r="L1635" t="s">
        <v>469</v>
      </c>
      <c r="M1635" t="s">
        <v>477</v>
      </c>
      <c r="N1635" t="s">
        <v>730</v>
      </c>
      <c r="O1635" t="s">
        <v>730</v>
      </c>
      <c r="P1635" s="1">
        <f>HYPERLINK("https://ec.europa.eu/info/funding-tenders/opportunities/portal/screen/opportunities/topic-details/horizon-ju-ihi-2022-03-04", "HORIZON-JU-IHI-2022-03-04")</f>
        <v>0</v>
      </c>
      <c r="Q1635" t="s">
        <v>2564</v>
      </c>
    </row>
    <row r="1636" spans="1:17">
      <c r="A1636">
        <v>45689289</v>
      </c>
      <c r="B1636">
        <v>2022</v>
      </c>
      <c r="C1636" t="s">
        <v>32</v>
      </c>
      <c r="D1636" t="s">
        <v>51</v>
      </c>
      <c r="E1636" t="s">
        <v>94</v>
      </c>
      <c r="F1636" t="s">
        <v>213</v>
      </c>
      <c r="G1636" t="s">
        <v>285</v>
      </c>
      <c r="H1636" t="s">
        <v>285</v>
      </c>
      <c r="I1636" t="s">
        <v>443</v>
      </c>
      <c r="K1636" t="s">
        <v>466</v>
      </c>
      <c r="L1636" t="s">
        <v>469</v>
      </c>
      <c r="M1636" t="s">
        <v>477</v>
      </c>
      <c r="N1636" t="s">
        <v>730</v>
      </c>
      <c r="O1636" t="s">
        <v>730</v>
      </c>
      <c r="P1636" s="1">
        <f>HYPERLINK("https://ec.europa.eu/info/funding-tenders/opportunities/portal/screen/opportunities/topic-details/horizon-ju-ihi-2022-03-05", "HORIZON-JU-IHI-2022-03-05")</f>
        <v>0</v>
      </c>
      <c r="Q1636" t="s">
        <v>2565</v>
      </c>
    </row>
    <row r="1637" spans="1:17">
      <c r="A1637">
        <v>45707994</v>
      </c>
      <c r="B1637">
        <v>2023</v>
      </c>
      <c r="C1637" t="s">
        <v>32</v>
      </c>
      <c r="D1637" t="s">
        <v>51</v>
      </c>
      <c r="E1637" t="s">
        <v>94</v>
      </c>
      <c r="F1637" t="s">
        <v>214</v>
      </c>
      <c r="G1637" t="s">
        <v>286</v>
      </c>
      <c r="H1637" t="s">
        <v>286</v>
      </c>
      <c r="I1637" t="s">
        <v>444</v>
      </c>
      <c r="J1637" t="s">
        <v>313</v>
      </c>
      <c r="K1637" t="s">
        <v>466</v>
      </c>
      <c r="L1637" t="s">
        <v>470</v>
      </c>
      <c r="M1637" t="s">
        <v>477</v>
      </c>
      <c r="N1637" t="s">
        <v>731</v>
      </c>
      <c r="O1637" t="s">
        <v>933</v>
      </c>
      <c r="P1637" s="1">
        <f>HYPERLINK("https://ec.europa.eu/info/funding-tenders/opportunities/portal/screen/opportunities/topic-details/horizon-ju-ihi-2023-04-01-two-stage", "HORIZON-JU-IHI-2023-04-01-two-stage")</f>
        <v>0</v>
      </c>
      <c r="Q1637" t="s">
        <v>2566</v>
      </c>
    </row>
    <row r="1638" spans="1:17">
      <c r="A1638">
        <v>45708004</v>
      </c>
      <c r="B1638">
        <v>2023</v>
      </c>
      <c r="C1638" t="s">
        <v>32</v>
      </c>
      <c r="D1638" t="s">
        <v>51</v>
      </c>
      <c r="E1638" t="s">
        <v>94</v>
      </c>
      <c r="F1638" t="s">
        <v>214</v>
      </c>
      <c r="G1638" t="s">
        <v>286</v>
      </c>
      <c r="H1638" t="s">
        <v>286</v>
      </c>
      <c r="I1638" t="s">
        <v>444</v>
      </c>
      <c r="J1638" t="s">
        <v>313</v>
      </c>
      <c r="K1638" t="s">
        <v>466</v>
      </c>
      <c r="L1638" t="s">
        <v>470</v>
      </c>
      <c r="M1638" t="s">
        <v>477</v>
      </c>
      <c r="N1638" t="s">
        <v>731</v>
      </c>
      <c r="O1638" t="s">
        <v>933</v>
      </c>
      <c r="P1638" s="1">
        <f>HYPERLINK("https://ec.europa.eu/info/funding-tenders/opportunities/portal/screen/opportunities/topic-details/horizon-ju-ihi-2023-04-02-two-stage", "HORIZON-JU-IHI-2023-04-02-two-stage")</f>
        <v>0</v>
      </c>
      <c r="Q1638" t="s">
        <v>2567</v>
      </c>
    </row>
    <row r="1639" spans="1:17">
      <c r="A1639">
        <v>46149735</v>
      </c>
      <c r="B1639">
        <v>2023</v>
      </c>
      <c r="C1639" t="s">
        <v>32</v>
      </c>
      <c r="D1639" t="s">
        <v>51</v>
      </c>
      <c r="E1639" t="s">
        <v>94</v>
      </c>
      <c r="F1639" t="s">
        <v>214</v>
      </c>
      <c r="G1639" t="s">
        <v>286</v>
      </c>
      <c r="H1639" t="s">
        <v>286</v>
      </c>
      <c r="I1639" t="s">
        <v>444</v>
      </c>
      <c r="J1639" t="s">
        <v>313</v>
      </c>
      <c r="K1639" t="s">
        <v>466</v>
      </c>
      <c r="L1639" t="s">
        <v>470</v>
      </c>
      <c r="M1639" t="s">
        <v>477</v>
      </c>
      <c r="N1639" t="s">
        <v>731</v>
      </c>
      <c r="O1639" t="s">
        <v>933</v>
      </c>
      <c r="P1639" s="1">
        <f>HYPERLINK("https://ec.europa.eu/info/funding-tenders/opportunities/portal/screen/opportunities/topic-details/horizon-ju-ihi-2023-04-03-two-stage", "HORIZON-JU-IHI-2023-04-03-two-stage")</f>
        <v>0</v>
      </c>
      <c r="Q1639" t="s">
        <v>2568</v>
      </c>
    </row>
    <row r="1640" spans="1:17">
      <c r="A1640">
        <v>46149756</v>
      </c>
      <c r="B1640">
        <v>2023</v>
      </c>
      <c r="C1640" t="s">
        <v>32</v>
      </c>
      <c r="D1640" t="s">
        <v>51</v>
      </c>
      <c r="E1640" t="s">
        <v>94</v>
      </c>
      <c r="F1640" t="s">
        <v>214</v>
      </c>
      <c r="G1640" t="s">
        <v>286</v>
      </c>
      <c r="H1640" t="s">
        <v>286</v>
      </c>
      <c r="I1640" t="s">
        <v>444</v>
      </c>
      <c r="J1640" t="s">
        <v>313</v>
      </c>
      <c r="K1640" t="s">
        <v>466</v>
      </c>
      <c r="L1640" t="s">
        <v>470</v>
      </c>
      <c r="M1640" t="s">
        <v>477</v>
      </c>
      <c r="N1640" t="s">
        <v>731</v>
      </c>
      <c r="O1640" t="s">
        <v>933</v>
      </c>
      <c r="P1640" s="1">
        <f>HYPERLINK("https://ec.europa.eu/info/funding-tenders/opportunities/portal/screen/opportunities/topic-details/horizon-ju-ihi-2023-04-04-two-stage", "HORIZON-JU-IHI-2023-04-04-two-stage")</f>
        <v>0</v>
      </c>
      <c r="Q1640" t="s">
        <v>2569</v>
      </c>
    </row>
    <row r="1641" spans="1:17">
      <c r="A1641">
        <v>46149779</v>
      </c>
      <c r="B1641">
        <v>2023</v>
      </c>
      <c r="C1641" t="s">
        <v>32</v>
      </c>
      <c r="D1641" t="s">
        <v>51</v>
      </c>
      <c r="E1641" t="s">
        <v>94</v>
      </c>
      <c r="F1641" t="s">
        <v>214</v>
      </c>
      <c r="G1641" t="s">
        <v>286</v>
      </c>
      <c r="H1641" t="s">
        <v>286</v>
      </c>
      <c r="I1641" t="s">
        <v>444</v>
      </c>
      <c r="J1641" t="s">
        <v>313</v>
      </c>
      <c r="K1641" t="s">
        <v>466</v>
      </c>
      <c r="L1641" t="s">
        <v>470</v>
      </c>
      <c r="M1641" t="s">
        <v>477</v>
      </c>
      <c r="N1641" t="s">
        <v>731</v>
      </c>
      <c r="O1641" t="s">
        <v>933</v>
      </c>
      <c r="P1641" s="1">
        <f>HYPERLINK("https://ec.europa.eu/info/funding-tenders/opportunities/portal/screen/opportunities/topic-details/horizon-ju-ihi-2023-04-05-two-stage", "HORIZON-JU-IHI-2023-04-05-two-stage")</f>
        <v>0</v>
      </c>
      <c r="Q1641" t="s">
        <v>2570</v>
      </c>
    </row>
    <row r="1642" spans="1:17">
      <c r="A1642">
        <v>46149793</v>
      </c>
      <c r="B1642">
        <v>2023</v>
      </c>
      <c r="C1642" t="s">
        <v>32</v>
      </c>
      <c r="D1642" t="s">
        <v>51</v>
      </c>
      <c r="E1642" t="s">
        <v>94</v>
      </c>
      <c r="F1642" t="s">
        <v>214</v>
      </c>
      <c r="G1642" t="s">
        <v>286</v>
      </c>
      <c r="H1642" t="s">
        <v>286</v>
      </c>
      <c r="I1642" t="s">
        <v>444</v>
      </c>
      <c r="J1642" t="s">
        <v>313</v>
      </c>
      <c r="K1642" t="s">
        <v>466</v>
      </c>
      <c r="L1642" t="s">
        <v>470</v>
      </c>
      <c r="M1642" t="s">
        <v>477</v>
      </c>
      <c r="N1642" t="s">
        <v>731</v>
      </c>
      <c r="O1642" t="s">
        <v>933</v>
      </c>
      <c r="P1642" s="1">
        <f>HYPERLINK("https://ec.europa.eu/info/funding-tenders/opportunities/portal/screen/opportunities/topic-details/horizon-ju-ihi-2023-04-06-two-stage", "HORIZON-JU-IHI-2023-04-06-two-stage")</f>
        <v>0</v>
      </c>
      <c r="Q1642" t="s">
        <v>2571</v>
      </c>
    </row>
    <row r="1643" spans="1:17">
      <c r="A1643">
        <v>46149830</v>
      </c>
      <c r="B1643">
        <v>2023</v>
      </c>
      <c r="C1643" t="s">
        <v>32</v>
      </c>
      <c r="D1643" t="s">
        <v>51</v>
      </c>
      <c r="E1643" t="s">
        <v>94</v>
      </c>
      <c r="F1643" t="s">
        <v>215</v>
      </c>
      <c r="G1643" t="s">
        <v>286</v>
      </c>
      <c r="H1643" t="s">
        <v>286</v>
      </c>
      <c r="I1643" t="s">
        <v>287</v>
      </c>
      <c r="K1643" t="s">
        <v>466</v>
      </c>
      <c r="L1643" t="s">
        <v>469</v>
      </c>
      <c r="M1643" t="s">
        <v>477</v>
      </c>
      <c r="N1643" t="s">
        <v>732</v>
      </c>
      <c r="O1643" t="s">
        <v>934</v>
      </c>
      <c r="P1643" s="1">
        <f>HYPERLINK("https://ec.europa.eu/info/funding-tenders/opportunities/portal/screen/opportunities/topic-details/horizon-ju-ihi-2023-05-01", "HORIZON-JU-IHI-2023-05-01")</f>
        <v>0</v>
      </c>
      <c r="Q1643" t="s">
        <v>2572</v>
      </c>
    </row>
    <row r="1644" spans="1:17">
      <c r="A1644">
        <v>46149853</v>
      </c>
      <c r="B1644">
        <v>2023</v>
      </c>
      <c r="C1644" t="s">
        <v>32</v>
      </c>
      <c r="D1644" t="s">
        <v>51</v>
      </c>
      <c r="E1644" t="s">
        <v>94</v>
      </c>
      <c r="F1644" t="s">
        <v>215</v>
      </c>
      <c r="G1644" t="s">
        <v>286</v>
      </c>
      <c r="H1644" t="s">
        <v>286</v>
      </c>
      <c r="I1644" t="s">
        <v>287</v>
      </c>
      <c r="K1644" t="s">
        <v>466</v>
      </c>
      <c r="L1644" t="s">
        <v>469</v>
      </c>
      <c r="M1644" t="s">
        <v>477</v>
      </c>
      <c r="N1644" t="s">
        <v>732</v>
      </c>
      <c r="O1644" t="s">
        <v>934</v>
      </c>
      <c r="P1644" s="1">
        <f>HYPERLINK("https://ec.europa.eu/info/funding-tenders/opportunities/portal/screen/opportunities/topic-details/horizon-ju-ihi-2023-05-02", "HORIZON-JU-IHI-2023-05-02")</f>
        <v>0</v>
      </c>
      <c r="Q1644" t="s">
        <v>2573</v>
      </c>
    </row>
    <row r="1645" spans="1:17">
      <c r="A1645">
        <v>46149867</v>
      </c>
      <c r="B1645">
        <v>2023</v>
      </c>
      <c r="C1645" t="s">
        <v>32</v>
      </c>
      <c r="D1645" t="s">
        <v>51</v>
      </c>
      <c r="E1645" t="s">
        <v>94</v>
      </c>
      <c r="F1645" t="s">
        <v>215</v>
      </c>
      <c r="G1645" t="s">
        <v>286</v>
      </c>
      <c r="H1645" t="s">
        <v>286</v>
      </c>
      <c r="I1645" t="s">
        <v>287</v>
      </c>
      <c r="K1645" t="s">
        <v>466</v>
      </c>
      <c r="L1645" t="s">
        <v>469</v>
      </c>
      <c r="M1645" t="s">
        <v>477</v>
      </c>
      <c r="N1645" t="s">
        <v>732</v>
      </c>
      <c r="O1645" t="s">
        <v>934</v>
      </c>
      <c r="P1645" s="1">
        <f>HYPERLINK("https://ec.europa.eu/info/funding-tenders/opportunities/portal/screen/opportunities/topic-details/horizon-ju-ihi-2023-05-03", "HORIZON-JU-IHI-2023-05-03")</f>
        <v>0</v>
      </c>
      <c r="Q1645" t="s">
        <v>2574</v>
      </c>
    </row>
    <row r="1646" spans="1:17">
      <c r="A1646">
        <v>46149881</v>
      </c>
      <c r="B1646">
        <v>2023</v>
      </c>
      <c r="C1646" t="s">
        <v>32</v>
      </c>
      <c r="D1646" t="s">
        <v>51</v>
      </c>
      <c r="E1646" t="s">
        <v>94</v>
      </c>
      <c r="F1646" t="s">
        <v>215</v>
      </c>
      <c r="G1646" t="s">
        <v>286</v>
      </c>
      <c r="H1646" t="s">
        <v>286</v>
      </c>
      <c r="I1646" t="s">
        <v>287</v>
      </c>
      <c r="K1646" t="s">
        <v>466</v>
      </c>
      <c r="L1646" t="s">
        <v>469</v>
      </c>
      <c r="M1646" t="s">
        <v>477</v>
      </c>
      <c r="N1646" t="s">
        <v>732</v>
      </c>
      <c r="O1646" t="s">
        <v>934</v>
      </c>
      <c r="P1646" s="1">
        <f>HYPERLINK("https://ec.europa.eu/info/funding-tenders/opportunities/portal/screen/opportunities/topic-details/horizon-ju-ihi-2023-05-04", "HORIZON-JU-IHI-2023-05-04")</f>
        <v>0</v>
      </c>
      <c r="Q1646" t="s">
        <v>2575</v>
      </c>
    </row>
    <row r="1647" spans="1:17">
      <c r="A1647">
        <v>46650098</v>
      </c>
      <c r="B1647">
        <v>2024</v>
      </c>
      <c r="C1647" t="s">
        <v>32</v>
      </c>
      <c r="D1647" t="s">
        <v>51</v>
      </c>
      <c r="E1647" t="s">
        <v>94</v>
      </c>
      <c r="F1647" t="s">
        <v>216</v>
      </c>
      <c r="G1647" t="s">
        <v>287</v>
      </c>
      <c r="H1647" t="s">
        <v>287</v>
      </c>
      <c r="I1647" t="s">
        <v>270</v>
      </c>
      <c r="J1647" t="s">
        <v>465</v>
      </c>
      <c r="K1647" t="s">
        <v>466</v>
      </c>
      <c r="L1647" t="s">
        <v>470</v>
      </c>
      <c r="M1647" t="s">
        <v>477</v>
      </c>
      <c r="N1647" t="s">
        <v>733</v>
      </c>
      <c r="O1647" t="s">
        <v>935</v>
      </c>
      <c r="P1647" s="1">
        <f>HYPERLINK("https://ec.europa.eu/info/funding-tenders/opportunities/portal/screen/opportunities/topic-details/horizon-ju-ihi-2024-06-01-two-stage", "HORIZON-JU-IHI-2024-06-01-two-stage")</f>
        <v>0</v>
      </c>
      <c r="Q1647" t="s">
        <v>2576</v>
      </c>
    </row>
    <row r="1648" spans="1:17">
      <c r="A1648">
        <v>46650103</v>
      </c>
      <c r="B1648">
        <v>2024</v>
      </c>
      <c r="C1648" t="s">
        <v>32</v>
      </c>
      <c r="D1648" t="s">
        <v>51</v>
      </c>
      <c r="E1648" t="s">
        <v>94</v>
      </c>
      <c r="F1648" t="s">
        <v>216</v>
      </c>
      <c r="G1648" t="s">
        <v>287</v>
      </c>
      <c r="H1648" t="s">
        <v>287</v>
      </c>
      <c r="I1648" t="s">
        <v>270</v>
      </c>
      <c r="J1648" t="s">
        <v>465</v>
      </c>
      <c r="K1648" t="s">
        <v>466</v>
      </c>
      <c r="L1648" t="s">
        <v>470</v>
      </c>
      <c r="M1648" t="s">
        <v>477</v>
      </c>
      <c r="N1648" t="s">
        <v>733</v>
      </c>
      <c r="O1648" t="s">
        <v>935</v>
      </c>
      <c r="P1648" s="1">
        <f>HYPERLINK("https://ec.europa.eu/info/funding-tenders/opportunities/portal/screen/opportunities/topic-details/horizon-ju-ihi-2024-06-02-two-stage", "HORIZON-JU-IHI-2024-06-02-two-stage")</f>
        <v>0</v>
      </c>
      <c r="Q1648" t="s">
        <v>2577</v>
      </c>
    </row>
    <row r="1649" spans="1:17">
      <c r="A1649">
        <v>46650123</v>
      </c>
      <c r="B1649">
        <v>2024</v>
      </c>
      <c r="C1649" t="s">
        <v>32</v>
      </c>
      <c r="D1649" t="s">
        <v>51</v>
      </c>
      <c r="E1649" t="s">
        <v>94</v>
      </c>
      <c r="F1649" t="s">
        <v>217</v>
      </c>
      <c r="G1649" t="s">
        <v>287</v>
      </c>
      <c r="H1649" t="s">
        <v>287</v>
      </c>
      <c r="I1649" t="s">
        <v>445</v>
      </c>
      <c r="K1649" t="s">
        <v>466</v>
      </c>
      <c r="L1649" t="s">
        <v>469</v>
      </c>
      <c r="M1649" t="s">
        <v>477</v>
      </c>
      <c r="N1649" t="s">
        <v>734</v>
      </c>
      <c r="O1649" t="s">
        <v>936</v>
      </c>
      <c r="P1649" s="1">
        <f>HYPERLINK("https://ec.europa.eu/info/funding-tenders/opportunities/portal/screen/opportunities/topic-details/horizon-ju-ihi-2024-07-01-singe-stage", "HORIZON-JU-IHI-2024-07-01-singe-stage")</f>
        <v>0</v>
      </c>
      <c r="Q1649" t="s">
        <v>2578</v>
      </c>
    </row>
    <row r="1650" spans="1:17">
      <c r="A1650">
        <v>46650128</v>
      </c>
      <c r="B1650">
        <v>2024</v>
      </c>
      <c r="C1650" t="s">
        <v>32</v>
      </c>
      <c r="D1650" t="s">
        <v>51</v>
      </c>
      <c r="E1650" t="s">
        <v>94</v>
      </c>
      <c r="F1650" t="s">
        <v>217</v>
      </c>
      <c r="G1650" t="s">
        <v>287</v>
      </c>
      <c r="H1650" t="s">
        <v>287</v>
      </c>
      <c r="I1650" t="s">
        <v>445</v>
      </c>
      <c r="K1650" t="s">
        <v>466</v>
      </c>
      <c r="L1650" t="s">
        <v>469</v>
      </c>
      <c r="M1650" t="s">
        <v>477</v>
      </c>
      <c r="N1650" t="s">
        <v>734</v>
      </c>
      <c r="O1650" t="s">
        <v>936</v>
      </c>
      <c r="P1650" s="1">
        <f>HYPERLINK("https://ec.europa.eu/info/funding-tenders/opportunities/portal/screen/opportunities/topic-details/horizon-ju-ihi-2024-07-02-singe-stage", "HORIZON-JU-IHI-2024-07-02-singe-stage")</f>
        <v>0</v>
      </c>
      <c r="Q1650" t="s">
        <v>2579</v>
      </c>
    </row>
    <row r="1651" spans="1:17">
      <c r="A1651">
        <v>46650133</v>
      </c>
      <c r="B1651">
        <v>2024</v>
      </c>
      <c r="C1651" t="s">
        <v>32</v>
      </c>
      <c r="D1651" t="s">
        <v>51</v>
      </c>
      <c r="E1651" t="s">
        <v>94</v>
      </c>
      <c r="F1651" t="s">
        <v>217</v>
      </c>
      <c r="G1651" t="s">
        <v>287</v>
      </c>
      <c r="H1651" t="s">
        <v>287</v>
      </c>
      <c r="I1651" t="s">
        <v>445</v>
      </c>
      <c r="K1651" t="s">
        <v>466</v>
      </c>
      <c r="L1651" t="s">
        <v>469</v>
      </c>
      <c r="M1651" t="s">
        <v>477</v>
      </c>
      <c r="N1651" t="s">
        <v>734</v>
      </c>
      <c r="O1651" t="s">
        <v>936</v>
      </c>
      <c r="P1651" s="1">
        <f>HYPERLINK("https://ec.europa.eu/info/funding-tenders/opportunities/portal/screen/opportunities/topic-details/horizon-ju-ihi-2024-07-03-singe-stage", "HORIZON-JU-IHI-2024-07-03-singe-stage")</f>
        <v>0</v>
      </c>
      <c r="Q1651" t="s">
        <v>2580</v>
      </c>
    </row>
    <row r="1652" spans="1:17">
      <c r="A1652">
        <v>44726587</v>
      </c>
      <c r="B1652">
        <v>2022</v>
      </c>
      <c r="C1652" t="s">
        <v>33</v>
      </c>
      <c r="D1652" t="s">
        <v>52</v>
      </c>
      <c r="E1652" t="s">
        <v>64</v>
      </c>
      <c r="G1652" t="s">
        <v>288</v>
      </c>
      <c r="H1652" t="s">
        <v>359</v>
      </c>
      <c r="I1652" t="s">
        <v>395</v>
      </c>
      <c r="K1652" t="s">
        <v>466</v>
      </c>
      <c r="L1652" t="s">
        <v>469</v>
      </c>
      <c r="M1652" t="s">
        <v>477</v>
      </c>
      <c r="N1652" t="s">
        <v>735</v>
      </c>
      <c r="O1652" t="s">
        <v>735</v>
      </c>
      <c r="P1652" s="1">
        <f>HYPERLINK("https://ec.europa.eu/info/funding-tenders/opportunities/portal/screen/opportunities/topic-details/horizon-ju-sns-2022-stream-a-01-01", "HORIZON-JU-SNS-2022-STREAM-A-01-01")</f>
        <v>0</v>
      </c>
      <c r="Q1652" t="s">
        <v>2581</v>
      </c>
    </row>
    <row r="1653" spans="1:17">
      <c r="A1653">
        <v>44726598</v>
      </c>
      <c r="B1653">
        <v>2022</v>
      </c>
      <c r="C1653" t="s">
        <v>33</v>
      </c>
      <c r="D1653" t="s">
        <v>52</v>
      </c>
      <c r="E1653" t="s">
        <v>64</v>
      </c>
      <c r="G1653" t="s">
        <v>288</v>
      </c>
      <c r="H1653" t="s">
        <v>359</v>
      </c>
      <c r="I1653" t="s">
        <v>395</v>
      </c>
      <c r="K1653" t="s">
        <v>466</v>
      </c>
      <c r="L1653" t="s">
        <v>469</v>
      </c>
      <c r="M1653" t="s">
        <v>477</v>
      </c>
      <c r="N1653" t="s">
        <v>735</v>
      </c>
      <c r="O1653" t="s">
        <v>735</v>
      </c>
      <c r="P1653" s="1">
        <f>HYPERLINK("https://ec.europa.eu/info/funding-tenders/opportunities/portal/screen/opportunities/topic-details/horizon-ju-sns-2022-stream-a-01-02", "HORIZON-JU-SNS-2022-STREAM-A-01-02")</f>
        <v>0</v>
      </c>
      <c r="Q1653" t="s">
        <v>2582</v>
      </c>
    </row>
    <row r="1654" spans="1:17">
      <c r="A1654">
        <v>44726609</v>
      </c>
      <c r="B1654">
        <v>2022</v>
      </c>
      <c r="C1654" t="s">
        <v>33</v>
      </c>
      <c r="D1654" t="s">
        <v>52</v>
      </c>
      <c r="E1654" t="s">
        <v>64</v>
      </c>
      <c r="G1654" t="s">
        <v>288</v>
      </c>
      <c r="H1654" t="s">
        <v>359</v>
      </c>
      <c r="I1654" t="s">
        <v>395</v>
      </c>
      <c r="K1654" t="s">
        <v>466</v>
      </c>
      <c r="L1654" t="s">
        <v>469</v>
      </c>
      <c r="M1654" t="s">
        <v>477</v>
      </c>
      <c r="N1654" t="s">
        <v>735</v>
      </c>
      <c r="O1654" t="s">
        <v>735</v>
      </c>
      <c r="P1654" s="1">
        <f>HYPERLINK("https://ec.europa.eu/info/funding-tenders/opportunities/portal/screen/opportunities/topic-details/horizon-ju-sns-2022-stream-a-01-03", "HORIZON-JU-SNS-2022-STREAM-A-01-03")</f>
        <v>0</v>
      </c>
      <c r="Q1654" t="s">
        <v>2583</v>
      </c>
    </row>
    <row r="1655" spans="1:17">
      <c r="A1655">
        <v>44726620</v>
      </c>
      <c r="B1655">
        <v>2022</v>
      </c>
      <c r="C1655" t="s">
        <v>33</v>
      </c>
      <c r="D1655" t="s">
        <v>52</v>
      </c>
      <c r="E1655" t="s">
        <v>64</v>
      </c>
      <c r="G1655" t="s">
        <v>288</v>
      </c>
      <c r="H1655" t="s">
        <v>359</v>
      </c>
      <c r="I1655" t="s">
        <v>395</v>
      </c>
      <c r="K1655" t="s">
        <v>466</v>
      </c>
      <c r="L1655" t="s">
        <v>469</v>
      </c>
      <c r="M1655" t="s">
        <v>477</v>
      </c>
      <c r="N1655" t="s">
        <v>735</v>
      </c>
      <c r="O1655" t="s">
        <v>735</v>
      </c>
      <c r="P1655" s="1">
        <f>HYPERLINK("https://ec.europa.eu/info/funding-tenders/opportunities/portal/screen/opportunities/topic-details/horizon-ju-sns-2022-stream-a-01-04", "HORIZON-JU-SNS-2022-STREAM-A-01-04")</f>
        <v>0</v>
      </c>
      <c r="Q1655" t="s">
        <v>2584</v>
      </c>
    </row>
    <row r="1656" spans="1:17">
      <c r="A1656">
        <v>44726631</v>
      </c>
      <c r="B1656">
        <v>2022</v>
      </c>
      <c r="C1656" t="s">
        <v>33</v>
      </c>
      <c r="D1656" t="s">
        <v>52</v>
      </c>
      <c r="E1656" t="s">
        <v>64</v>
      </c>
      <c r="G1656" t="s">
        <v>288</v>
      </c>
      <c r="H1656" t="s">
        <v>359</v>
      </c>
      <c r="I1656" t="s">
        <v>395</v>
      </c>
      <c r="K1656" t="s">
        <v>466</v>
      </c>
      <c r="L1656" t="s">
        <v>469</v>
      </c>
      <c r="M1656" t="s">
        <v>477</v>
      </c>
      <c r="N1656" t="s">
        <v>735</v>
      </c>
      <c r="O1656" t="s">
        <v>735</v>
      </c>
      <c r="P1656" s="1">
        <f>HYPERLINK("https://ec.europa.eu/info/funding-tenders/opportunities/portal/screen/opportunities/topic-details/horizon-ju-sns-2022-stream-a-01-05", "HORIZON-JU-SNS-2022-STREAM-A-01-05")</f>
        <v>0</v>
      </c>
      <c r="Q1656" t="s">
        <v>2585</v>
      </c>
    </row>
    <row r="1657" spans="1:17">
      <c r="A1657">
        <v>44726642</v>
      </c>
      <c r="B1657">
        <v>2022</v>
      </c>
      <c r="C1657" t="s">
        <v>33</v>
      </c>
      <c r="D1657" t="s">
        <v>52</v>
      </c>
      <c r="E1657" t="s">
        <v>64</v>
      </c>
      <c r="G1657" t="s">
        <v>288</v>
      </c>
      <c r="H1657" t="s">
        <v>359</v>
      </c>
      <c r="I1657" t="s">
        <v>395</v>
      </c>
      <c r="K1657" t="s">
        <v>466</v>
      </c>
      <c r="L1657" t="s">
        <v>469</v>
      </c>
      <c r="M1657" t="s">
        <v>477</v>
      </c>
      <c r="N1657" t="s">
        <v>735</v>
      </c>
      <c r="O1657" t="s">
        <v>735</v>
      </c>
      <c r="P1657" s="1">
        <f>HYPERLINK("https://ec.europa.eu/info/funding-tenders/opportunities/portal/screen/opportunities/topic-details/horizon-ju-sns-2022-stream-a-01-06", "HORIZON-JU-SNS-2022-STREAM-A-01-06")</f>
        <v>0</v>
      </c>
      <c r="Q1657" t="s">
        <v>2586</v>
      </c>
    </row>
    <row r="1658" spans="1:17">
      <c r="A1658">
        <v>44726653</v>
      </c>
      <c r="B1658">
        <v>2022</v>
      </c>
      <c r="C1658" t="s">
        <v>33</v>
      </c>
      <c r="D1658" t="s">
        <v>52</v>
      </c>
      <c r="E1658" t="s">
        <v>64</v>
      </c>
      <c r="G1658" t="s">
        <v>288</v>
      </c>
      <c r="H1658" t="s">
        <v>359</v>
      </c>
      <c r="I1658" t="s">
        <v>395</v>
      </c>
      <c r="K1658" t="s">
        <v>466</v>
      </c>
      <c r="L1658" t="s">
        <v>469</v>
      </c>
      <c r="M1658" t="s">
        <v>477</v>
      </c>
      <c r="N1658" t="s">
        <v>735</v>
      </c>
      <c r="O1658" t="s">
        <v>735</v>
      </c>
      <c r="P1658" s="1">
        <f>HYPERLINK("https://ec.europa.eu/info/funding-tenders/opportunities/portal/screen/opportunities/topic-details/horizon-ju-sns-2022-stream-a-01-07", "HORIZON-JU-SNS-2022-STREAM-A-01-07")</f>
        <v>0</v>
      </c>
      <c r="Q1658" t="s">
        <v>2587</v>
      </c>
    </row>
    <row r="1659" spans="1:17">
      <c r="A1659">
        <v>44726664</v>
      </c>
      <c r="B1659">
        <v>2022</v>
      </c>
      <c r="C1659" t="s">
        <v>33</v>
      </c>
      <c r="D1659" t="s">
        <v>52</v>
      </c>
      <c r="E1659" t="s">
        <v>64</v>
      </c>
      <c r="G1659" t="s">
        <v>288</v>
      </c>
      <c r="H1659" t="s">
        <v>359</v>
      </c>
      <c r="I1659" t="s">
        <v>395</v>
      </c>
      <c r="K1659" t="s">
        <v>466</v>
      </c>
      <c r="L1659" t="s">
        <v>469</v>
      </c>
      <c r="M1659" t="s">
        <v>477</v>
      </c>
      <c r="N1659" t="s">
        <v>735</v>
      </c>
      <c r="O1659" t="s">
        <v>735</v>
      </c>
      <c r="P1659" s="1">
        <f>HYPERLINK("https://ec.europa.eu/info/funding-tenders/opportunities/portal/screen/opportunities/topic-details/horizon-ju-sns-2022-stream-b-01-01", "HORIZON-JU-SNS-2022-STREAM-B-01-01")</f>
        <v>0</v>
      </c>
      <c r="Q1659" t="s">
        <v>2588</v>
      </c>
    </row>
    <row r="1660" spans="1:17">
      <c r="A1660">
        <v>44726675</v>
      </c>
      <c r="B1660">
        <v>2022</v>
      </c>
      <c r="C1660" t="s">
        <v>33</v>
      </c>
      <c r="D1660" t="s">
        <v>52</v>
      </c>
      <c r="E1660" t="s">
        <v>64</v>
      </c>
      <c r="G1660" t="s">
        <v>288</v>
      </c>
      <c r="H1660" t="s">
        <v>359</v>
      </c>
      <c r="I1660" t="s">
        <v>395</v>
      </c>
      <c r="K1660" t="s">
        <v>466</v>
      </c>
      <c r="L1660" t="s">
        <v>469</v>
      </c>
      <c r="M1660" t="s">
        <v>477</v>
      </c>
      <c r="N1660" t="s">
        <v>735</v>
      </c>
      <c r="O1660" t="s">
        <v>735</v>
      </c>
      <c r="P1660" s="1">
        <f>HYPERLINK("https://ec.europa.eu/info/funding-tenders/opportunities/portal/screen/opportunities/topic-details/horizon-ju-sns-2022-stream-b-01-02", "HORIZON-JU-SNS-2022-STREAM-B-01-02")</f>
        <v>0</v>
      </c>
      <c r="Q1660" t="s">
        <v>2589</v>
      </c>
    </row>
    <row r="1661" spans="1:17">
      <c r="A1661">
        <v>44726686</v>
      </c>
      <c r="B1661">
        <v>2022</v>
      </c>
      <c r="C1661" t="s">
        <v>33</v>
      </c>
      <c r="D1661" t="s">
        <v>52</v>
      </c>
      <c r="E1661" t="s">
        <v>64</v>
      </c>
      <c r="G1661" t="s">
        <v>288</v>
      </c>
      <c r="H1661" t="s">
        <v>359</v>
      </c>
      <c r="I1661" t="s">
        <v>395</v>
      </c>
      <c r="K1661" t="s">
        <v>466</v>
      </c>
      <c r="L1661" t="s">
        <v>469</v>
      </c>
      <c r="M1661" t="s">
        <v>477</v>
      </c>
      <c r="N1661" t="s">
        <v>735</v>
      </c>
      <c r="O1661" t="s">
        <v>735</v>
      </c>
      <c r="P1661" s="1">
        <f>HYPERLINK("https://ec.europa.eu/info/funding-tenders/opportunities/portal/screen/opportunities/topic-details/horizon-ju-sns-2022-stream-b-01-03", "HORIZON-JU-SNS-2022-STREAM-B-01-03")</f>
        <v>0</v>
      </c>
      <c r="Q1661" t="s">
        <v>2590</v>
      </c>
    </row>
    <row r="1662" spans="1:17">
      <c r="A1662">
        <v>44726697</v>
      </c>
      <c r="B1662">
        <v>2022</v>
      </c>
      <c r="C1662" t="s">
        <v>33</v>
      </c>
      <c r="D1662" t="s">
        <v>52</v>
      </c>
      <c r="E1662" t="s">
        <v>64</v>
      </c>
      <c r="G1662" t="s">
        <v>288</v>
      </c>
      <c r="H1662" t="s">
        <v>359</v>
      </c>
      <c r="I1662" t="s">
        <v>395</v>
      </c>
      <c r="K1662" t="s">
        <v>466</v>
      </c>
      <c r="L1662" t="s">
        <v>469</v>
      </c>
      <c r="M1662" t="s">
        <v>477</v>
      </c>
      <c r="N1662" t="s">
        <v>735</v>
      </c>
      <c r="O1662" t="s">
        <v>735</v>
      </c>
      <c r="P1662" s="1">
        <f>HYPERLINK("https://ec.europa.eu/info/funding-tenders/opportunities/portal/screen/opportunities/topic-details/horizon-ju-sns-2022-stream-b-01-04", "HORIZON-JU-SNS-2022-STREAM-B-01-04")</f>
        <v>0</v>
      </c>
      <c r="Q1662" t="s">
        <v>2591</v>
      </c>
    </row>
    <row r="1663" spans="1:17">
      <c r="A1663">
        <v>44726708</v>
      </c>
      <c r="B1663">
        <v>2022</v>
      </c>
      <c r="C1663" t="s">
        <v>33</v>
      </c>
      <c r="D1663" t="s">
        <v>52</v>
      </c>
      <c r="E1663" t="s">
        <v>64</v>
      </c>
      <c r="G1663" t="s">
        <v>288</v>
      </c>
      <c r="H1663" t="s">
        <v>359</v>
      </c>
      <c r="I1663" t="s">
        <v>395</v>
      </c>
      <c r="K1663" t="s">
        <v>466</v>
      </c>
      <c r="L1663" t="s">
        <v>469</v>
      </c>
      <c r="M1663" t="s">
        <v>477</v>
      </c>
      <c r="N1663" t="s">
        <v>735</v>
      </c>
      <c r="O1663" t="s">
        <v>735</v>
      </c>
      <c r="P1663" s="1">
        <f>HYPERLINK("https://ec.europa.eu/info/funding-tenders/opportunities/portal/screen/opportunities/topic-details/horizon-ju-sns-2022-stream-b-01-05", "HORIZON-JU-SNS-2022-STREAM-B-01-05")</f>
        <v>0</v>
      </c>
      <c r="Q1663" t="s">
        <v>2592</v>
      </c>
    </row>
    <row r="1664" spans="1:17">
      <c r="A1664">
        <v>44726719</v>
      </c>
      <c r="B1664">
        <v>2022</v>
      </c>
      <c r="C1664" t="s">
        <v>33</v>
      </c>
      <c r="D1664" t="s">
        <v>52</v>
      </c>
      <c r="E1664" t="s">
        <v>64</v>
      </c>
      <c r="G1664" t="s">
        <v>288</v>
      </c>
      <c r="H1664" t="s">
        <v>359</v>
      </c>
      <c r="I1664" t="s">
        <v>395</v>
      </c>
      <c r="K1664" t="s">
        <v>466</v>
      </c>
      <c r="L1664" t="s">
        <v>469</v>
      </c>
      <c r="M1664" t="s">
        <v>477</v>
      </c>
      <c r="N1664" t="s">
        <v>735</v>
      </c>
      <c r="O1664" t="s">
        <v>735</v>
      </c>
      <c r="P1664" s="1">
        <f>HYPERLINK("https://ec.europa.eu/info/funding-tenders/opportunities/portal/screen/opportunities/topic-details/horizon-ju-sns-2022-stream-c-01-01", "HORIZON-JU-SNS-2022-STREAM-C-01-01")</f>
        <v>0</v>
      </c>
      <c r="Q1664" t="s">
        <v>2593</v>
      </c>
    </row>
    <row r="1665" spans="1:17">
      <c r="A1665">
        <v>44726741</v>
      </c>
      <c r="B1665">
        <v>2022</v>
      </c>
      <c r="C1665" t="s">
        <v>33</v>
      </c>
      <c r="D1665" t="s">
        <v>52</v>
      </c>
      <c r="E1665" t="s">
        <v>64</v>
      </c>
      <c r="G1665" t="s">
        <v>288</v>
      </c>
      <c r="H1665" t="s">
        <v>359</v>
      </c>
      <c r="I1665" t="s">
        <v>395</v>
      </c>
      <c r="K1665" t="s">
        <v>466</v>
      </c>
      <c r="L1665" t="s">
        <v>469</v>
      </c>
      <c r="M1665" t="s">
        <v>479</v>
      </c>
      <c r="N1665" t="s">
        <v>735</v>
      </c>
      <c r="O1665" t="s">
        <v>735</v>
      </c>
      <c r="P1665" s="1">
        <f>HYPERLINK("https://ec.europa.eu/info/funding-tenders/opportunities/portal/screen/opportunities/topic-details/horizon-ju-sns-2022-stream-csa-01", "HORIZON-JU-SNS-2022-STREAM-CSA-01")</f>
        <v>0</v>
      </c>
      <c r="Q1665" t="s">
        <v>2594</v>
      </c>
    </row>
    <row r="1666" spans="1:17">
      <c r="A1666">
        <v>44726752</v>
      </c>
      <c r="B1666">
        <v>2022</v>
      </c>
      <c r="C1666" t="s">
        <v>33</v>
      </c>
      <c r="D1666" t="s">
        <v>52</v>
      </c>
      <c r="E1666" t="s">
        <v>64</v>
      </c>
      <c r="G1666" t="s">
        <v>288</v>
      </c>
      <c r="H1666" t="s">
        <v>359</v>
      </c>
      <c r="I1666" t="s">
        <v>395</v>
      </c>
      <c r="K1666" t="s">
        <v>466</v>
      </c>
      <c r="L1666" t="s">
        <v>469</v>
      </c>
      <c r="M1666" t="s">
        <v>479</v>
      </c>
      <c r="N1666" t="s">
        <v>735</v>
      </c>
      <c r="O1666" t="s">
        <v>735</v>
      </c>
      <c r="P1666" s="1">
        <f>HYPERLINK("https://ec.europa.eu/info/funding-tenders/opportunities/portal/screen/opportunities/topic-details/horizon-ju-sns-2022-stream-csa-02", "HORIZON-JU-SNS-2022-STREAM-CSA-02")</f>
        <v>0</v>
      </c>
      <c r="Q1666" t="s">
        <v>2595</v>
      </c>
    </row>
    <row r="1667" spans="1:17">
      <c r="A1667">
        <v>44726730</v>
      </c>
      <c r="B1667">
        <v>2022</v>
      </c>
      <c r="C1667" t="s">
        <v>33</v>
      </c>
      <c r="D1667" t="s">
        <v>52</v>
      </c>
      <c r="E1667" t="s">
        <v>64</v>
      </c>
      <c r="G1667" t="s">
        <v>288</v>
      </c>
      <c r="H1667" t="s">
        <v>359</v>
      </c>
      <c r="I1667" t="s">
        <v>395</v>
      </c>
      <c r="K1667" t="s">
        <v>466</v>
      </c>
      <c r="L1667" t="s">
        <v>469</v>
      </c>
      <c r="M1667" t="s">
        <v>478</v>
      </c>
      <c r="N1667" t="s">
        <v>735</v>
      </c>
      <c r="O1667" t="s">
        <v>735</v>
      </c>
      <c r="P1667" s="1">
        <f>HYPERLINK("https://ec.europa.eu/info/funding-tenders/opportunities/portal/screen/opportunities/topic-details/horizon-ju-sns-2022-stream-d-01-01", "HORIZON-JU-SNS-2022-STREAM-D-01-01")</f>
        <v>0</v>
      </c>
      <c r="Q1667" t="s">
        <v>2596</v>
      </c>
    </row>
    <row r="1668" spans="1:17">
      <c r="A1668">
        <v>45734310</v>
      </c>
      <c r="B1668">
        <v>2023</v>
      </c>
      <c r="C1668" t="s">
        <v>33</v>
      </c>
      <c r="D1668" t="s">
        <v>52</v>
      </c>
      <c r="E1668" t="s">
        <v>64</v>
      </c>
      <c r="G1668" t="s">
        <v>289</v>
      </c>
      <c r="H1668" t="s">
        <v>274</v>
      </c>
      <c r="I1668" t="s">
        <v>446</v>
      </c>
      <c r="K1668" t="s">
        <v>466</v>
      </c>
      <c r="L1668" t="s">
        <v>469</v>
      </c>
      <c r="M1668" t="s">
        <v>477</v>
      </c>
      <c r="N1668" t="s">
        <v>736</v>
      </c>
      <c r="O1668" t="s">
        <v>736</v>
      </c>
      <c r="P1668" s="1">
        <f>HYPERLINK("https://ec.europa.eu/info/funding-tenders/opportunities/portal/screen/opportunities/topic-details/horizon-ju-sns-2023-stream-b-01-01", "HORIZON-JU-SNS-2023-STREAM-B-01-01")</f>
        <v>0</v>
      </c>
      <c r="Q1668" t="s">
        <v>2588</v>
      </c>
    </row>
    <row r="1669" spans="1:17">
      <c r="A1669">
        <v>45734322</v>
      </c>
      <c r="B1669">
        <v>2023</v>
      </c>
      <c r="C1669" t="s">
        <v>33</v>
      </c>
      <c r="D1669" t="s">
        <v>52</v>
      </c>
      <c r="E1669" t="s">
        <v>64</v>
      </c>
      <c r="G1669" t="s">
        <v>289</v>
      </c>
      <c r="H1669" t="s">
        <v>274</v>
      </c>
      <c r="I1669" t="s">
        <v>446</v>
      </c>
      <c r="K1669" t="s">
        <v>466</v>
      </c>
      <c r="L1669" t="s">
        <v>469</v>
      </c>
      <c r="M1669" t="s">
        <v>477</v>
      </c>
      <c r="N1669" t="s">
        <v>736</v>
      </c>
      <c r="O1669" t="s">
        <v>736</v>
      </c>
      <c r="P1669" s="1">
        <f>HYPERLINK("https://ec.europa.eu/info/funding-tenders/opportunities/portal/screen/opportunities/topic-details/horizon-ju-sns-2023-stream-b-01-02", "HORIZON-JU-SNS-2023-STREAM-B-01-02")</f>
        <v>0</v>
      </c>
      <c r="Q1669" t="s">
        <v>2589</v>
      </c>
    </row>
    <row r="1670" spans="1:17">
      <c r="A1670">
        <v>45734394</v>
      </c>
      <c r="B1670">
        <v>2023</v>
      </c>
      <c r="C1670" t="s">
        <v>33</v>
      </c>
      <c r="D1670" t="s">
        <v>52</v>
      </c>
      <c r="E1670" t="s">
        <v>64</v>
      </c>
      <c r="G1670" t="s">
        <v>289</v>
      </c>
      <c r="H1670" t="s">
        <v>274</v>
      </c>
      <c r="I1670" t="s">
        <v>446</v>
      </c>
      <c r="K1670" t="s">
        <v>466</v>
      </c>
      <c r="L1670" t="s">
        <v>469</v>
      </c>
      <c r="M1670" t="s">
        <v>477</v>
      </c>
      <c r="N1670" t="s">
        <v>736</v>
      </c>
      <c r="O1670" t="s">
        <v>736</v>
      </c>
      <c r="P1670" s="1">
        <f>HYPERLINK("https://ec.europa.eu/info/funding-tenders/opportunities/portal/screen/opportunities/topic-details/horizon-ju-sns-2023-stream-b-01-03", "HORIZON-JU-SNS-2023-STREAM-B-01-03")</f>
        <v>0</v>
      </c>
      <c r="Q1670" t="s">
        <v>2590</v>
      </c>
    </row>
    <row r="1671" spans="1:17">
      <c r="A1671">
        <v>45734334</v>
      </c>
      <c r="B1671">
        <v>2023</v>
      </c>
      <c r="C1671" t="s">
        <v>33</v>
      </c>
      <c r="D1671" t="s">
        <v>52</v>
      </c>
      <c r="E1671" t="s">
        <v>64</v>
      </c>
      <c r="G1671" t="s">
        <v>289</v>
      </c>
      <c r="H1671" t="s">
        <v>274</v>
      </c>
      <c r="I1671" t="s">
        <v>446</v>
      </c>
      <c r="K1671" t="s">
        <v>466</v>
      </c>
      <c r="L1671" t="s">
        <v>469</v>
      </c>
      <c r="M1671" t="s">
        <v>477</v>
      </c>
      <c r="N1671" t="s">
        <v>736</v>
      </c>
      <c r="O1671" t="s">
        <v>736</v>
      </c>
      <c r="P1671" s="1">
        <f>HYPERLINK("https://ec.europa.eu/info/funding-tenders/opportunities/portal/screen/opportunities/topic-details/horizon-ju-sns-2023-stream-b-01-04", "HORIZON-JU-SNS-2023-STREAM-B-01-04")</f>
        <v>0</v>
      </c>
      <c r="Q1671" t="s">
        <v>2597</v>
      </c>
    </row>
    <row r="1672" spans="1:17">
      <c r="A1672">
        <v>45734298</v>
      </c>
      <c r="B1672">
        <v>2023</v>
      </c>
      <c r="C1672" t="s">
        <v>33</v>
      </c>
      <c r="D1672" t="s">
        <v>52</v>
      </c>
      <c r="E1672" t="s">
        <v>64</v>
      </c>
      <c r="G1672" t="s">
        <v>289</v>
      </c>
      <c r="H1672" t="s">
        <v>274</v>
      </c>
      <c r="I1672" t="s">
        <v>446</v>
      </c>
      <c r="K1672" t="s">
        <v>466</v>
      </c>
      <c r="L1672" t="s">
        <v>469</v>
      </c>
      <c r="M1672" t="s">
        <v>477</v>
      </c>
      <c r="N1672" t="s">
        <v>736</v>
      </c>
      <c r="O1672" t="s">
        <v>736</v>
      </c>
      <c r="P1672" s="1">
        <f>HYPERLINK("https://ec.europa.eu/info/funding-tenders/opportunities/portal/screen/opportunities/topic-details/horizon-ju-sns-2023-stream-b-01-05", "HORIZON-JU-SNS-2023-STREAM-B-01-05")</f>
        <v>0</v>
      </c>
      <c r="Q1672" t="s">
        <v>2598</v>
      </c>
    </row>
    <row r="1673" spans="1:17">
      <c r="A1673">
        <v>45734346</v>
      </c>
      <c r="B1673">
        <v>2023</v>
      </c>
      <c r="C1673" t="s">
        <v>33</v>
      </c>
      <c r="D1673" t="s">
        <v>52</v>
      </c>
      <c r="E1673" t="s">
        <v>64</v>
      </c>
      <c r="G1673" t="s">
        <v>289</v>
      </c>
      <c r="H1673" t="s">
        <v>274</v>
      </c>
      <c r="I1673" t="s">
        <v>446</v>
      </c>
      <c r="K1673" t="s">
        <v>466</v>
      </c>
      <c r="L1673" t="s">
        <v>469</v>
      </c>
      <c r="M1673" t="s">
        <v>477</v>
      </c>
      <c r="N1673" t="s">
        <v>736</v>
      </c>
      <c r="O1673" t="s">
        <v>736</v>
      </c>
      <c r="P1673" s="1">
        <f>HYPERLINK("https://ec.europa.eu/info/funding-tenders/opportunities/portal/screen/opportunities/topic-details/horizon-ju-sns-2023-stream-b-01-06", "HORIZON-JU-SNS-2023-STREAM-B-01-06")</f>
        <v>0</v>
      </c>
      <c r="Q1673" t="s">
        <v>2599</v>
      </c>
    </row>
    <row r="1674" spans="1:17">
      <c r="A1674">
        <v>45734358</v>
      </c>
      <c r="B1674">
        <v>2023</v>
      </c>
      <c r="C1674" t="s">
        <v>33</v>
      </c>
      <c r="D1674" t="s">
        <v>52</v>
      </c>
      <c r="E1674" t="s">
        <v>64</v>
      </c>
      <c r="G1674" t="s">
        <v>289</v>
      </c>
      <c r="H1674" t="s">
        <v>274</v>
      </c>
      <c r="I1674" t="s">
        <v>446</v>
      </c>
      <c r="K1674" t="s">
        <v>466</v>
      </c>
      <c r="L1674" t="s">
        <v>469</v>
      </c>
      <c r="M1674" t="s">
        <v>477</v>
      </c>
      <c r="N1674" t="s">
        <v>736</v>
      </c>
      <c r="O1674" t="s">
        <v>736</v>
      </c>
      <c r="P1674" s="1">
        <f>HYPERLINK("https://ec.europa.eu/info/funding-tenders/opportunities/portal/screen/opportunities/topic-details/horizon-ju-sns-2023-stream-c-01-01", "HORIZON-JU-SNS-2023-STREAM-C-01-01")</f>
        <v>0</v>
      </c>
      <c r="Q1674" t="s">
        <v>2600</v>
      </c>
    </row>
    <row r="1675" spans="1:17">
      <c r="A1675">
        <v>45734382</v>
      </c>
      <c r="B1675">
        <v>2023</v>
      </c>
      <c r="C1675" t="s">
        <v>33</v>
      </c>
      <c r="D1675" t="s">
        <v>52</v>
      </c>
      <c r="E1675" t="s">
        <v>64</v>
      </c>
      <c r="G1675" t="s">
        <v>289</v>
      </c>
      <c r="H1675" t="s">
        <v>274</v>
      </c>
      <c r="I1675" t="s">
        <v>446</v>
      </c>
      <c r="K1675" t="s">
        <v>466</v>
      </c>
      <c r="L1675" t="s">
        <v>469</v>
      </c>
      <c r="M1675" t="s">
        <v>479</v>
      </c>
      <c r="N1675" t="s">
        <v>736</v>
      </c>
      <c r="O1675" t="s">
        <v>736</v>
      </c>
      <c r="P1675" s="1">
        <f>HYPERLINK("https://ec.europa.eu/info/funding-tenders/opportunities/portal/screen/opportunities/topic-details/horizon-ju-sns-2023-stream-csa-01", "HORIZON-JU-SNS-2023-STREAM-CSA-01")</f>
        <v>0</v>
      </c>
      <c r="Q1675" t="s">
        <v>2601</v>
      </c>
    </row>
    <row r="1676" spans="1:17">
      <c r="A1676">
        <v>45734370</v>
      </c>
      <c r="B1676">
        <v>2023</v>
      </c>
      <c r="C1676" t="s">
        <v>33</v>
      </c>
      <c r="D1676" t="s">
        <v>52</v>
      </c>
      <c r="E1676" t="s">
        <v>64</v>
      </c>
      <c r="G1676" t="s">
        <v>289</v>
      </c>
      <c r="H1676" t="s">
        <v>274</v>
      </c>
      <c r="I1676" t="s">
        <v>446</v>
      </c>
      <c r="K1676" t="s">
        <v>466</v>
      </c>
      <c r="L1676" t="s">
        <v>469</v>
      </c>
      <c r="M1676" t="s">
        <v>478</v>
      </c>
      <c r="N1676" t="s">
        <v>736</v>
      </c>
      <c r="O1676" t="s">
        <v>736</v>
      </c>
      <c r="P1676" s="1">
        <f>HYPERLINK("https://ec.europa.eu/info/funding-tenders/opportunities/portal/screen/opportunities/topic-details/horizon-ju-sns-2023-stream-d-01-01", "HORIZON-JU-SNS-2023-STREAM-D-01-01")</f>
        <v>0</v>
      </c>
      <c r="Q1676" t="s">
        <v>2602</v>
      </c>
    </row>
    <row r="1677" spans="1:17">
      <c r="A1677">
        <v>46685038</v>
      </c>
      <c r="B1677">
        <v>2024</v>
      </c>
      <c r="C1677" t="s">
        <v>33</v>
      </c>
      <c r="D1677" t="s">
        <v>52</v>
      </c>
      <c r="E1677" t="s">
        <v>64</v>
      </c>
      <c r="G1677" t="s">
        <v>290</v>
      </c>
      <c r="H1677" t="s">
        <v>287</v>
      </c>
      <c r="I1677" t="s">
        <v>249</v>
      </c>
      <c r="K1677" t="s">
        <v>466</v>
      </c>
      <c r="L1677" t="s">
        <v>469</v>
      </c>
      <c r="M1677" t="s">
        <v>477</v>
      </c>
      <c r="N1677" t="s">
        <v>737</v>
      </c>
      <c r="O1677" t="s">
        <v>737</v>
      </c>
      <c r="P1677" s="1">
        <f>HYPERLINK("https://ec.europa.eu/info/funding-tenders/opportunities/portal/screen/opportunities/topic-details/horizon-ju-sns-2024-stream-b-01-01", "HORIZON-JU-SNS-2024-STREAM-B-01-01")</f>
        <v>0</v>
      </c>
      <c r="Q1677" t="s">
        <v>2603</v>
      </c>
    </row>
    <row r="1678" spans="1:17">
      <c r="A1678">
        <v>46685008</v>
      </c>
      <c r="B1678">
        <v>2024</v>
      </c>
      <c r="C1678" t="s">
        <v>33</v>
      </c>
      <c r="D1678" t="s">
        <v>52</v>
      </c>
      <c r="E1678" t="s">
        <v>64</v>
      </c>
      <c r="G1678" t="s">
        <v>290</v>
      </c>
      <c r="H1678" t="s">
        <v>287</v>
      </c>
      <c r="I1678" t="s">
        <v>249</v>
      </c>
      <c r="K1678" t="s">
        <v>466</v>
      </c>
      <c r="L1678" t="s">
        <v>469</v>
      </c>
      <c r="M1678" t="s">
        <v>477</v>
      </c>
      <c r="N1678" t="s">
        <v>737</v>
      </c>
      <c r="O1678" t="s">
        <v>737</v>
      </c>
      <c r="P1678" s="1">
        <f>HYPERLINK("https://ec.europa.eu/info/funding-tenders/opportunities/portal/screen/opportunities/topic-details/horizon-ju-sns-2024-stream-b-01-02", "HORIZON-JU-SNS-2024-STREAM-B-01-02")</f>
        <v>0</v>
      </c>
      <c r="Q1678" t="s">
        <v>2604</v>
      </c>
    </row>
    <row r="1679" spans="1:17">
      <c r="A1679">
        <v>46685064</v>
      </c>
      <c r="B1679">
        <v>2024</v>
      </c>
      <c r="C1679" t="s">
        <v>33</v>
      </c>
      <c r="D1679" t="s">
        <v>52</v>
      </c>
      <c r="E1679" t="s">
        <v>64</v>
      </c>
      <c r="G1679" t="s">
        <v>290</v>
      </c>
      <c r="H1679" t="s">
        <v>287</v>
      </c>
      <c r="I1679" t="s">
        <v>249</v>
      </c>
      <c r="K1679" t="s">
        <v>466</v>
      </c>
      <c r="L1679" t="s">
        <v>469</v>
      </c>
      <c r="M1679" t="s">
        <v>477</v>
      </c>
      <c r="N1679" t="s">
        <v>737</v>
      </c>
      <c r="O1679" t="s">
        <v>737</v>
      </c>
      <c r="P1679" s="1">
        <f>HYPERLINK("https://ec.europa.eu/info/funding-tenders/opportunities/portal/screen/opportunities/topic-details/horizon-ju-sns-2024-stream-b-01-03", "HORIZON-JU-SNS-2024-STREAM-B-01-03")</f>
        <v>0</v>
      </c>
      <c r="Q1679" t="s">
        <v>2605</v>
      </c>
    </row>
    <row r="1680" spans="1:17">
      <c r="A1680">
        <v>46685090</v>
      </c>
      <c r="B1680">
        <v>2024</v>
      </c>
      <c r="C1680" t="s">
        <v>33</v>
      </c>
      <c r="D1680" t="s">
        <v>52</v>
      </c>
      <c r="E1680" t="s">
        <v>64</v>
      </c>
      <c r="G1680" t="s">
        <v>290</v>
      </c>
      <c r="H1680" t="s">
        <v>287</v>
      </c>
      <c r="I1680" t="s">
        <v>249</v>
      </c>
      <c r="K1680" t="s">
        <v>466</v>
      </c>
      <c r="L1680" t="s">
        <v>469</v>
      </c>
      <c r="M1680" t="s">
        <v>477</v>
      </c>
      <c r="N1680" t="s">
        <v>737</v>
      </c>
      <c r="O1680" t="s">
        <v>737</v>
      </c>
      <c r="P1680" s="1">
        <f>HYPERLINK("https://ec.europa.eu/info/funding-tenders/opportunities/portal/screen/opportunities/topic-details/horizon-ju-sns-2024-stream-b-01-04", "HORIZON-JU-SNS-2024-STREAM-B-01-04")</f>
        <v>0</v>
      </c>
      <c r="Q1680" t="s">
        <v>2606</v>
      </c>
    </row>
    <row r="1681" spans="1:17">
      <c r="A1681">
        <v>46685116</v>
      </c>
      <c r="B1681">
        <v>2024</v>
      </c>
      <c r="C1681" t="s">
        <v>33</v>
      </c>
      <c r="D1681" t="s">
        <v>52</v>
      </c>
      <c r="E1681" t="s">
        <v>64</v>
      </c>
      <c r="G1681" t="s">
        <v>290</v>
      </c>
      <c r="H1681" t="s">
        <v>287</v>
      </c>
      <c r="I1681" t="s">
        <v>249</v>
      </c>
      <c r="K1681" t="s">
        <v>466</v>
      </c>
      <c r="L1681" t="s">
        <v>469</v>
      </c>
      <c r="M1681" t="s">
        <v>477</v>
      </c>
      <c r="N1681" t="s">
        <v>737</v>
      </c>
      <c r="O1681" t="s">
        <v>737</v>
      </c>
      <c r="P1681" s="1">
        <f>HYPERLINK("https://ec.europa.eu/info/funding-tenders/opportunities/portal/screen/opportunities/topic-details/horizon-ju-sns-2024-stream-b-01-05", "HORIZON-JU-SNS-2024-STREAM-B-01-05")</f>
        <v>0</v>
      </c>
      <c r="Q1681" t="s">
        <v>2607</v>
      </c>
    </row>
    <row r="1682" spans="1:17">
      <c r="A1682">
        <v>46685142</v>
      </c>
      <c r="B1682">
        <v>2024</v>
      </c>
      <c r="C1682" t="s">
        <v>33</v>
      </c>
      <c r="D1682" t="s">
        <v>52</v>
      </c>
      <c r="E1682" t="s">
        <v>64</v>
      </c>
      <c r="G1682" t="s">
        <v>290</v>
      </c>
      <c r="H1682" t="s">
        <v>287</v>
      </c>
      <c r="I1682" t="s">
        <v>249</v>
      </c>
      <c r="K1682" t="s">
        <v>466</v>
      </c>
      <c r="L1682" t="s">
        <v>469</v>
      </c>
      <c r="M1682" t="s">
        <v>477</v>
      </c>
      <c r="N1682" t="s">
        <v>737</v>
      </c>
      <c r="O1682" t="s">
        <v>737</v>
      </c>
      <c r="P1682" s="1">
        <f>HYPERLINK("https://ec.europa.eu/info/funding-tenders/opportunities/portal/screen/opportunities/topic-details/horizon-ju-sns-2024-stream-b-01-06", "HORIZON-JU-SNS-2024-STREAM-B-01-06")</f>
        <v>0</v>
      </c>
      <c r="Q1682" t="s">
        <v>2608</v>
      </c>
    </row>
    <row r="1683" spans="1:17">
      <c r="A1683">
        <v>46685168</v>
      </c>
      <c r="B1683">
        <v>2024</v>
      </c>
      <c r="C1683" t="s">
        <v>33</v>
      </c>
      <c r="D1683" t="s">
        <v>52</v>
      </c>
      <c r="E1683" t="s">
        <v>64</v>
      </c>
      <c r="G1683" t="s">
        <v>290</v>
      </c>
      <c r="H1683" t="s">
        <v>287</v>
      </c>
      <c r="I1683" t="s">
        <v>249</v>
      </c>
      <c r="K1683" t="s">
        <v>466</v>
      </c>
      <c r="L1683" t="s">
        <v>469</v>
      </c>
      <c r="M1683" t="s">
        <v>477</v>
      </c>
      <c r="N1683" t="s">
        <v>737</v>
      </c>
      <c r="O1683" t="s">
        <v>737</v>
      </c>
      <c r="P1683" s="1">
        <f>HYPERLINK("https://ec.europa.eu/info/funding-tenders/opportunities/portal/screen/opportunities/topic-details/horizon-ju-sns-2024-stream-b-01-07", "HORIZON-JU-SNS-2024-STREAM-B-01-07")</f>
        <v>0</v>
      </c>
      <c r="Q1683" t="s">
        <v>2609</v>
      </c>
    </row>
    <row r="1684" spans="1:17">
      <c r="A1684">
        <v>46685194</v>
      </c>
      <c r="B1684">
        <v>2024</v>
      </c>
      <c r="C1684" t="s">
        <v>33</v>
      </c>
      <c r="D1684" t="s">
        <v>52</v>
      </c>
      <c r="E1684" t="s">
        <v>64</v>
      </c>
      <c r="G1684" t="s">
        <v>290</v>
      </c>
      <c r="H1684" t="s">
        <v>287</v>
      </c>
      <c r="I1684" t="s">
        <v>249</v>
      </c>
      <c r="K1684" t="s">
        <v>466</v>
      </c>
      <c r="L1684" t="s">
        <v>469</v>
      </c>
      <c r="M1684" t="s">
        <v>477</v>
      </c>
      <c r="N1684" t="s">
        <v>737</v>
      </c>
      <c r="O1684" t="s">
        <v>737</v>
      </c>
      <c r="P1684" s="1">
        <f>HYPERLINK("https://ec.europa.eu/info/funding-tenders/opportunities/portal/screen/opportunities/topic-details/horizon-ju-sns-2024-stream-b-01-08", "HORIZON-JU-SNS-2024-STREAM-B-01-08")</f>
        <v>0</v>
      </c>
      <c r="Q1684" t="s">
        <v>2610</v>
      </c>
    </row>
    <row r="1685" spans="1:17">
      <c r="A1685">
        <v>46685220</v>
      </c>
      <c r="B1685">
        <v>2024</v>
      </c>
      <c r="C1685" t="s">
        <v>33</v>
      </c>
      <c r="D1685" t="s">
        <v>52</v>
      </c>
      <c r="E1685" t="s">
        <v>64</v>
      </c>
      <c r="G1685" t="s">
        <v>290</v>
      </c>
      <c r="H1685" t="s">
        <v>287</v>
      </c>
      <c r="I1685" t="s">
        <v>249</v>
      </c>
      <c r="K1685" t="s">
        <v>466</v>
      </c>
      <c r="L1685" t="s">
        <v>469</v>
      </c>
      <c r="M1685" t="s">
        <v>477</v>
      </c>
      <c r="N1685" t="s">
        <v>737</v>
      </c>
      <c r="O1685" t="s">
        <v>737</v>
      </c>
      <c r="P1685" s="1">
        <f>HYPERLINK("https://ec.europa.eu/info/funding-tenders/opportunities/portal/screen/opportunities/topic-details/horizon-ju-sns-2024-stream-c-01-01", "HORIZON-JU-SNS-2024-STREAM-C-01-01")</f>
        <v>0</v>
      </c>
      <c r="Q1685" t="s">
        <v>2611</v>
      </c>
    </row>
    <row r="1686" spans="1:17">
      <c r="A1686">
        <v>46685272</v>
      </c>
      <c r="B1686">
        <v>2024</v>
      </c>
      <c r="C1686" t="s">
        <v>33</v>
      </c>
      <c r="D1686" t="s">
        <v>52</v>
      </c>
      <c r="E1686" t="s">
        <v>64</v>
      </c>
      <c r="G1686" t="s">
        <v>290</v>
      </c>
      <c r="H1686" t="s">
        <v>287</v>
      </c>
      <c r="I1686" t="s">
        <v>249</v>
      </c>
      <c r="K1686" t="s">
        <v>466</v>
      </c>
      <c r="L1686" t="s">
        <v>469</v>
      </c>
      <c r="M1686" t="s">
        <v>479</v>
      </c>
      <c r="N1686" t="s">
        <v>737</v>
      </c>
      <c r="O1686" t="s">
        <v>737</v>
      </c>
      <c r="P1686" s="1">
        <f>HYPERLINK("https://ec.europa.eu/info/funding-tenders/opportunities/portal/screen/opportunities/topic-details/horizon-ju-sns-2024-stream-csa-01", "HORIZON-JU-SNS-2024-STREAM-CSA-01")</f>
        <v>0</v>
      </c>
      <c r="Q1686" t="s">
        <v>2612</v>
      </c>
    </row>
    <row r="1687" spans="1:17">
      <c r="A1687">
        <v>46685246</v>
      </c>
      <c r="B1687">
        <v>2024</v>
      </c>
      <c r="C1687" t="s">
        <v>33</v>
      </c>
      <c r="D1687" t="s">
        <v>52</v>
      </c>
      <c r="E1687" t="s">
        <v>64</v>
      </c>
      <c r="G1687" t="s">
        <v>290</v>
      </c>
      <c r="H1687" t="s">
        <v>287</v>
      </c>
      <c r="I1687" t="s">
        <v>249</v>
      </c>
      <c r="K1687" t="s">
        <v>466</v>
      </c>
      <c r="L1687" t="s">
        <v>469</v>
      </c>
      <c r="M1687" t="s">
        <v>478</v>
      </c>
      <c r="N1687" t="s">
        <v>737</v>
      </c>
      <c r="O1687" t="s">
        <v>737</v>
      </c>
      <c r="P1687" s="1">
        <f>HYPERLINK("https://ec.europa.eu/info/funding-tenders/opportunities/portal/screen/opportunities/topic-details/horizon-ju-sns-2024-stream-d-01-01", "HORIZON-JU-SNS-2024-STREAM-D-01-01")</f>
        <v>0</v>
      </c>
      <c r="Q1687" t="s">
        <v>2596</v>
      </c>
    </row>
    <row r="1688" spans="1:17">
      <c r="A1688">
        <v>44677637</v>
      </c>
      <c r="B1688">
        <v>2021</v>
      </c>
      <c r="C1688" t="s">
        <v>34</v>
      </c>
      <c r="D1688" t="s">
        <v>53</v>
      </c>
      <c r="E1688" t="s">
        <v>64</v>
      </c>
      <c r="F1688" t="s">
        <v>206</v>
      </c>
      <c r="G1688" t="s">
        <v>250</v>
      </c>
      <c r="H1688" t="s">
        <v>359</v>
      </c>
      <c r="I1688" t="s">
        <v>447</v>
      </c>
      <c r="K1688" t="s">
        <v>466</v>
      </c>
      <c r="L1688" t="s">
        <v>469</v>
      </c>
      <c r="M1688" t="s">
        <v>478</v>
      </c>
      <c r="N1688" t="s">
        <v>738</v>
      </c>
      <c r="O1688" t="s">
        <v>738</v>
      </c>
      <c r="P1688" s="1">
        <f>HYPERLINK("https://ec.europa.eu/info/funding-tenders/opportunities/portal/screen/opportunities/topic-details/horizon-kdt-ju-1-ia-focus-topic-1", "HORIZON-KDT-JU-1-IA-Focus-Topic-1")</f>
        <v>0</v>
      </c>
      <c r="Q1688" t="s">
        <v>2613</v>
      </c>
    </row>
    <row r="1689" spans="1:17">
      <c r="A1689">
        <v>44677614</v>
      </c>
      <c r="B1689">
        <v>2021</v>
      </c>
      <c r="C1689" t="s">
        <v>34</v>
      </c>
      <c r="D1689" t="s">
        <v>53</v>
      </c>
      <c r="E1689" t="s">
        <v>64</v>
      </c>
      <c r="F1689" t="s">
        <v>206</v>
      </c>
      <c r="G1689" t="s">
        <v>250</v>
      </c>
      <c r="H1689" t="s">
        <v>359</v>
      </c>
      <c r="I1689" t="s">
        <v>447</v>
      </c>
      <c r="K1689" t="s">
        <v>466</v>
      </c>
      <c r="L1689" t="s">
        <v>469</v>
      </c>
      <c r="M1689" t="s">
        <v>478</v>
      </c>
      <c r="N1689" t="s">
        <v>738</v>
      </c>
      <c r="O1689" t="s">
        <v>738</v>
      </c>
      <c r="P1689" s="1">
        <f>HYPERLINK("https://ec.europa.eu/info/funding-tenders/opportunities/portal/screen/opportunities/topic-details/horizon-kdt-ju-2021-1-ia", "HORIZON-KDT-JU-2021-1-IA")</f>
        <v>0</v>
      </c>
      <c r="Q1689" t="s">
        <v>738</v>
      </c>
    </row>
    <row r="1690" spans="1:17">
      <c r="A1690">
        <v>44677669</v>
      </c>
      <c r="B1690">
        <v>2021</v>
      </c>
      <c r="C1690" t="s">
        <v>34</v>
      </c>
      <c r="D1690" t="s">
        <v>53</v>
      </c>
      <c r="E1690" t="s">
        <v>64</v>
      </c>
      <c r="F1690" t="s">
        <v>207</v>
      </c>
      <c r="G1690" t="s">
        <v>250</v>
      </c>
      <c r="H1690" t="s">
        <v>359</v>
      </c>
      <c r="I1690" t="s">
        <v>447</v>
      </c>
      <c r="K1690" t="s">
        <v>466</v>
      </c>
      <c r="L1690" t="s">
        <v>469</v>
      </c>
      <c r="M1690" t="s">
        <v>477</v>
      </c>
      <c r="N1690" t="s">
        <v>739</v>
      </c>
      <c r="O1690" t="s">
        <v>739</v>
      </c>
      <c r="P1690" s="1">
        <f>HYPERLINK("https://ec.europa.eu/info/funding-tenders/opportunities/portal/screen/opportunities/topic-details/horizon-kdt-ju-2021-2-ria", "HORIZON-KDT-JU-2021-2-RIA")</f>
        <v>0</v>
      </c>
      <c r="Q1690" t="s">
        <v>739</v>
      </c>
    </row>
    <row r="1691" spans="1:17">
      <c r="A1691">
        <v>44677702</v>
      </c>
      <c r="B1691">
        <v>2021</v>
      </c>
      <c r="C1691" t="s">
        <v>34</v>
      </c>
      <c r="D1691" t="s">
        <v>53</v>
      </c>
      <c r="E1691" t="s">
        <v>64</v>
      </c>
      <c r="F1691" t="s">
        <v>207</v>
      </c>
      <c r="G1691" t="s">
        <v>250</v>
      </c>
      <c r="H1691" t="s">
        <v>359</v>
      </c>
      <c r="I1691" t="s">
        <v>447</v>
      </c>
      <c r="K1691" t="s">
        <v>466</v>
      </c>
      <c r="L1691" t="s">
        <v>469</v>
      </c>
      <c r="M1691" t="s">
        <v>477</v>
      </c>
      <c r="N1691" t="s">
        <v>739</v>
      </c>
      <c r="O1691" t="s">
        <v>739</v>
      </c>
      <c r="P1691" s="1">
        <f>HYPERLINK("https://ec.europa.eu/info/funding-tenders/opportunities/portal/screen/opportunities/topic-details/horizon-kdt-ju-2021-2-ria-focus-topic-1", "HORIZON-KDT-JU-2021-2-RIA-Focus-Topic-1")</f>
        <v>0</v>
      </c>
      <c r="Q1691" t="s">
        <v>2614</v>
      </c>
    </row>
    <row r="1692" spans="1:17">
      <c r="A1692">
        <v>44677730</v>
      </c>
      <c r="B1692">
        <v>2021</v>
      </c>
      <c r="C1692" t="s">
        <v>34</v>
      </c>
      <c r="D1692" t="s">
        <v>53</v>
      </c>
      <c r="E1692" t="s">
        <v>64</v>
      </c>
      <c r="F1692" t="s">
        <v>218</v>
      </c>
      <c r="G1692" t="s">
        <v>250</v>
      </c>
      <c r="H1692" t="s">
        <v>359</v>
      </c>
      <c r="I1692" t="s">
        <v>447</v>
      </c>
      <c r="K1692" t="s">
        <v>466</v>
      </c>
      <c r="L1692" t="s">
        <v>469</v>
      </c>
      <c r="M1692" t="s">
        <v>479</v>
      </c>
      <c r="N1692" t="s">
        <v>740</v>
      </c>
      <c r="O1692" t="s">
        <v>937</v>
      </c>
      <c r="P1692" s="1">
        <f>HYPERLINK("https://ec.europa.eu/info/funding-tenders/opportunities/portal/screen/opportunities/topic-details/horizon-kdt-ju-2021-3-csa-", "HORIZON-KDT-JU-2021-3-CSA-")</f>
        <v>0</v>
      </c>
      <c r="Q1692" t="s">
        <v>937</v>
      </c>
    </row>
    <row r="1693" spans="1:17">
      <c r="A1693">
        <v>45019147</v>
      </c>
      <c r="B1693">
        <v>2022</v>
      </c>
      <c r="C1693" t="s">
        <v>34</v>
      </c>
      <c r="D1693" t="s">
        <v>53</v>
      </c>
      <c r="E1693" t="s">
        <v>64</v>
      </c>
      <c r="F1693" t="s">
        <v>206</v>
      </c>
      <c r="G1693" t="s">
        <v>291</v>
      </c>
      <c r="H1693" t="s">
        <v>291</v>
      </c>
      <c r="I1693" t="s">
        <v>368</v>
      </c>
      <c r="K1693" t="s">
        <v>466</v>
      </c>
      <c r="L1693" t="s">
        <v>469</v>
      </c>
      <c r="M1693" t="s">
        <v>478</v>
      </c>
      <c r="N1693" t="s">
        <v>741</v>
      </c>
      <c r="O1693" t="s">
        <v>741</v>
      </c>
      <c r="P1693" s="1">
        <f>HYPERLINK("https://ec.europa.eu/info/funding-tenders/opportunities/portal/screen/opportunities/topic-details/horizon-kdt-ju-2022-1-ia-focus-topic-2", "HORIZON-KDT-JU-2022-1-IA-Focus-Topic-2")</f>
        <v>0</v>
      </c>
      <c r="Q1693" t="s">
        <v>2615</v>
      </c>
    </row>
    <row r="1694" spans="1:17">
      <c r="A1694">
        <v>45019152</v>
      </c>
      <c r="B1694">
        <v>2022</v>
      </c>
      <c r="C1694" t="s">
        <v>34</v>
      </c>
      <c r="D1694" t="s">
        <v>53</v>
      </c>
      <c r="E1694" t="s">
        <v>64</v>
      </c>
      <c r="F1694" t="s">
        <v>206</v>
      </c>
      <c r="G1694" t="s">
        <v>291</v>
      </c>
      <c r="H1694" t="s">
        <v>291</v>
      </c>
      <c r="I1694" t="s">
        <v>368</v>
      </c>
      <c r="K1694" t="s">
        <v>466</v>
      </c>
      <c r="L1694" t="s">
        <v>469</v>
      </c>
      <c r="M1694" t="s">
        <v>478</v>
      </c>
      <c r="N1694" t="s">
        <v>741</v>
      </c>
      <c r="O1694" t="s">
        <v>741</v>
      </c>
      <c r="P1694" s="1">
        <f>HYPERLINK("https://ec.europa.eu/info/funding-tenders/opportunities/portal/screen/opportunities/topic-details/horizon-kdt-ju-2022-1-ia-focus-topic-3", "HORIZON-KDT-JU-2022-1-IA-Focus-Topic-3")</f>
        <v>0</v>
      </c>
      <c r="Q1694" t="s">
        <v>2616</v>
      </c>
    </row>
    <row r="1695" spans="1:17">
      <c r="A1695">
        <v>45019157</v>
      </c>
      <c r="B1695">
        <v>2022</v>
      </c>
      <c r="C1695" t="s">
        <v>34</v>
      </c>
      <c r="D1695" t="s">
        <v>53</v>
      </c>
      <c r="E1695" t="s">
        <v>64</v>
      </c>
      <c r="F1695" t="s">
        <v>206</v>
      </c>
      <c r="G1695" t="s">
        <v>291</v>
      </c>
      <c r="H1695" t="s">
        <v>291</v>
      </c>
      <c r="I1695" t="s">
        <v>368</v>
      </c>
      <c r="K1695" t="s">
        <v>466</v>
      </c>
      <c r="L1695" t="s">
        <v>469</v>
      </c>
      <c r="M1695" t="s">
        <v>478</v>
      </c>
      <c r="N1695" t="s">
        <v>741</v>
      </c>
      <c r="O1695" t="s">
        <v>741</v>
      </c>
      <c r="P1695" s="1">
        <f>HYPERLINK("https://ec.europa.eu/info/funding-tenders/opportunities/portal/screen/opportunities/topic-details/horizon-kdt-ju-2022-1-ia-topic-1", "HORIZON-KDT-JU-2022-1-IA-Topic-1")</f>
        <v>0</v>
      </c>
      <c r="Q1695" t="s">
        <v>2617</v>
      </c>
    </row>
    <row r="1696" spans="1:17">
      <c r="A1696">
        <v>45019129</v>
      </c>
      <c r="B1696">
        <v>2022</v>
      </c>
      <c r="C1696" t="s">
        <v>34</v>
      </c>
      <c r="D1696" t="s">
        <v>53</v>
      </c>
      <c r="E1696" t="s">
        <v>64</v>
      </c>
      <c r="F1696" t="s">
        <v>207</v>
      </c>
      <c r="G1696" t="s">
        <v>291</v>
      </c>
      <c r="H1696" t="s">
        <v>291</v>
      </c>
      <c r="I1696" t="s">
        <v>368</v>
      </c>
      <c r="K1696" t="s">
        <v>466</v>
      </c>
      <c r="L1696" t="s">
        <v>469</v>
      </c>
      <c r="M1696" t="s">
        <v>477</v>
      </c>
      <c r="N1696" t="s">
        <v>742</v>
      </c>
      <c r="O1696" t="s">
        <v>742</v>
      </c>
      <c r="P1696" s="1">
        <f>HYPERLINK("https://ec.europa.eu/info/funding-tenders/opportunities/portal/screen/opportunities/topic-details/horizon-kdt-ju-2022-2-ria-focus-topic-2", "HORIZON-KDT-JU-2022-2-RIA-Focus-Topic-2")</f>
        <v>0</v>
      </c>
      <c r="Q1696" t="s">
        <v>2618</v>
      </c>
    </row>
    <row r="1697" spans="1:17">
      <c r="A1697">
        <v>45019124</v>
      </c>
      <c r="B1697">
        <v>2022</v>
      </c>
      <c r="C1697" t="s">
        <v>34</v>
      </c>
      <c r="D1697" t="s">
        <v>53</v>
      </c>
      <c r="E1697" t="s">
        <v>64</v>
      </c>
      <c r="F1697" t="s">
        <v>207</v>
      </c>
      <c r="G1697" t="s">
        <v>291</v>
      </c>
      <c r="H1697" t="s">
        <v>291</v>
      </c>
      <c r="I1697" t="s">
        <v>368</v>
      </c>
      <c r="K1697" t="s">
        <v>466</v>
      </c>
      <c r="L1697" t="s">
        <v>469</v>
      </c>
      <c r="M1697" t="s">
        <v>477</v>
      </c>
      <c r="N1697" t="s">
        <v>742</v>
      </c>
      <c r="O1697" t="s">
        <v>742</v>
      </c>
      <c r="P1697" s="1">
        <f>HYPERLINK("https://ec.europa.eu/info/funding-tenders/opportunities/portal/screen/opportunities/topic-details/horizon-kdt-ju-2022-2-ria-topic-1", "HORIZON-KDT-JU-2022-2-RIA-Topic-1")</f>
        <v>0</v>
      </c>
      <c r="Q1697" t="s">
        <v>2619</v>
      </c>
    </row>
    <row r="1698" spans="1:17">
      <c r="A1698">
        <v>45821848</v>
      </c>
      <c r="B1698">
        <v>2023</v>
      </c>
      <c r="C1698" t="s">
        <v>34</v>
      </c>
      <c r="D1698" t="s">
        <v>53</v>
      </c>
      <c r="E1698" t="s">
        <v>64</v>
      </c>
      <c r="F1698" t="s">
        <v>206</v>
      </c>
      <c r="G1698" t="s">
        <v>292</v>
      </c>
      <c r="H1698" t="s">
        <v>292</v>
      </c>
      <c r="I1698" t="s">
        <v>422</v>
      </c>
      <c r="J1698" t="s">
        <v>314</v>
      </c>
      <c r="K1698" t="s">
        <v>466</v>
      </c>
      <c r="L1698" t="s">
        <v>470</v>
      </c>
      <c r="M1698" t="s">
        <v>478</v>
      </c>
      <c r="N1698" t="s">
        <v>743</v>
      </c>
      <c r="O1698" t="s">
        <v>743</v>
      </c>
      <c r="P1698" s="1">
        <f>HYPERLINK("https://ec.europa.eu/info/funding-tenders/opportunities/portal/screen/opportunities/topic-details/horizon-kdt-ju-2023-1-ia-focus-topic-2", "HORIZON-KDT-JU-2023-1-IA-Focus-Topic-2")</f>
        <v>0</v>
      </c>
      <c r="Q1698" t="s">
        <v>2620</v>
      </c>
    </row>
    <row r="1699" spans="1:17">
      <c r="A1699">
        <v>45821859</v>
      </c>
      <c r="B1699">
        <v>2023</v>
      </c>
      <c r="C1699" t="s">
        <v>34</v>
      </c>
      <c r="D1699" t="s">
        <v>53</v>
      </c>
      <c r="E1699" t="s">
        <v>64</v>
      </c>
      <c r="F1699" t="s">
        <v>206</v>
      </c>
      <c r="G1699" t="s">
        <v>292</v>
      </c>
      <c r="H1699" t="s">
        <v>292</v>
      </c>
      <c r="I1699" t="s">
        <v>422</v>
      </c>
      <c r="J1699" t="s">
        <v>314</v>
      </c>
      <c r="K1699" t="s">
        <v>466</v>
      </c>
      <c r="L1699" t="s">
        <v>470</v>
      </c>
      <c r="M1699" t="s">
        <v>478</v>
      </c>
      <c r="N1699" t="s">
        <v>743</v>
      </c>
      <c r="O1699" t="s">
        <v>743</v>
      </c>
      <c r="P1699" s="1">
        <f>HYPERLINK("https://ec.europa.eu/info/funding-tenders/opportunities/portal/screen/opportunities/topic-details/horizon-kdt-ju-2023-1-ia-focus-topic-3", "HORIZON-KDT-JU-2023-1-IA-Focus-Topic-3")</f>
        <v>0</v>
      </c>
      <c r="Q1699" t="s">
        <v>2621</v>
      </c>
    </row>
    <row r="1700" spans="1:17">
      <c r="A1700">
        <v>45821817</v>
      </c>
      <c r="B1700">
        <v>2023</v>
      </c>
      <c r="C1700" t="s">
        <v>34</v>
      </c>
      <c r="D1700" t="s">
        <v>53</v>
      </c>
      <c r="E1700" t="s">
        <v>64</v>
      </c>
      <c r="F1700" t="s">
        <v>206</v>
      </c>
      <c r="G1700" t="s">
        <v>292</v>
      </c>
      <c r="H1700" t="s">
        <v>292</v>
      </c>
      <c r="I1700" t="s">
        <v>422</v>
      </c>
      <c r="J1700" t="s">
        <v>314</v>
      </c>
      <c r="K1700" t="s">
        <v>466</v>
      </c>
      <c r="L1700" t="s">
        <v>470</v>
      </c>
      <c r="M1700" t="s">
        <v>478</v>
      </c>
      <c r="N1700" t="s">
        <v>743</v>
      </c>
      <c r="O1700" t="s">
        <v>743</v>
      </c>
      <c r="P1700" s="1">
        <f>HYPERLINK("https://ec.europa.eu/info/funding-tenders/opportunities/portal/screen/opportunities/topic-details/horizon-kdt-ju-2023-1-ia-focus-topic-4", "HORIZON-KDT-JU-2023-1-IA-Focus-Topic-4")</f>
        <v>0</v>
      </c>
      <c r="Q1700" t="s">
        <v>2622</v>
      </c>
    </row>
    <row r="1701" spans="1:17">
      <c r="A1701">
        <v>45821842</v>
      </c>
      <c r="B1701">
        <v>2023</v>
      </c>
      <c r="C1701" t="s">
        <v>34</v>
      </c>
      <c r="D1701" t="s">
        <v>53</v>
      </c>
      <c r="E1701" t="s">
        <v>64</v>
      </c>
      <c r="F1701" t="s">
        <v>206</v>
      </c>
      <c r="G1701" t="s">
        <v>292</v>
      </c>
      <c r="H1701" t="s">
        <v>292</v>
      </c>
      <c r="I1701" t="s">
        <v>422</v>
      </c>
      <c r="J1701" t="s">
        <v>314</v>
      </c>
      <c r="K1701" t="s">
        <v>466</v>
      </c>
      <c r="L1701" t="s">
        <v>470</v>
      </c>
      <c r="M1701" t="s">
        <v>478</v>
      </c>
      <c r="N1701" t="s">
        <v>743</v>
      </c>
      <c r="O1701" t="s">
        <v>743</v>
      </c>
      <c r="P1701" s="1">
        <f>HYPERLINK("https://ec.europa.eu/info/funding-tenders/opportunities/portal/screen/opportunities/topic-details/horizon-kdt-ju-2023-1-ia-topic-1", "HORIZON-KDT-JU-2023-1-IA-Topic-1")</f>
        <v>0</v>
      </c>
      <c r="Q1701" t="s">
        <v>2617</v>
      </c>
    </row>
    <row r="1702" spans="1:17">
      <c r="A1702">
        <v>45821837</v>
      </c>
      <c r="B1702">
        <v>2023</v>
      </c>
      <c r="C1702" t="s">
        <v>34</v>
      </c>
      <c r="D1702" t="s">
        <v>53</v>
      </c>
      <c r="E1702" t="s">
        <v>64</v>
      </c>
      <c r="F1702" t="s">
        <v>207</v>
      </c>
      <c r="G1702" t="s">
        <v>292</v>
      </c>
      <c r="H1702" t="s">
        <v>292</v>
      </c>
      <c r="I1702" t="s">
        <v>422</v>
      </c>
      <c r="J1702" t="s">
        <v>314</v>
      </c>
      <c r="K1702" t="s">
        <v>466</v>
      </c>
      <c r="L1702" t="s">
        <v>470</v>
      </c>
      <c r="M1702" t="s">
        <v>477</v>
      </c>
      <c r="N1702" t="s">
        <v>744</v>
      </c>
      <c r="O1702" t="s">
        <v>744</v>
      </c>
      <c r="P1702" s="1">
        <f>HYPERLINK("https://ec.europa.eu/info/funding-tenders/opportunities/portal/screen/opportunities/topic-details/horizon-kdt-ju-2023-2-ria-focus-topic-2", "HORIZON-KDT-JU-2023-2-RIA-Focus-Topic-2")</f>
        <v>0</v>
      </c>
      <c r="Q1702" t="s">
        <v>2623</v>
      </c>
    </row>
    <row r="1703" spans="1:17">
      <c r="A1703">
        <v>45821832</v>
      </c>
      <c r="B1703">
        <v>2023</v>
      </c>
      <c r="C1703" t="s">
        <v>34</v>
      </c>
      <c r="D1703" t="s">
        <v>53</v>
      </c>
      <c r="E1703" t="s">
        <v>64</v>
      </c>
      <c r="F1703" t="s">
        <v>207</v>
      </c>
      <c r="G1703" t="s">
        <v>292</v>
      </c>
      <c r="H1703" t="s">
        <v>292</v>
      </c>
      <c r="I1703" t="s">
        <v>422</v>
      </c>
      <c r="J1703" t="s">
        <v>314</v>
      </c>
      <c r="K1703" t="s">
        <v>466</v>
      </c>
      <c r="L1703" t="s">
        <v>470</v>
      </c>
      <c r="M1703" t="s">
        <v>477</v>
      </c>
      <c r="N1703" t="s">
        <v>744</v>
      </c>
      <c r="O1703" t="s">
        <v>744</v>
      </c>
      <c r="P1703" s="1">
        <f>HYPERLINK("https://ec.europa.eu/info/funding-tenders/opportunities/portal/screen/opportunities/topic-details/horizon-kdt-ju-2023-2-ria-topic-1", "HORIZON-KDT-JU-2023-2-RIA-Topic-1")</f>
        <v>0</v>
      </c>
      <c r="Q1703" t="s">
        <v>2624</v>
      </c>
    </row>
    <row r="1704" spans="1:17">
      <c r="A1704">
        <v>45821822</v>
      </c>
      <c r="B1704">
        <v>2023</v>
      </c>
      <c r="C1704" t="s">
        <v>34</v>
      </c>
      <c r="D1704" t="s">
        <v>53</v>
      </c>
      <c r="E1704" t="s">
        <v>64</v>
      </c>
      <c r="F1704" t="s">
        <v>219</v>
      </c>
      <c r="G1704" t="s">
        <v>292</v>
      </c>
      <c r="H1704" t="s">
        <v>292</v>
      </c>
      <c r="I1704" t="s">
        <v>422</v>
      </c>
      <c r="K1704" t="s">
        <v>466</v>
      </c>
      <c r="L1704" t="s">
        <v>469</v>
      </c>
      <c r="M1704" t="s">
        <v>479</v>
      </c>
      <c r="N1704" t="s">
        <v>745</v>
      </c>
      <c r="O1704" t="s">
        <v>745</v>
      </c>
      <c r="P1704" s="1">
        <f>HYPERLINK("https://ec.europa.eu/info/funding-tenders/opportunities/portal/screen/opportunities/topic-details/horizon-kdt-ju-2023-3-csa-topic-2", "HORIZON-KDT-JU-2023-3-CSA-Topic-2")</f>
        <v>0</v>
      </c>
      <c r="Q1704" t="s">
        <v>2625</v>
      </c>
    </row>
    <row r="1705" spans="1:17">
      <c r="A1705">
        <v>45821854</v>
      </c>
      <c r="B1705">
        <v>2023</v>
      </c>
      <c r="C1705" t="s">
        <v>34</v>
      </c>
      <c r="D1705" t="s">
        <v>53</v>
      </c>
      <c r="E1705" t="s">
        <v>64</v>
      </c>
      <c r="F1705" t="s">
        <v>219</v>
      </c>
      <c r="G1705" t="s">
        <v>292</v>
      </c>
      <c r="H1705" t="s">
        <v>292</v>
      </c>
      <c r="I1705" t="s">
        <v>422</v>
      </c>
      <c r="K1705" t="s">
        <v>466</v>
      </c>
      <c r="L1705" t="s">
        <v>469</v>
      </c>
      <c r="M1705" t="s">
        <v>479</v>
      </c>
      <c r="N1705" t="s">
        <v>745</v>
      </c>
      <c r="O1705" t="s">
        <v>745</v>
      </c>
      <c r="P1705" s="1">
        <f>HYPERLINK("https://ec.europa.eu/info/funding-tenders/opportunities/portal/screen/opportunities/topic-details/horizon-kdt-ju-2023-3-csa-topic-3", "HORIZON-KDT-JU-2023-3-CSA-Topic-3")</f>
        <v>0</v>
      </c>
      <c r="Q1705" t="s">
        <v>2626</v>
      </c>
    </row>
    <row r="1706" spans="1:17">
      <c r="A1706">
        <v>45821827</v>
      </c>
      <c r="B1706">
        <v>2023</v>
      </c>
      <c r="C1706" t="s">
        <v>34</v>
      </c>
      <c r="D1706" t="s">
        <v>53</v>
      </c>
      <c r="E1706" t="s">
        <v>64</v>
      </c>
      <c r="F1706" t="s">
        <v>219</v>
      </c>
      <c r="G1706" t="s">
        <v>292</v>
      </c>
      <c r="H1706" t="s">
        <v>292</v>
      </c>
      <c r="I1706" t="s">
        <v>422</v>
      </c>
      <c r="K1706" t="s">
        <v>466</v>
      </c>
      <c r="L1706" t="s">
        <v>469</v>
      </c>
      <c r="M1706" t="s">
        <v>478</v>
      </c>
      <c r="N1706" t="s">
        <v>745</v>
      </c>
      <c r="O1706" t="s">
        <v>745</v>
      </c>
      <c r="P1706" s="1">
        <f>HYPERLINK("https://ec.europa.eu/info/funding-tenders/opportunities/portal/screen/opportunities/topic-details/horizon-kdt-ju-2023-3-ia-topic-1", "HORIZON-KDT-JU-2023-3-IA-Topic-1")</f>
        <v>0</v>
      </c>
      <c r="Q1706" t="s">
        <v>2627</v>
      </c>
    </row>
    <row r="1707" spans="1:17">
      <c r="A1707">
        <v>44617336</v>
      </c>
      <c r="B1707">
        <v>2021</v>
      </c>
      <c r="C1707" t="s">
        <v>35</v>
      </c>
      <c r="D1707" t="s">
        <v>54</v>
      </c>
      <c r="E1707" t="s">
        <v>93</v>
      </c>
      <c r="F1707" t="s">
        <v>220</v>
      </c>
      <c r="G1707" t="s">
        <v>246</v>
      </c>
      <c r="H1707" t="s">
        <v>360</v>
      </c>
      <c r="I1707" t="s">
        <v>395</v>
      </c>
      <c r="K1707" t="s">
        <v>466</v>
      </c>
      <c r="L1707" t="s">
        <v>469</v>
      </c>
      <c r="M1707" t="s">
        <v>471</v>
      </c>
      <c r="N1707" t="s">
        <v>746</v>
      </c>
      <c r="O1707" t="s">
        <v>938</v>
      </c>
      <c r="P1707" s="1">
        <f>HYPERLINK("https://ec.europa.eu/info/funding-tenders/opportunities/portal/screen/opportunities/topic-details/horizon-miss-2021-cancer-02-01", "HORIZON-MISS-2021-CANCER-02-01")</f>
        <v>0</v>
      </c>
      <c r="Q1707" t="s">
        <v>2628</v>
      </c>
    </row>
    <row r="1708" spans="1:17">
      <c r="A1708">
        <v>44617401</v>
      </c>
      <c r="B1708">
        <v>2021</v>
      </c>
      <c r="C1708" t="s">
        <v>35</v>
      </c>
      <c r="D1708" t="s">
        <v>54</v>
      </c>
      <c r="E1708" t="s">
        <v>93</v>
      </c>
      <c r="F1708" t="s">
        <v>220</v>
      </c>
      <c r="G1708" t="s">
        <v>246</v>
      </c>
      <c r="H1708" t="s">
        <v>360</v>
      </c>
      <c r="I1708" t="s">
        <v>395</v>
      </c>
      <c r="K1708" t="s">
        <v>466</v>
      </c>
      <c r="L1708" t="s">
        <v>469</v>
      </c>
      <c r="M1708" t="s">
        <v>471</v>
      </c>
      <c r="N1708" t="s">
        <v>746</v>
      </c>
      <c r="O1708" t="s">
        <v>938</v>
      </c>
      <c r="P1708" s="1">
        <f>HYPERLINK("https://ec.europa.eu/info/funding-tenders/opportunities/portal/screen/opportunities/topic-details/horizon-miss-2021-cancer-02-02", "HORIZON-MISS-2021-CANCER-02-02")</f>
        <v>0</v>
      </c>
      <c r="Q1708" t="s">
        <v>2629</v>
      </c>
    </row>
    <row r="1709" spans="1:17">
      <c r="A1709">
        <v>44617457</v>
      </c>
      <c r="B1709">
        <v>2021</v>
      </c>
      <c r="C1709" t="s">
        <v>35</v>
      </c>
      <c r="D1709" t="s">
        <v>54</v>
      </c>
      <c r="E1709" t="s">
        <v>93</v>
      </c>
      <c r="F1709" t="s">
        <v>220</v>
      </c>
      <c r="G1709" t="s">
        <v>246</v>
      </c>
      <c r="H1709" t="s">
        <v>360</v>
      </c>
      <c r="I1709" t="s">
        <v>395</v>
      </c>
      <c r="K1709" t="s">
        <v>466</v>
      </c>
      <c r="L1709" t="s">
        <v>469</v>
      </c>
      <c r="M1709" t="s">
        <v>471</v>
      </c>
      <c r="N1709" t="s">
        <v>746</v>
      </c>
      <c r="O1709" t="s">
        <v>938</v>
      </c>
      <c r="P1709" s="1">
        <f>HYPERLINK("https://ec.europa.eu/info/funding-tenders/opportunities/portal/screen/opportunities/topic-details/horizon-miss-2021-cancer-02-03", "HORIZON-MISS-2021-CANCER-02-03")</f>
        <v>0</v>
      </c>
      <c r="Q1709" t="s">
        <v>2630</v>
      </c>
    </row>
    <row r="1710" spans="1:17">
      <c r="A1710">
        <v>44099095</v>
      </c>
      <c r="B1710">
        <v>2021</v>
      </c>
      <c r="C1710" t="s">
        <v>35</v>
      </c>
      <c r="D1710" t="s">
        <v>54</v>
      </c>
      <c r="E1710" t="s">
        <v>77</v>
      </c>
      <c r="F1710" t="s">
        <v>221</v>
      </c>
      <c r="G1710" t="s">
        <v>246</v>
      </c>
      <c r="H1710" t="s">
        <v>295</v>
      </c>
      <c r="I1710" t="s">
        <v>390</v>
      </c>
      <c r="K1710" t="s">
        <v>466</v>
      </c>
      <c r="L1710" t="s">
        <v>469</v>
      </c>
      <c r="M1710" t="s">
        <v>472</v>
      </c>
      <c r="N1710" t="s">
        <v>747</v>
      </c>
      <c r="O1710" t="s">
        <v>939</v>
      </c>
      <c r="P1710" s="1">
        <f>HYPERLINK("https://ec.europa.eu/info/funding-tenders/opportunities/portal/screen/opportunities/topic-details/horizon-miss-2021-cit-01-01", "HORIZON-MISS-2021-CIT-01-01")</f>
        <v>0</v>
      </c>
      <c r="Q1710" t="s">
        <v>2631</v>
      </c>
    </row>
    <row r="1711" spans="1:17">
      <c r="A1711">
        <v>44098873</v>
      </c>
      <c r="B1711">
        <v>2021</v>
      </c>
      <c r="C1711" t="s">
        <v>35</v>
      </c>
      <c r="D1711" t="s">
        <v>54</v>
      </c>
      <c r="E1711" t="s">
        <v>77</v>
      </c>
      <c r="F1711" t="s">
        <v>221</v>
      </c>
      <c r="G1711" t="s">
        <v>246</v>
      </c>
      <c r="H1711" t="s">
        <v>295</v>
      </c>
      <c r="I1711" t="s">
        <v>390</v>
      </c>
      <c r="K1711" t="s">
        <v>466</v>
      </c>
      <c r="L1711" t="s">
        <v>469</v>
      </c>
      <c r="M1711" t="s">
        <v>472</v>
      </c>
      <c r="N1711" t="s">
        <v>747</v>
      </c>
      <c r="O1711" t="s">
        <v>939</v>
      </c>
      <c r="P1711" s="1">
        <f>HYPERLINK("https://ec.europa.eu/info/funding-tenders/opportunities/portal/screen/opportunities/topic-details/horizon-miss-2021-cit-01-02", "HORIZON-MISS-2021-CIT-01-02")</f>
        <v>0</v>
      </c>
      <c r="Q1711" t="s">
        <v>2632</v>
      </c>
    </row>
    <row r="1712" spans="1:17">
      <c r="A1712">
        <v>44614163</v>
      </c>
      <c r="B1712">
        <v>2021</v>
      </c>
      <c r="C1712" t="s">
        <v>35</v>
      </c>
      <c r="D1712" t="s">
        <v>54</v>
      </c>
      <c r="E1712" t="s">
        <v>58</v>
      </c>
      <c r="F1712" t="s">
        <v>222</v>
      </c>
      <c r="G1712" t="s">
        <v>246</v>
      </c>
      <c r="H1712" t="s">
        <v>361</v>
      </c>
      <c r="I1712" t="s">
        <v>395</v>
      </c>
      <c r="K1712" t="s">
        <v>466</v>
      </c>
      <c r="L1712" t="s">
        <v>469</v>
      </c>
      <c r="M1712" t="s">
        <v>473</v>
      </c>
      <c r="N1712" t="s">
        <v>748</v>
      </c>
      <c r="O1712" t="s">
        <v>940</v>
      </c>
      <c r="P1712" s="1">
        <f>HYPERLINK("https://ec.europa.eu/info/funding-tenders/opportunities/portal/screen/opportunities/topic-details/horizon-miss-2021-cit-02-01", "HORIZON-MISS-2021-CIT-02-01")</f>
        <v>0</v>
      </c>
      <c r="Q1712" t="s">
        <v>2633</v>
      </c>
    </row>
    <row r="1713" spans="1:17">
      <c r="A1713">
        <v>44614203</v>
      </c>
      <c r="B1713">
        <v>2021</v>
      </c>
      <c r="C1713" t="s">
        <v>35</v>
      </c>
      <c r="D1713" t="s">
        <v>54</v>
      </c>
      <c r="E1713" t="s">
        <v>58</v>
      </c>
      <c r="F1713" t="s">
        <v>222</v>
      </c>
      <c r="G1713" t="s">
        <v>246</v>
      </c>
      <c r="H1713" t="s">
        <v>361</v>
      </c>
      <c r="I1713" t="s">
        <v>395</v>
      </c>
      <c r="K1713" t="s">
        <v>466</v>
      </c>
      <c r="L1713" t="s">
        <v>469</v>
      </c>
      <c r="M1713" t="s">
        <v>473</v>
      </c>
      <c r="N1713" t="s">
        <v>748</v>
      </c>
      <c r="O1713" t="s">
        <v>940</v>
      </c>
      <c r="P1713" s="1">
        <f>HYPERLINK("https://ec.europa.eu/info/funding-tenders/opportunities/portal/screen/opportunities/topic-details/horizon-miss-2021-cit-02-02", "HORIZON-MISS-2021-CIT-02-02")</f>
        <v>0</v>
      </c>
      <c r="Q1713" t="s">
        <v>2634</v>
      </c>
    </row>
    <row r="1714" spans="1:17">
      <c r="A1714">
        <v>44614239</v>
      </c>
      <c r="B1714">
        <v>2021</v>
      </c>
      <c r="C1714" t="s">
        <v>35</v>
      </c>
      <c r="D1714" t="s">
        <v>54</v>
      </c>
      <c r="E1714" t="s">
        <v>58</v>
      </c>
      <c r="F1714" t="s">
        <v>222</v>
      </c>
      <c r="G1714" t="s">
        <v>246</v>
      </c>
      <c r="H1714" t="s">
        <v>361</v>
      </c>
      <c r="I1714" t="s">
        <v>395</v>
      </c>
      <c r="K1714" t="s">
        <v>466</v>
      </c>
      <c r="L1714" t="s">
        <v>469</v>
      </c>
      <c r="M1714" t="s">
        <v>475</v>
      </c>
      <c r="N1714" t="s">
        <v>748</v>
      </c>
      <c r="O1714" t="s">
        <v>940</v>
      </c>
      <c r="P1714" s="1">
        <f>HYPERLINK("https://ec.europa.eu/info/funding-tenders/opportunities/portal/screen/opportunities/topic-details/horizon-miss-2021-cit-02-03", "HORIZON-MISS-2021-CIT-02-03")</f>
        <v>0</v>
      </c>
      <c r="Q1714" t="s">
        <v>2635</v>
      </c>
    </row>
    <row r="1715" spans="1:17">
      <c r="A1715">
        <v>44614321</v>
      </c>
      <c r="B1715">
        <v>2021</v>
      </c>
      <c r="C1715" t="s">
        <v>35</v>
      </c>
      <c r="D1715" t="s">
        <v>54</v>
      </c>
      <c r="E1715" t="s">
        <v>58</v>
      </c>
      <c r="F1715" t="s">
        <v>222</v>
      </c>
      <c r="G1715" t="s">
        <v>246</v>
      </c>
      <c r="H1715" t="s">
        <v>361</v>
      </c>
      <c r="I1715" t="s">
        <v>395</v>
      </c>
      <c r="K1715" t="s">
        <v>466</v>
      </c>
      <c r="L1715" t="s">
        <v>469</v>
      </c>
      <c r="M1715" t="s">
        <v>473</v>
      </c>
      <c r="N1715" t="s">
        <v>748</v>
      </c>
      <c r="O1715" t="s">
        <v>940</v>
      </c>
      <c r="P1715" s="1">
        <f>HYPERLINK("https://ec.europa.eu/info/funding-tenders/opportunities/portal/screen/opportunities/topic-details/horizon-miss-2021-cit-02-04", "HORIZON-MISS-2021-CIT-02-04")</f>
        <v>0</v>
      </c>
      <c r="Q1715" t="s">
        <v>2636</v>
      </c>
    </row>
    <row r="1716" spans="1:17">
      <c r="A1716">
        <v>44614291</v>
      </c>
      <c r="B1716">
        <v>2021</v>
      </c>
      <c r="C1716" t="s">
        <v>35</v>
      </c>
      <c r="D1716" t="s">
        <v>54</v>
      </c>
      <c r="E1716" t="s">
        <v>58</v>
      </c>
      <c r="F1716" t="s">
        <v>222</v>
      </c>
      <c r="G1716" t="s">
        <v>246</v>
      </c>
      <c r="H1716" t="s">
        <v>361</v>
      </c>
      <c r="I1716" t="s">
        <v>395</v>
      </c>
      <c r="K1716" t="s">
        <v>466</v>
      </c>
      <c r="L1716" t="s">
        <v>469</v>
      </c>
      <c r="M1716" t="s">
        <v>472</v>
      </c>
      <c r="N1716" t="s">
        <v>748</v>
      </c>
      <c r="O1716" t="s">
        <v>940</v>
      </c>
      <c r="P1716" s="1">
        <f>HYPERLINK("https://ec.europa.eu/info/funding-tenders/opportunities/portal/screen/opportunities/topic-details/horizon-miss-2021-cit-02-05", "HORIZON-MISS-2021-CIT-02-05")</f>
        <v>0</v>
      </c>
      <c r="Q1716" t="s">
        <v>2637</v>
      </c>
    </row>
    <row r="1717" spans="1:17">
      <c r="A1717">
        <v>44098821</v>
      </c>
      <c r="B1717">
        <v>2021</v>
      </c>
      <c r="C1717" t="s">
        <v>35</v>
      </c>
      <c r="D1717" t="s">
        <v>54</v>
      </c>
      <c r="E1717" t="s">
        <v>77</v>
      </c>
      <c r="F1717" t="s">
        <v>223</v>
      </c>
      <c r="G1717" t="s">
        <v>246</v>
      </c>
      <c r="H1717" t="s">
        <v>295</v>
      </c>
      <c r="I1717" t="s">
        <v>390</v>
      </c>
      <c r="K1717" t="s">
        <v>466</v>
      </c>
      <c r="L1717" t="s">
        <v>469</v>
      </c>
      <c r="M1717" t="s">
        <v>472</v>
      </c>
      <c r="N1717" t="s">
        <v>749</v>
      </c>
      <c r="O1717" t="s">
        <v>941</v>
      </c>
      <c r="P1717" s="1">
        <f>HYPERLINK("https://ec.europa.eu/info/funding-tenders/opportunities/portal/screen/opportunities/topic-details/horizon-miss-2021-clima-01-01", "HORIZON-MISS-2021-CLIMA-01-01")</f>
        <v>0</v>
      </c>
      <c r="Q1717" t="s">
        <v>941</v>
      </c>
    </row>
    <row r="1718" spans="1:17">
      <c r="A1718">
        <v>44613899</v>
      </c>
      <c r="B1718">
        <v>2021</v>
      </c>
      <c r="C1718" t="s">
        <v>35</v>
      </c>
      <c r="D1718" t="s">
        <v>54</v>
      </c>
      <c r="E1718" t="s">
        <v>58</v>
      </c>
      <c r="F1718" t="s">
        <v>224</v>
      </c>
      <c r="G1718" t="s">
        <v>246</v>
      </c>
      <c r="H1718" t="s">
        <v>361</v>
      </c>
      <c r="I1718" t="s">
        <v>448</v>
      </c>
      <c r="K1718" t="s">
        <v>466</v>
      </c>
      <c r="L1718" t="s">
        <v>469</v>
      </c>
      <c r="M1718" t="s">
        <v>471</v>
      </c>
      <c r="N1718" t="s">
        <v>750</v>
      </c>
      <c r="O1718" t="s">
        <v>942</v>
      </c>
      <c r="P1718" s="1">
        <f>HYPERLINK("https://ec.europa.eu/info/funding-tenders/opportunities/portal/screen/opportunities/topic-details/horizon-miss-2021-clima-02-01", "HORIZON-MISS-2021-CLIMA-02-01")</f>
        <v>0</v>
      </c>
      <c r="Q1718" t="s">
        <v>2638</v>
      </c>
    </row>
    <row r="1719" spans="1:17">
      <c r="A1719">
        <v>44614076</v>
      </c>
      <c r="B1719">
        <v>2021</v>
      </c>
      <c r="C1719" t="s">
        <v>35</v>
      </c>
      <c r="D1719" t="s">
        <v>54</v>
      </c>
      <c r="E1719" t="s">
        <v>58</v>
      </c>
      <c r="F1719" t="s">
        <v>224</v>
      </c>
      <c r="G1719" t="s">
        <v>246</v>
      </c>
      <c r="H1719" t="s">
        <v>361</v>
      </c>
      <c r="I1719" t="s">
        <v>448</v>
      </c>
      <c r="K1719" t="s">
        <v>466</v>
      </c>
      <c r="L1719" t="s">
        <v>469</v>
      </c>
      <c r="M1719" t="s">
        <v>471</v>
      </c>
      <c r="N1719" t="s">
        <v>750</v>
      </c>
      <c r="O1719" t="s">
        <v>942</v>
      </c>
      <c r="P1719" s="1">
        <f>HYPERLINK("https://ec.europa.eu/info/funding-tenders/opportunities/portal/screen/opportunities/topic-details/horizon-miss-2021-clima-02-02", "HORIZON-MISS-2021-CLIMA-02-02")</f>
        <v>0</v>
      </c>
      <c r="Q1719" t="s">
        <v>2639</v>
      </c>
    </row>
    <row r="1720" spans="1:17">
      <c r="A1720">
        <v>44613946</v>
      </c>
      <c r="B1720">
        <v>2021</v>
      </c>
      <c r="C1720" t="s">
        <v>35</v>
      </c>
      <c r="D1720" t="s">
        <v>54</v>
      </c>
      <c r="E1720" t="s">
        <v>58</v>
      </c>
      <c r="F1720" t="s">
        <v>224</v>
      </c>
      <c r="G1720" t="s">
        <v>246</v>
      </c>
      <c r="H1720" t="s">
        <v>361</v>
      </c>
      <c r="I1720" t="s">
        <v>448</v>
      </c>
      <c r="K1720" t="s">
        <v>466</v>
      </c>
      <c r="L1720" t="s">
        <v>469</v>
      </c>
      <c r="M1720" t="s">
        <v>471</v>
      </c>
      <c r="N1720" t="s">
        <v>750</v>
      </c>
      <c r="O1720" t="s">
        <v>942</v>
      </c>
      <c r="P1720" s="1">
        <f>HYPERLINK("https://ec.europa.eu/info/funding-tenders/opportunities/portal/screen/opportunities/topic-details/horizon-miss-2021-clima-02-03", "HORIZON-MISS-2021-CLIMA-02-03")</f>
        <v>0</v>
      </c>
      <c r="Q1720" t="s">
        <v>2640</v>
      </c>
    </row>
    <row r="1721" spans="1:17">
      <c r="A1721">
        <v>44613988</v>
      </c>
      <c r="B1721">
        <v>2021</v>
      </c>
      <c r="C1721" t="s">
        <v>35</v>
      </c>
      <c r="D1721" t="s">
        <v>54</v>
      </c>
      <c r="E1721" t="s">
        <v>58</v>
      </c>
      <c r="F1721" t="s">
        <v>224</v>
      </c>
      <c r="G1721" t="s">
        <v>246</v>
      </c>
      <c r="H1721" t="s">
        <v>361</v>
      </c>
      <c r="I1721" t="s">
        <v>448</v>
      </c>
      <c r="K1721" t="s">
        <v>466</v>
      </c>
      <c r="L1721" t="s">
        <v>469</v>
      </c>
      <c r="M1721" t="s">
        <v>473</v>
      </c>
      <c r="N1721" t="s">
        <v>750</v>
      </c>
      <c r="O1721" t="s">
        <v>942</v>
      </c>
      <c r="P1721" s="1">
        <f>HYPERLINK("https://ec.europa.eu/info/funding-tenders/opportunities/portal/screen/opportunities/topic-details/horizon-miss-2021-clima-02-04", "HORIZON-MISS-2021-CLIMA-02-04")</f>
        <v>0</v>
      </c>
      <c r="Q1721" t="s">
        <v>2641</v>
      </c>
    </row>
    <row r="1722" spans="1:17">
      <c r="A1722">
        <v>44614044</v>
      </c>
      <c r="B1722">
        <v>2021</v>
      </c>
      <c r="C1722" t="s">
        <v>35</v>
      </c>
      <c r="D1722" t="s">
        <v>54</v>
      </c>
      <c r="E1722" t="s">
        <v>58</v>
      </c>
      <c r="F1722" t="s">
        <v>224</v>
      </c>
      <c r="G1722" t="s">
        <v>246</v>
      </c>
      <c r="H1722" t="s">
        <v>361</v>
      </c>
      <c r="I1722" t="s">
        <v>448</v>
      </c>
      <c r="K1722" t="s">
        <v>466</v>
      </c>
      <c r="L1722" t="s">
        <v>469</v>
      </c>
      <c r="M1722" t="s">
        <v>471</v>
      </c>
      <c r="N1722" t="s">
        <v>750</v>
      </c>
      <c r="O1722" t="s">
        <v>942</v>
      </c>
      <c r="P1722" s="1">
        <f>HYPERLINK("https://ec.europa.eu/info/funding-tenders/opportunities/portal/screen/opportunities/topic-details/horizon-miss-2021-clima-02-05", "HORIZON-MISS-2021-CLIMA-02-05")</f>
        <v>0</v>
      </c>
      <c r="Q1722" t="s">
        <v>2642</v>
      </c>
    </row>
    <row r="1723" spans="1:17">
      <c r="A1723">
        <v>44098547</v>
      </c>
      <c r="B1723">
        <v>2021</v>
      </c>
      <c r="C1723" t="s">
        <v>35</v>
      </c>
      <c r="D1723" t="s">
        <v>54</v>
      </c>
      <c r="E1723" t="s">
        <v>58</v>
      </c>
      <c r="F1723" t="s">
        <v>225</v>
      </c>
      <c r="G1723" t="s">
        <v>246</v>
      </c>
      <c r="H1723" t="s">
        <v>295</v>
      </c>
      <c r="I1723" t="s">
        <v>390</v>
      </c>
      <c r="K1723" t="s">
        <v>466</v>
      </c>
      <c r="L1723" t="s">
        <v>469</v>
      </c>
      <c r="M1723" t="s">
        <v>472</v>
      </c>
      <c r="N1723" t="s">
        <v>751</v>
      </c>
      <c r="O1723" t="s">
        <v>943</v>
      </c>
      <c r="P1723" s="1">
        <f>HYPERLINK("https://ec.europa.eu/info/funding-tenders/opportunities/portal/screen/opportunities/topic-details/horizon-miss-2021-coor-01-01", "HORIZON-MISS-2021-COOR-01-01")</f>
        <v>0</v>
      </c>
      <c r="Q1723" t="s">
        <v>943</v>
      </c>
    </row>
    <row r="1724" spans="1:17">
      <c r="A1724">
        <v>44098229</v>
      </c>
      <c r="B1724">
        <v>2021</v>
      </c>
      <c r="C1724" t="s">
        <v>35</v>
      </c>
      <c r="D1724" t="s">
        <v>54</v>
      </c>
      <c r="E1724" t="s">
        <v>58</v>
      </c>
      <c r="F1724" t="s">
        <v>226</v>
      </c>
      <c r="G1724" t="s">
        <v>247</v>
      </c>
      <c r="H1724" t="s">
        <v>362</v>
      </c>
      <c r="I1724" t="s">
        <v>379</v>
      </c>
      <c r="K1724" t="s">
        <v>466</v>
      </c>
      <c r="L1724" t="s">
        <v>469</v>
      </c>
      <c r="M1724" t="s">
        <v>472</v>
      </c>
      <c r="N1724" t="s">
        <v>752</v>
      </c>
      <c r="O1724" t="s">
        <v>944</v>
      </c>
      <c r="P1724" s="1">
        <f>HYPERLINK("https://ec.europa.eu/info/funding-tenders/opportunities/portal/screen/opportunities/topic-details/horizon-miss-2021-neb-01-01", "HORIZON-MISS-2021-NEB-01-01")</f>
        <v>0</v>
      </c>
      <c r="Q1724" t="s">
        <v>944</v>
      </c>
    </row>
    <row r="1725" spans="1:17">
      <c r="A1725">
        <v>44098939</v>
      </c>
      <c r="B1725">
        <v>2021</v>
      </c>
      <c r="C1725" t="s">
        <v>35</v>
      </c>
      <c r="D1725" t="s">
        <v>54</v>
      </c>
      <c r="E1725" t="s">
        <v>77</v>
      </c>
      <c r="F1725" t="s">
        <v>227</v>
      </c>
      <c r="G1725" t="s">
        <v>246</v>
      </c>
      <c r="H1725" t="s">
        <v>295</v>
      </c>
      <c r="I1725" t="s">
        <v>390</v>
      </c>
      <c r="K1725" t="s">
        <v>466</v>
      </c>
      <c r="L1725" t="s">
        <v>469</v>
      </c>
      <c r="M1725" t="s">
        <v>472</v>
      </c>
      <c r="N1725" t="s">
        <v>753</v>
      </c>
      <c r="O1725" t="s">
        <v>945</v>
      </c>
      <c r="P1725" s="1">
        <f>HYPERLINK("https://ec.europa.eu/info/funding-tenders/opportunities/portal/screen/opportunities/topic-details/horizon-miss-2021-ocean-01-01", "HORIZON-MISS-2021-OCEAN-01-01")</f>
        <v>0</v>
      </c>
      <c r="Q1725" t="s">
        <v>2643</v>
      </c>
    </row>
    <row r="1726" spans="1:17">
      <c r="A1726">
        <v>44617169</v>
      </c>
      <c r="B1726">
        <v>2021</v>
      </c>
      <c r="C1726" t="s">
        <v>35</v>
      </c>
      <c r="D1726" t="s">
        <v>54</v>
      </c>
      <c r="E1726" t="s">
        <v>58</v>
      </c>
      <c r="F1726" t="s">
        <v>228</v>
      </c>
      <c r="G1726" t="s">
        <v>246</v>
      </c>
      <c r="H1726" t="s">
        <v>360</v>
      </c>
      <c r="I1726" t="s">
        <v>448</v>
      </c>
      <c r="K1726" t="s">
        <v>466</v>
      </c>
      <c r="L1726" t="s">
        <v>469</v>
      </c>
      <c r="M1726" t="s">
        <v>473</v>
      </c>
      <c r="N1726" t="s">
        <v>754</v>
      </c>
      <c r="O1726" t="s">
        <v>946</v>
      </c>
      <c r="P1726" s="1">
        <f>HYPERLINK("https://ec.europa.eu/info/funding-tenders/opportunities/portal/screen/opportunities/topic-details/horizon-miss-2021-ocean-02-01", "HORIZON-MISS-2021-OCEAN-02-01")</f>
        <v>0</v>
      </c>
      <c r="Q1726" t="s">
        <v>2644</v>
      </c>
    </row>
    <row r="1727" spans="1:17">
      <c r="A1727">
        <v>44616743</v>
      </c>
      <c r="B1727">
        <v>2021</v>
      </c>
      <c r="C1727" t="s">
        <v>35</v>
      </c>
      <c r="D1727" t="s">
        <v>54</v>
      </c>
      <c r="E1727" t="s">
        <v>58</v>
      </c>
      <c r="F1727" t="s">
        <v>228</v>
      </c>
      <c r="G1727" t="s">
        <v>246</v>
      </c>
      <c r="H1727" t="s">
        <v>360</v>
      </c>
      <c r="I1727" t="s">
        <v>448</v>
      </c>
      <c r="K1727" t="s">
        <v>466</v>
      </c>
      <c r="L1727" t="s">
        <v>469</v>
      </c>
      <c r="M1727" t="s">
        <v>473</v>
      </c>
      <c r="N1727" t="s">
        <v>754</v>
      </c>
      <c r="O1727" t="s">
        <v>946</v>
      </c>
      <c r="P1727" s="1">
        <f>HYPERLINK("https://ec.europa.eu/info/funding-tenders/opportunities/portal/screen/opportunities/topic-details/horizon-miss-2021-ocean-02-02", "HORIZON-MISS-2021-OCEAN-02-02")</f>
        <v>0</v>
      </c>
      <c r="Q1727" t="s">
        <v>2645</v>
      </c>
    </row>
    <row r="1728" spans="1:17">
      <c r="A1728">
        <v>44616803</v>
      </c>
      <c r="B1728">
        <v>2021</v>
      </c>
      <c r="C1728" t="s">
        <v>35</v>
      </c>
      <c r="D1728" t="s">
        <v>54</v>
      </c>
      <c r="E1728" t="s">
        <v>58</v>
      </c>
      <c r="F1728" t="s">
        <v>228</v>
      </c>
      <c r="G1728" t="s">
        <v>246</v>
      </c>
      <c r="H1728" t="s">
        <v>360</v>
      </c>
      <c r="I1728" t="s">
        <v>448</v>
      </c>
      <c r="K1728" t="s">
        <v>466</v>
      </c>
      <c r="L1728" t="s">
        <v>469</v>
      </c>
      <c r="M1728" t="s">
        <v>473</v>
      </c>
      <c r="N1728" t="s">
        <v>754</v>
      </c>
      <c r="O1728" t="s">
        <v>946</v>
      </c>
      <c r="P1728" s="1">
        <f>HYPERLINK("https://ec.europa.eu/info/funding-tenders/opportunities/portal/screen/opportunities/topic-details/horizon-miss-2021-ocean-02-03", "HORIZON-MISS-2021-OCEAN-02-03")</f>
        <v>0</v>
      </c>
      <c r="Q1728" t="s">
        <v>2646</v>
      </c>
    </row>
    <row r="1729" spans="1:17">
      <c r="A1729">
        <v>44616335</v>
      </c>
      <c r="B1729">
        <v>2021</v>
      </c>
      <c r="C1729" t="s">
        <v>35</v>
      </c>
      <c r="D1729" t="s">
        <v>54</v>
      </c>
      <c r="E1729" t="s">
        <v>58</v>
      </c>
      <c r="F1729" t="s">
        <v>228</v>
      </c>
      <c r="G1729" t="s">
        <v>246</v>
      </c>
      <c r="H1729" t="s">
        <v>360</v>
      </c>
      <c r="I1729" t="s">
        <v>448</v>
      </c>
      <c r="K1729" t="s">
        <v>466</v>
      </c>
      <c r="L1729" t="s">
        <v>469</v>
      </c>
      <c r="M1729" t="s">
        <v>472</v>
      </c>
      <c r="N1729" t="s">
        <v>754</v>
      </c>
      <c r="O1729" t="s">
        <v>946</v>
      </c>
      <c r="P1729" s="1">
        <f>HYPERLINK("https://ec.europa.eu/info/funding-tenders/opportunities/portal/screen/opportunities/topic-details/horizon-miss-2021-ocean-02-04", "HORIZON-MISS-2021-OCEAN-02-04")</f>
        <v>0</v>
      </c>
      <c r="Q1729" t="s">
        <v>2647</v>
      </c>
    </row>
    <row r="1730" spans="1:17">
      <c r="A1730">
        <v>44616383</v>
      </c>
      <c r="B1730">
        <v>2021</v>
      </c>
      <c r="C1730" t="s">
        <v>35</v>
      </c>
      <c r="D1730" t="s">
        <v>54</v>
      </c>
      <c r="E1730" t="s">
        <v>58</v>
      </c>
      <c r="F1730" t="s">
        <v>228</v>
      </c>
      <c r="G1730" t="s">
        <v>246</v>
      </c>
      <c r="H1730" t="s">
        <v>360</v>
      </c>
      <c r="I1730" t="s">
        <v>448</v>
      </c>
      <c r="K1730" t="s">
        <v>466</v>
      </c>
      <c r="L1730" t="s">
        <v>469</v>
      </c>
      <c r="M1730" t="s">
        <v>472</v>
      </c>
      <c r="N1730" t="s">
        <v>754</v>
      </c>
      <c r="O1730" t="s">
        <v>946</v>
      </c>
      <c r="P1730" s="1">
        <f>HYPERLINK("https://ec.europa.eu/info/funding-tenders/opportunities/portal/screen/opportunities/topic-details/horizon-miss-2021-ocean-02-05", "HORIZON-MISS-2021-OCEAN-02-05")</f>
        <v>0</v>
      </c>
      <c r="Q1730" t="s">
        <v>2648</v>
      </c>
    </row>
    <row r="1731" spans="1:17">
      <c r="A1731">
        <v>44616868</v>
      </c>
      <c r="B1731">
        <v>2021</v>
      </c>
      <c r="C1731" t="s">
        <v>35</v>
      </c>
      <c r="D1731" t="s">
        <v>54</v>
      </c>
      <c r="E1731" t="s">
        <v>58</v>
      </c>
      <c r="F1731" t="s">
        <v>229</v>
      </c>
      <c r="G1731" t="s">
        <v>246</v>
      </c>
      <c r="H1731" t="s">
        <v>360</v>
      </c>
      <c r="I1731" t="s">
        <v>448</v>
      </c>
      <c r="K1731" t="s">
        <v>466</v>
      </c>
      <c r="L1731" t="s">
        <v>469</v>
      </c>
      <c r="M1731" t="s">
        <v>473</v>
      </c>
      <c r="N1731" t="s">
        <v>755</v>
      </c>
      <c r="O1731" t="s">
        <v>947</v>
      </c>
      <c r="P1731" s="1">
        <f>HYPERLINK("https://ec.europa.eu/info/funding-tenders/opportunities/portal/screen/opportunities/topic-details/horizon-miss-2021-ocean-03-01", "HORIZON-MISS-2021-OCEAN-03-01")</f>
        <v>0</v>
      </c>
      <c r="Q1731" t="s">
        <v>2649</v>
      </c>
    </row>
    <row r="1732" spans="1:17">
      <c r="A1732">
        <v>44617216</v>
      </c>
      <c r="B1732">
        <v>2021</v>
      </c>
      <c r="C1732" t="s">
        <v>35</v>
      </c>
      <c r="D1732" t="s">
        <v>54</v>
      </c>
      <c r="E1732" t="s">
        <v>58</v>
      </c>
      <c r="F1732" t="s">
        <v>229</v>
      </c>
      <c r="G1732" t="s">
        <v>246</v>
      </c>
      <c r="H1732" t="s">
        <v>360</v>
      </c>
      <c r="I1732" t="s">
        <v>448</v>
      </c>
      <c r="K1732" t="s">
        <v>466</v>
      </c>
      <c r="L1732" t="s">
        <v>469</v>
      </c>
      <c r="M1732" t="s">
        <v>472</v>
      </c>
      <c r="N1732" t="s">
        <v>755</v>
      </c>
      <c r="O1732" t="s">
        <v>947</v>
      </c>
      <c r="P1732" s="1">
        <f>HYPERLINK("https://ec.europa.eu/info/funding-tenders/opportunities/portal/screen/opportunities/topic-details/horizon-miss-2021-ocean-03-02", "HORIZON-MISS-2021-OCEAN-03-02")</f>
        <v>0</v>
      </c>
      <c r="Q1732" t="s">
        <v>2650</v>
      </c>
    </row>
    <row r="1733" spans="1:17">
      <c r="A1733">
        <v>44616939</v>
      </c>
      <c r="B1733">
        <v>2021</v>
      </c>
      <c r="C1733" t="s">
        <v>35</v>
      </c>
      <c r="D1733" t="s">
        <v>54</v>
      </c>
      <c r="E1733" t="s">
        <v>58</v>
      </c>
      <c r="F1733" t="s">
        <v>230</v>
      </c>
      <c r="G1733" t="s">
        <v>246</v>
      </c>
      <c r="H1733" t="s">
        <v>360</v>
      </c>
      <c r="I1733" t="s">
        <v>448</v>
      </c>
      <c r="K1733" t="s">
        <v>466</v>
      </c>
      <c r="L1733" t="s">
        <v>469</v>
      </c>
      <c r="M1733" t="s">
        <v>473</v>
      </c>
      <c r="N1733" t="s">
        <v>756</v>
      </c>
      <c r="O1733" t="s">
        <v>948</v>
      </c>
      <c r="P1733" s="1">
        <f>HYPERLINK("https://ec.europa.eu/info/funding-tenders/opportunities/portal/screen/opportunities/topic-details/horizon-miss-2021-ocean-04-01", "HORIZON-MISS-2021-OCEAN-04-01")</f>
        <v>0</v>
      </c>
      <c r="Q1733" t="s">
        <v>2651</v>
      </c>
    </row>
    <row r="1734" spans="1:17">
      <c r="A1734">
        <v>44616439</v>
      </c>
      <c r="B1734">
        <v>2021</v>
      </c>
      <c r="C1734" t="s">
        <v>35</v>
      </c>
      <c r="D1734" t="s">
        <v>54</v>
      </c>
      <c r="E1734" t="s">
        <v>58</v>
      </c>
      <c r="F1734" t="s">
        <v>230</v>
      </c>
      <c r="G1734" t="s">
        <v>246</v>
      </c>
      <c r="H1734" t="s">
        <v>360</v>
      </c>
      <c r="I1734" t="s">
        <v>448</v>
      </c>
      <c r="K1734" t="s">
        <v>466</v>
      </c>
      <c r="L1734" t="s">
        <v>469</v>
      </c>
      <c r="M1734" t="s">
        <v>472</v>
      </c>
      <c r="N1734" t="s">
        <v>756</v>
      </c>
      <c r="O1734" t="s">
        <v>948</v>
      </c>
      <c r="P1734" s="1">
        <f>HYPERLINK("https://ec.europa.eu/info/funding-tenders/opportunities/portal/screen/opportunities/topic-details/horizon-miss-2021-ocean-04-02", "HORIZON-MISS-2021-OCEAN-04-02")</f>
        <v>0</v>
      </c>
      <c r="Q1734" t="s">
        <v>2652</v>
      </c>
    </row>
    <row r="1735" spans="1:17">
      <c r="A1735">
        <v>44616233</v>
      </c>
      <c r="B1735">
        <v>2021</v>
      </c>
      <c r="C1735" t="s">
        <v>35</v>
      </c>
      <c r="D1735" t="s">
        <v>54</v>
      </c>
      <c r="E1735" t="s">
        <v>58</v>
      </c>
      <c r="F1735" t="s">
        <v>231</v>
      </c>
      <c r="G1735" t="s">
        <v>246</v>
      </c>
      <c r="H1735" t="s">
        <v>360</v>
      </c>
      <c r="I1735" t="s">
        <v>448</v>
      </c>
      <c r="K1735" t="s">
        <v>466</v>
      </c>
      <c r="L1735" t="s">
        <v>469</v>
      </c>
      <c r="M1735" t="s">
        <v>473</v>
      </c>
      <c r="N1735" t="s">
        <v>757</v>
      </c>
      <c r="O1735" t="s">
        <v>949</v>
      </c>
      <c r="P1735" s="1">
        <f>HYPERLINK("https://ec.europa.eu/info/funding-tenders/opportunities/portal/screen/opportunities/topic-details/horizon-miss-2021-ocean-05-01", "HORIZON-MISS-2021-OCEAN-05-01")</f>
        <v>0</v>
      </c>
      <c r="Q1735" t="s">
        <v>2653</v>
      </c>
    </row>
    <row r="1736" spans="1:17">
      <c r="A1736">
        <v>44617121</v>
      </c>
      <c r="B1736">
        <v>2021</v>
      </c>
      <c r="C1736" t="s">
        <v>35</v>
      </c>
      <c r="D1736" t="s">
        <v>54</v>
      </c>
      <c r="E1736" t="s">
        <v>58</v>
      </c>
      <c r="F1736" t="s">
        <v>231</v>
      </c>
      <c r="G1736" t="s">
        <v>246</v>
      </c>
      <c r="H1736" t="s">
        <v>360</v>
      </c>
      <c r="I1736" t="s">
        <v>448</v>
      </c>
      <c r="K1736" t="s">
        <v>466</v>
      </c>
      <c r="L1736" t="s">
        <v>469</v>
      </c>
      <c r="M1736" t="s">
        <v>471</v>
      </c>
      <c r="N1736" t="s">
        <v>757</v>
      </c>
      <c r="O1736" t="s">
        <v>949</v>
      </c>
      <c r="P1736" s="1">
        <f>HYPERLINK("https://ec.europa.eu/info/funding-tenders/opportunities/portal/screen/opportunities/topic-details/horizon-miss-2021-ocean-05-02", "HORIZON-MISS-2021-OCEAN-05-02")</f>
        <v>0</v>
      </c>
      <c r="Q1736" t="s">
        <v>2654</v>
      </c>
    </row>
    <row r="1737" spans="1:17">
      <c r="A1737">
        <v>44616288</v>
      </c>
      <c r="B1737">
        <v>2021</v>
      </c>
      <c r="C1737" t="s">
        <v>35</v>
      </c>
      <c r="D1737" t="s">
        <v>54</v>
      </c>
      <c r="E1737" t="s">
        <v>58</v>
      </c>
      <c r="F1737" t="s">
        <v>231</v>
      </c>
      <c r="G1737" t="s">
        <v>246</v>
      </c>
      <c r="H1737" t="s">
        <v>360</v>
      </c>
      <c r="I1737" t="s">
        <v>448</v>
      </c>
      <c r="K1737" t="s">
        <v>466</v>
      </c>
      <c r="L1737" t="s">
        <v>469</v>
      </c>
      <c r="M1737" t="s">
        <v>472</v>
      </c>
      <c r="N1737" t="s">
        <v>757</v>
      </c>
      <c r="O1737" t="s">
        <v>949</v>
      </c>
      <c r="P1737" s="1">
        <f>HYPERLINK("https://ec.europa.eu/info/funding-tenders/opportunities/portal/screen/opportunities/topic-details/horizon-miss-2021-ocean-05-03", "HORIZON-MISS-2021-OCEAN-05-03")</f>
        <v>0</v>
      </c>
      <c r="Q1737" t="s">
        <v>2655</v>
      </c>
    </row>
    <row r="1738" spans="1:17">
      <c r="A1738">
        <v>44098611</v>
      </c>
      <c r="B1738">
        <v>2021</v>
      </c>
      <c r="C1738" t="s">
        <v>35</v>
      </c>
      <c r="D1738" t="s">
        <v>54</v>
      </c>
      <c r="E1738" t="s">
        <v>85</v>
      </c>
      <c r="F1738" t="s">
        <v>232</v>
      </c>
      <c r="G1738" t="s">
        <v>247</v>
      </c>
      <c r="H1738" t="s">
        <v>295</v>
      </c>
      <c r="I1738" t="s">
        <v>392</v>
      </c>
      <c r="K1738" t="s">
        <v>466</v>
      </c>
      <c r="L1738" t="s">
        <v>469</v>
      </c>
      <c r="M1738" t="s">
        <v>472</v>
      </c>
      <c r="N1738" t="s">
        <v>758</v>
      </c>
      <c r="O1738" t="s">
        <v>950</v>
      </c>
      <c r="P1738" s="1">
        <f>HYPERLINK("https://ec.europa.eu/info/funding-tenders/opportunities/portal/screen/opportunities/topic-details/horizon-miss-2021-soil-01-01", "HORIZON-MISS-2021-SOIL-01-01")</f>
        <v>0</v>
      </c>
      <c r="Q1738" t="s">
        <v>950</v>
      </c>
    </row>
    <row r="1739" spans="1:17">
      <c r="A1739">
        <v>44616185</v>
      </c>
      <c r="B1739">
        <v>2021</v>
      </c>
      <c r="C1739" t="s">
        <v>35</v>
      </c>
      <c r="D1739" t="s">
        <v>54</v>
      </c>
      <c r="E1739" t="s">
        <v>58</v>
      </c>
      <c r="F1739" t="s">
        <v>233</v>
      </c>
      <c r="G1739" t="s">
        <v>250</v>
      </c>
      <c r="H1739" t="s">
        <v>360</v>
      </c>
      <c r="I1739" t="s">
        <v>449</v>
      </c>
      <c r="K1739" t="s">
        <v>466</v>
      </c>
      <c r="L1739" t="s">
        <v>469</v>
      </c>
      <c r="M1739" t="s">
        <v>472</v>
      </c>
      <c r="N1739" t="s">
        <v>759</v>
      </c>
      <c r="O1739" t="s">
        <v>951</v>
      </c>
      <c r="P1739" s="1">
        <f>HYPERLINK("https://ec.europa.eu/info/funding-tenders/opportunities/portal/screen/opportunities/topic-details/horizon-miss-2021-soil-02-01", "HORIZON-MISS-2021-SOIL-02-01")</f>
        <v>0</v>
      </c>
      <c r="Q1739" t="s">
        <v>2656</v>
      </c>
    </row>
    <row r="1740" spans="1:17">
      <c r="A1740">
        <v>44617287</v>
      </c>
      <c r="B1740">
        <v>2021</v>
      </c>
      <c r="C1740" t="s">
        <v>35</v>
      </c>
      <c r="D1740" t="s">
        <v>54</v>
      </c>
      <c r="E1740" t="s">
        <v>58</v>
      </c>
      <c r="F1740" t="s">
        <v>233</v>
      </c>
      <c r="G1740" t="s">
        <v>250</v>
      </c>
      <c r="H1740" t="s">
        <v>360</v>
      </c>
      <c r="I1740" t="s">
        <v>449</v>
      </c>
      <c r="K1740" t="s">
        <v>466</v>
      </c>
      <c r="L1740" t="s">
        <v>469</v>
      </c>
      <c r="M1740" t="s">
        <v>471</v>
      </c>
      <c r="N1740" t="s">
        <v>759</v>
      </c>
      <c r="O1740" t="s">
        <v>951</v>
      </c>
      <c r="P1740" s="1">
        <f>HYPERLINK("https://ec.europa.eu/info/funding-tenders/opportunities/portal/screen/opportunities/topic-details/horizon-miss-2021-soil-02-02", "HORIZON-MISS-2021-SOIL-02-02")</f>
        <v>0</v>
      </c>
      <c r="Q1740" t="s">
        <v>2657</v>
      </c>
    </row>
    <row r="1741" spans="1:17">
      <c r="A1741">
        <v>44616503</v>
      </c>
      <c r="B1741">
        <v>2021</v>
      </c>
      <c r="C1741" t="s">
        <v>35</v>
      </c>
      <c r="D1741" t="s">
        <v>54</v>
      </c>
      <c r="E1741" t="s">
        <v>58</v>
      </c>
      <c r="F1741" t="s">
        <v>233</v>
      </c>
      <c r="G1741" t="s">
        <v>250</v>
      </c>
      <c r="H1741" t="s">
        <v>360</v>
      </c>
      <c r="I1741" t="s">
        <v>449</v>
      </c>
      <c r="K1741" t="s">
        <v>466</v>
      </c>
      <c r="L1741" t="s">
        <v>469</v>
      </c>
      <c r="M1741" t="s">
        <v>471</v>
      </c>
      <c r="N1741" t="s">
        <v>759</v>
      </c>
      <c r="O1741" t="s">
        <v>951</v>
      </c>
      <c r="P1741" s="1">
        <f>HYPERLINK("https://ec.europa.eu/info/funding-tenders/opportunities/portal/screen/opportunities/topic-details/horizon-miss-2021-soil-02-03", "HORIZON-MISS-2021-SOIL-02-03")</f>
        <v>0</v>
      </c>
      <c r="Q1741" t="s">
        <v>2658</v>
      </c>
    </row>
    <row r="1742" spans="1:17">
      <c r="A1742">
        <v>44616641</v>
      </c>
      <c r="B1742">
        <v>2021</v>
      </c>
      <c r="C1742" t="s">
        <v>35</v>
      </c>
      <c r="D1742" t="s">
        <v>54</v>
      </c>
      <c r="E1742" t="s">
        <v>58</v>
      </c>
      <c r="F1742" t="s">
        <v>233</v>
      </c>
      <c r="G1742" t="s">
        <v>250</v>
      </c>
      <c r="H1742" t="s">
        <v>360</v>
      </c>
      <c r="I1742" t="s">
        <v>449</v>
      </c>
      <c r="K1742" t="s">
        <v>466</v>
      </c>
      <c r="L1742" t="s">
        <v>469</v>
      </c>
      <c r="M1742" t="s">
        <v>471</v>
      </c>
      <c r="N1742" t="s">
        <v>759</v>
      </c>
      <c r="O1742" t="s">
        <v>951</v>
      </c>
      <c r="P1742" s="1">
        <f>HYPERLINK("https://ec.europa.eu/info/funding-tenders/opportunities/portal/screen/opportunities/topic-details/horizon-miss-2021-soil-02-04", "HORIZON-MISS-2021-SOIL-02-04")</f>
        <v>0</v>
      </c>
      <c r="Q1742" t="s">
        <v>2659</v>
      </c>
    </row>
    <row r="1743" spans="1:17">
      <c r="A1743">
        <v>44616574</v>
      </c>
      <c r="B1743">
        <v>2021</v>
      </c>
      <c r="C1743" t="s">
        <v>35</v>
      </c>
      <c r="D1743" t="s">
        <v>54</v>
      </c>
      <c r="E1743" t="s">
        <v>58</v>
      </c>
      <c r="F1743" t="s">
        <v>233</v>
      </c>
      <c r="G1743" t="s">
        <v>250</v>
      </c>
      <c r="H1743" t="s">
        <v>360</v>
      </c>
      <c r="I1743" t="s">
        <v>449</v>
      </c>
      <c r="K1743" t="s">
        <v>466</v>
      </c>
      <c r="L1743" t="s">
        <v>469</v>
      </c>
      <c r="M1743" t="s">
        <v>471</v>
      </c>
      <c r="N1743" t="s">
        <v>759</v>
      </c>
      <c r="O1743" t="s">
        <v>951</v>
      </c>
      <c r="P1743" s="1">
        <f>HYPERLINK("https://ec.europa.eu/info/funding-tenders/opportunities/portal/screen/opportunities/topic-details/horizon-miss-2021-soil-02-05", "HORIZON-MISS-2021-SOIL-02-05")</f>
        <v>0</v>
      </c>
      <c r="Q1743" t="s">
        <v>2660</v>
      </c>
    </row>
    <row r="1744" spans="1:17">
      <c r="A1744">
        <v>44617505</v>
      </c>
      <c r="B1744">
        <v>2021</v>
      </c>
      <c r="C1744" t="s">
        <v>35</v>
      </c>
      <c r="D1744" t="s">
        <v>54</v>
      </c>
      <c r="E1744" t="s">
        <v>58</v>
      </c>
      <c r="F1744" t="s">
        <v>233</v>
      </c>
      <c r="G1744" t="s">
        <v>250</v>
      </c>
      <c r="H1744" t="s">
        <v>360</v>
      </c>
      <c r="I1744" t="s">
        <v>449</v>
      </c>
      <c r="K1744" t="s">
        <v>466</v>
      </c>
      <c r="L1744" t="s">
        <v>469</v>
      </c>
      <c r="M1744" t="s">
        <v>472</v>
      </c>
      <c r="N1744" t="s">
        <v>759</v>
      </c>
      <c r="O1744" t="s">
        <v>951</v>
      </c>
      <c r="P1744" s="1">
        <f>HYPERLINK("https://ec.europa.eu/info/funding-tenders/opportunities/portal/screen/opportunities/topic-details/horizon-miss-2021-soil-02-06", "HORIZON-MISS-2021-SOIL-02-06")</f>
        <v>0</v>
      </c>
      <c r="Q1744" t="s">
        <v>2661</v>
      </c>
    </row>
    <row r="1745" spans="1:17">
      <c r="A1745">
        <v>44617582</v>
      </c>
      <c r="B1745">
        <v>2021</v>
      </c>
      <c r="C1745" t="s">
        <v>35</v>
      </c>
      <c r="D1745" t="s">
        <v>54</v>
      </c>
      <c r="E1745" t="s">
        <v>58</v>
      </c>
      <c r="F1745" t="s">
        <v>233</v>
      </c>
      <c r="G1745" t="s">
        <v>250</v>
      </c>
      <c r="H1745" t="s">
        <v>360</v>
      </c>
      <c r="I1745" t="s">
        <v>449</v>
      </c>
      <c r="K1745" t="s">
        <v>466</v>
      </c>
      <c r="L1745" t="s">
        <v>469</v>
      </c>
      <c r="M1745" t="s">
        <v>472</v>
      </c>
      <c r="N1745" t="s">
        <v>759</v>
      </c>
      <c r="O1745" t="s">
        <v>951</v>
      </c>
      <c r="P1745" s="1">
        <f>HYPERLINK("https://ec.europa.eu/info/funding-tenders/opportunities/portal/screen/opportunities/topic-details/horizon-miss-2021-soil-02-07", "HORIZON-MISS-2021-SOIL-02-07")</f>
        <v>0</v>
      </c>
      <c r="Q1745" t="s">
        <v>2662</v>
      </c>
    </row>
    <row r="1746" spans="1:17">
      <c r="A1746">
        <v>44617008</v>
      </c>
      <c r="B1746">
        <v>2021</v>
      </c>
      <c r="C1746" t="s">
        <v>35</v>
      </c>
      <c r="D1746" t="s">
        <v>54</v>
      </c>
      <c r="E1746" t="s">
        <v>58</v>
      </c>
      <c r="F1746" t="s">
        <v>233</v>
      </c>
      <c r="G1746" t="s">
        <v>250</v>
      </c>
      <c r="H1746" t="s">
        <v>360</v>
      </c>
      <c r="I1746" t="s">
        <v>449</v>
      </c>
      <c r="K1746" t="s">
        <v>466</v>
      </c>
      <c r="L1746" t="s">
        <v>469</v>
      </c>
      <c r="M1746" t="s">
        <v>471</v>
      </c>
      <c r="N1746" t="s">
        <v>759</v>
      </c>
      <c r="O1746" t="s">
        <v>951</v>
      </c>
      <c r="P1746" s="1">
        <f>HYPERLINK("https://ec.europa.eu/info/funding-tenders/opportunities/portal/screen/opportunities/topic-details/horizon-miss-2021-soil-02-08", "HORIZON-MISS-2021-SOIL-02-08")</f>
        <v>0</v>
      </c>
      <c r="Q1746" t="s">
        <v>2663</v>
      </c>
    </row>
    <row r="1747" spans="1:17">
      <c r="A1747">
        <v>44098727</v>
      </c>
      <c r="B1747">
        <v>2021</v>
      </c>
      <c r="C1747" t="s">
        <v>35</v>
      </c>
      <c r="D1747" t="s">
        <v>54</v>
      </c>
      <c r="E1747" t="s">
        <v>93</v>
      </c>
      <c r="F1747" t="s">
        <v>234</v>
      </c>
      <c r="G1747" t="s">
        <v>246</v>
      </c>
      <c r="H1747" t="s">
        <v>295</v>
      </c>
      <c r="I1747" t="s">
        <v>392</v>
      </c>
      <c r="K1747" t="s">
        <v>466</v>
      </c>
      <c r="L1747" t="s">
        <v>469</v>
      </c>
      <c r="M1747" t="s">
        <v>472</v>
      </c>
      <c r="N1747" t="s">
        <v>760</v>
      </c>
      <c r="O1747" t="s">
        <v>952</v>
      </c>
      <c r="P1747" s="1">
        <f>HYPERLINK("https://ec.europa.eu/info/funding-tenders/opportunities/portal/screen/opportunities/topic-details/horizon-miss-2021-uncan-01-01", "HORIZON-MISS-2021-UNCAN-01-01")</f>
        <v>0</v>
      </c>
      <c r="Q1747" t="s">
        <v>952</v>
      </c>
    </row>
    <row r="1748" spans="1:17">
      <c r="A1748">
        <v>45077833</v>
      </c>
      <c r="B1748">
        <v>2022</v>
      </c>
      <c r="C1748" t="s">
        <v>35</v>
      </c>
      <c r="D1748" t="s">
        <v>54</v>
      </c>
      <c r="E1748" t="s">
        <v>93</v>
      </c>
      <c r="F1748" t="s">
        <v>235</v>
      </c>
      <c r="G1748" t="s">
        <v>246</v>
      </c>
      <c r="H1748" t="s">
        <v>363</v>
      </c>
      <c r="I1748" t="s">
        <v>450</v>
      </c>
      <c r="K1748" t="s">
        <v>466</v>
      </c>
      <c r="L1748" t="s">
        <v>469</v>
      </c>
      <c r="M1748" t="s">
        <v>471</v>
      </c>
      <c r="N1748" t="s">
        <v>761</v>
      </c>
      <c r="O1748" t="s">
        <v>938</v>
      </c>
      <c r="P1748" s="1">
        <f>HYPERLINK("https://ec.europa.eu/info/funding-tenders/opportunities/portal/screen/opportunities/topic-details/horizon-miss-2022-cancer-01-01", "HORIZON-MISS-2022-CANCER-01-01")</f>
        <v>0</v>
      </c>
      <c r="Q1748" t="s">
        <v>2664</v>
      </c>
    </row>
    <row r="1749" spans="1:17">
      <c r="A1749">
        <v>45077897</v>
      </c>
      <c r="B1749">
        <v>2022</v>
      </c>
      <c r="C1749" t="s">
        <v>35</v>
      </c>
      <c r="D1749" t="s">
        <v>54</v>
      </c>
      <c r="E1749" t="s">
        <v>93</v>
      </c>
      <c r="F1749" t="s">
        <v>235</v>
      </c>
      <c r="G1749" t="s">
        <v>246</v>
      </c>
      <c r="H1749" t="s">
        <v>363</v>
      </c>
      <c r="I1749" t="s">
        <v>450</v>
      </c>
      <c r="K1749" t="s">
        <v>466</v>
      </c>
      <c r="L1749" t="s">
        <v>469</v>
      </c>
      <c r="M1749" t="s">
        <v>472</v>
      </c>
      <c r="N1749" t="s">
        <v>761</v>
      </c>
      <c r="O1749" t="s">
        <v>938</v>
      </c>
      <c r="P1749" s="1">
        <f>HYPERLINK("https://ec.europa.eu/info/funding-tenders/opportunities/portal/screen/opportunities/topic-details/horizon-miss-2022-cancer-01-02", "HORIZON-MISS-2022-CANCER-01-02")</f>
        <v>0</v>
      </c>
      <c r="Q1749" t="s">
        <v>2665</v>
      </c>
    </row>
    <row r="1750" spans="1:17">
      <c r="A1750">
        <v>45077932</v>
      </c>
      <c r="B1750">
        <v>2022</v>
      </c>
      <c r="C1750" t="s">
        <v>35</v>
      </c>
      <c r="D1750" t="s">
        <v>54</v>
      </c>
      <c r="E1750" t="s">
        <v>93</v>
      </c>
      <c r="F1750" t="s">
        <v>235</v>
      </c>
      <c r="G1750" t="s">
        <v>246</v>
      </c>
      <c r="H1750" t="s">
        <v>363</v>
      </c>
      <c r="I1750" t="s">
        <v>450</v>
      </c>
      <c r="K1750" t="s">
        <v>466</v>
      </c>
      <c r="L1750" t="s">
        <v>469</v>
      </c>
      <c r="M1750" t="s">
        <v>471</v>
      </c>
      <c r="N1750" t="s">
        <v>761</v>
      </c>
      <c r="O1750" t="s">
        <v>938</v>
      </c>
      <c r="P1750" s="1">
        <f>HYPERLINK("https://ec.europa.eu/info/funding-tenders/opportunities/portal/screen/opportunities/topic-details/horizon-miss-2022-cancer-01-03", "HORIZON-MISS-2022-CANCER-01-03")</f>
        <v>0</v>
      </c>
      <c r="Q1750" t="s">
        <v>2666</v>
      </c>
    </row>
    <row r="1751" spans="1:17">
      <c r="A1751">
        <v>45077975</v>
      </c>
      <c r="B1751">
        <v>2022</v>
      </c>
      <c r="C1751" t="s">
        <v>35</v>
      </c>
      <c r="D1751" t="s">
        <v>54</v>
      </c>
      <c r="E1751" t="s">
        <v>93</v>
      </c>
      <c r="F1751" t="s">
        <v>235</v>
      </c>
      <c r="G1751" t="s">
        <v>246</v>
      </c>
      <c r="H1751" t="s">
        <v>363</v>
      </c>
      <c r="I1751" t="s">
        <v>450</v>
      </c>
      <c r="K1751" t="s">
        <v>466</v>
      </c>
      <c r="L1751" t="s">
        <v>469</v>
      </c>
      <c r="M1751" t="s">
        <v>472</v>
      </c>
      <c r="N1751" t="s">
        <v>761</v>
      </c>
      <c r="O1751" t="s">
        <v>938</v>
      </c>
      <c r="P1751" s="1">
        <f>HYPERLINK("https://ec.europa.eu/info/funding-tenders/opportunities/portal/screen/opportunities/topic-details/horizon-miss-2022-cancer-01-04", "HORIZON-MISS-2022-CANCER-01-04")</f>
        <v>0</v>
      </c>
      <c r="Q1751" t="s">
        <v>2667</v>
      </c>
    </row>
    <row r="1752" spans="1:17">
      <c r="A1752">
        <v>45078021</v>
      </c>
      <c r="B1752">
        <v>2022</v>
      </c>
      <c r="C1752" t="s">
        <v>35</v>
      </c>
      <c r="D1752" t="s">
        <v>54</v>
      </c>
      <c r="E1752" t="s">
        <v>93</v>
      </c>
      <c r="F1752" t="s">
        <v>235</v>
      </c>
      <c r="G1752" t="s">
        <v>246</v>
      </c>
      <c r="H1752" t="s">
        <v>363</v>
      </c>
      <c r="I1752" t="s">
        <v>450</v>
      </c>
      <c r="K1752" t="s">
        <v>466</v>
      </c>
      <c r="L1752" t="s">
        <v>469</v>
      </c>
      <c r="M1752" t="s">
        <v>472</v>
      </c>
      <c r="N1752" t="s">
        <v>761</v>
      </c>
      <c r="O1752" t="s">
        <v>938</v>
      </c>
      <c r="P1752" s="1">
        <f>HYPERLINK("https://ec.europa.eu/info/funding-tenders/opportunities/portal/screen/opportunities/topic-details/horizon-miss-2022-cancer-01-05", "HORIZON-MISS-2022-CANCER-01-05")</f>
        <v>0</v>
      </c>
      <c r="Q1752" t="s">
        <v>2668</v>
      </c>
    </row>
    <row r="1753" spans="1:17">
      <c r="A1753">
        <v>44616150</v>
      </c>
      <c r="B1753">
        <v>2022</v>
      </c>
      <c r="C1753" t="s">
        <v>35</v>
      </c>
      <c r="D1753" t="s">
        <v>54</v>
      </c>
      <c r="E1753" t="s">
        <v>58</v>
      </c>
      <c r="F1753" t="s">
        <v>221</v>
      </c>
      <c r="G1753" t="s">
        <v>250</v>
      </c>
      <c r="H1753" t="s">
        <v>318</v>
      </c>
      <c r="I1753" t="s">
        <v>321</v>
      </c>
      <c r="K1753" t="s">
        <v>466</v>
      </c>
      <c r="L1753" t="s">
        <v>469</v>
      </c>
      <c r="M1753" t="s">
        <v>473</v>
      </c>
      <c r="N1753" t="s">
        <v>762</v>
      </c>
      <c r="O1753" t="s">
        <v>953</v>
      </c>
      <c r="P1753" s="1">
        <f>HYPERLINK("https://ec.europa.eu/info/funding-tenders/opportunities/portal/screen/opportunities/topic-details/horizon-miss-2022-cit-01-01", "HORIZON-MISS-2022-CIT-01-01")</f>
        <v>0</v>
      </c>
      <c r="Q1753" t="s">
        <v>2669</v>
      </c>
    </row>
    <row r="1754" spans="1:17">
      <c r="A1754">
        <v>44800147</v>
      </c>
      <c r="B1754">
        <v>2022</v>
      </c>
      <c r="C1754" t="s">
        <v>35</v>
      </c>
      <c r="D1754" t="s">
        <v>54</v>
      </c>
      <c r="E1754" t="s">
        <v>58</v>
      </c>
      <c r="F1754" t="s">
        <v>223</v>
      </c>
      <c r="G1754" t="s">
        <v>246</v>
      </c>
      <c r="H1754" t="s">
        <v>297</v>
      </c>
      <c r="I1754" t="s">
        <v>451</v>
      </c>
      <c r="K1754" t="s">
        <v>466</v>
      </c>
      <c r="L1754" t="s">
        <v>469</v>
      </c>
      <c r="M1754" t="s">
        <v>471</v>
      </c>
      <c r="N1754" t="s">
        <v>763</v>
      </c>
      <c r="O1754" t="s">
        <v>942</v>
      </c>
      <c r="P1754" s="1">
        <f>HYPERLINK("https://ec.europa.eu/info/funding-tenders/opportunities/portal/screen/opportunities/topic-details/horizon-miss-2022-clima-01-01", "HORIZON-MISS-2022-CLIMA-01-01")</f>
        <v>0</v>
      </c>
      <c r="Q1754" t="s">
        <v>2670</v>
      </c>
    </row>
    <row r="1755" spans="1:17">
      <c r="A1755">
        <v>44800158</v>
      </c>
      <c r="B1755">
        <v>2022</v>
      </c>
      <c r="C1755" t="s">
        <v>35</v>
      </c>
      <c r="D1755" t="s">
        <v>54</v>
      </c>
      <c r="E1755" t="s">
        <v>58</v>
      </c>
      <c r="F1755" t="s">
        <v>223</v>
      </c>
      <c r="G1755" t="s">
        <v>246</v>
      </c>
      <c r="H1755" t="s">
        <v>297</v>
      </c>
      <c r="I1755" t="s">
        <v>451</v>
      </c>
      <c r="K1755" t="s">
        <v>466</v>
      </c>
      <c r="L1755" t="s">
        <v>469</v>
      </c>
      <c r="M1755" t="s">
        <v>471</v>
      </c>
      <c r="N1755" t="s">
        <v>763</v>
      </c>
      <c r="O1755" t="s">
        <v>942</v>
      </c>
      <c r="P1755" s="1">
        <f>HYPERLINK("https://ec.europa.eu/info/funding-tenders/opportunities/portal/screen/opportunities/topic-details/horizon-miss-2022-clima-01-02", "HORIZON-MISS-2022-CLIMA-01-02")</f>
        <v>0</v>
      </c>
      <c r="Q1755" t="s">
        <v>2671</v>
      </c>
    </row>
    <row r="1756" spans="1:17">
      <c r="A1756">
        <v>44800169</v>
      </c>
      <c r="B1756">
        <v>2022</v>
      </c>
      <c r="C1756" t="s">
        <v>35</v>
      </c>
      <c r="D1756" t="s">
        <v>54</v>
      </c>
      <c r="E1756" t="s">
        <v>58</v>
      </c>
      <c r="F1756" t="s">
        <v>223</v>
      </c>
      <c r="G1756" t="s">
        <v>246</v>
      </c>
      <c r="H1756" t="s">
        <v>297</v>
      </c>
      <c r="I1756" t="s">
        <v>451</v>
      </c>
      <c r="K1756" t="s">
        <v>466</v>
      </c>
      <c r="L1756" t="s">
        <v>469</v>
      </c>
      <c r="M1756" t="s">
        <v>471</v>
      </c>
      <c r="N1756" t="s">
        <v>763</v>
      </c>
      <c r="O1756" t="s">
        <v>942</v>
      </c>
      <c r="P1756" s="1">
        <f>HYPERLINK("https://ec.europa.eu/info/funding-tenders/opportunities/portal/screen/opportunities/topic-details/horizon-miss-2022-clima-01-03", "HORIZON-MISS-2022-CLIMA-01-03")</f>
        <v>0</v>
      </c>
      <c r="Q1756" t="s">
        <v>2672</v>
      </c>
    </row>
    <row r="1757" spans="1:17">
      <c r="A1757">
        <v>44800114</v>
      </c>
      <c r="B1757">
        <v>2022</v>
      </c>
      <c r="C1757" t="s">
        <v>35</v>
      </c>
      <c r="D1757" t="s">
        <v>54</v>
      </c>
      <c r="E1757" t="s">
        <v>58</v>
      </c>
      <c r="F1757" t="s">
        <v>223</v>
      </c>
      <c r="G1757" t="s">
        <v>246</v>
      </c>
      <c r="H1757" t="s">
        <v>297</v>
      </c>
      <c r="I1757" t="s">
        <v>451</v>
      </c>
      <c r="K1757" t="s">
        <v>466</v>
      </c>
      <c r="L1757" t="s">
        <v>469</v>
      </c>
      <c r="M1757" t="s">
        <v>471</v>
      </c>
      <c r="N1757" t="s">
        <v>763</v>
      </c>
      <c r="O1757" t="s">
        <v>942</v>
      </c>
      <c r="P1757" s="1">
        <f>HYPERLINK("https://ec.europa.eu/info/funding-tenders/opportunities/portal/screen/opportunities/topic-details/horizon-miss-2022-clima-01-04", "HORIZON-MISS-2022-CLIMA-01-04")</f>
        <v>0</v>
      </c>
      <c r="Q1757" t="s">
        <v>2673</v>
      </c>
    </row>
    <row r="1758" spans="1:17">
      <c r="A1758">
        <v>44800125</v>
      </c>
      <c r="B1758">
        <v>2022</v>
      </c>
      <c r="C1758" t="s">
        <v>35</v>
      </c>
      <c r="D1758" t="s">
        <v>54</v>
      </c>
      <c r="E1758" t="s">
        <v>58</v>
      </c>
      <c r="F1758" t="s">
        <v>223</v>
      </c>
      <c r="G1758" t="s">
        <v>246</v>
      </c>
      <c r="H1758" t="s">
        <v>297</v>
      </c>
      <c r="I1758" t="s">
        <v>451</v>
      </c>
      <c r="K1758" t="s">
        <v>466</v>
      </c>
      <c r="L1758" t="s">
        <v>469</v>
      </c>
      <c r="M1758" t="s">
        <v>471</v>
      </c>
      <c r="N1758" t="s">
        <v>763</v>
      </c>
      <c r="O1758" t="s">
        <v>942</v>
      </c>
      <c r="P1758" s="1">
        <f>HYPERLINK("https://ec.europa.eu/info/funding-tenders/opportunities/portal/screen/opportunities/topic-details/horizon-miss-2022-clima-01-05", "HORIZON-MISS-2022-CLIMA-01-05")</f>
        <v>0</v>
      </c>
      <c r="Q1758" t="s">
        <v>2674</v>
      </c>
    </row>
    <row r="1759" spans="1:17">
      <c r="A1759">
        <v>44800136</v>
      </c>
      <c r="B1759">
        <v>2022</v>
      </c>
      <c r="C1759" t="s">
        <v>35</v>
      </c>
      <c r="D1759" t="s">
        <v>54</v>
      </c>
      <c r="E1759" t="s">
        <v>58</v>
      </c>
      <c r="F1759" t="s">
        <v>223</v>
      </c>
      <c r="G1759" t="s">
        <v>246</v>
      </c>
      <c r="H1759" t="s">
        <v>297</v>
      </c>
      <c r="I1759" t="s">
        <v>451</v>
      </c>
      <c r="K1759" t="s">
        <v>466</v>
      </c>
      <c r="L1759" t="s">
        <v>469</v>
      </c>
      <c r="M1759" t="s">
        <v>473</v>
      </c>
      <c r="N1759" t="s">
        <v>763</v>
      </c>
      <c r="O1759" t="s">
        <v>942</v>
      </c>
      <c r="P1759" s="1">
        <f>HYPERLINK("https://ec.europa.eu/info/funding-tenders/opportunities/portal/screen/opportunities/topic-details/horizon-miss-2022-clima-01-06", "HORIZON-MISS-2022-CLIMA-01-06")</f>
        <v>0</v>
      </c>
      <c r="Q1759" t="s">
        <v>2675</v>
      </c>
    </row>
    <row r="1760" spans="1:17">
      <c r="A1760">
        <v>44799677</v>
      </c>
      <c r="B1760">
        <v>2022</v>
      </c>
      <c r="C1760" t="s">
        <v>35</v>
      </c>
      <c r="D1760" t="s">
        <v>54</v>
      </c>
      <c r="E1760" t="s">
        <v>58</v>
      </c>
      <c r="F1760" t="s">
        <v>236</v>
      </c>
      <c r="G1760" t="s">
        <v>246</v>
      </c>
      <c r="H1760" t="s">
        <v>297</v>
      </c>
      <c r="I1760" t="s">
        <v>452</v>
      </c>
      <c r="K1760" t="s">
        <v>466</v>
      </c>
      <c r="L1760" t="s">
        <v>469</v>
      </c>
      <c r="M1760" t="s">
        <v>472</v>
      </c>
      <c r="N1760" t="s">
        <v>764</v>
      </c>
      <c r="O1760" t="s">
        <v>954</v>
      </c>
      <c r="P1760" s="1">
        <f>HYPERLINK("https://ec.europa.eu/info/funding-tenders/opportunities/portal/screen/opportunities/topic-details/horizon-miss-2022-ncp-01-01", "HORIZON-MISS-2022-NCP-01-01")</f>
        <v>0</v>
      </c>
      <c r="Q1760" t="s">
        <v>2676</v>
      </c>
    </row>
    <row r="1761" spans="1:17">
      <c r="A1761">
        <v>44799884</v>
      </c>
      <c r="B1761">
        <v>2022</v>
      </c>
      <c r="C1761" t="s">
        <v>35</v>
      </c>
      <c r="D1761" t="s">
        <v>54</v>
      </c>
      <c r="E1761" t="s">
        <v>58</v>
      </c>
      <c r="F1761" t="s">
        <v>227</v>
      </c>
      <c r="G1761" t="s">
        <v>246</v>
      </c>
      <c r="H1761" t="s">
        <v>297</v>
      </c>
      <c r="I1761" t="s">
        <v>451</v>
      </c>
      <c r="K1761" t="s">
        <v>466</v>
      </c>
      <c r="L1761" t="s">
        <v>469</v>
      </c>
      <c r="M1761" t="s">
        <v>473</v>
      </c>
      <c r="N1761" t="s">
        <v>765</v>
      </c>
      <c r="O1761" t="s">
        <v>955</v>
      </c>
      <c r="P1761" s="1">
        <f>HYPERLINK("https://ec.europa.eu/info/funding-tenders/opportunities/portal/screen/opportunities/topic-details/horizon-miss-2022-ocean-01-01", "HORIZON-MISS-2022-OCEAN-01-01")</f>
        <v>0</v>
      </c>
      <c r="Q1761" t="s">
        <v>2677</v>
      </c>
    </row>
    <row r="1762" spans="1:17">
      <c r="A1762">
        <v>44799895</v>
      </c>
      <c r="B1762">
        <v>2022</v>
      </c>
      <c r="C1762" t="s">
        <v>35</v>
      </c>
      <c r="D1762" t="s">
        <v>54</v>
      </c>
      <c r="E1762" t="s">
        <v>58</v>
      </c>
      <c r="F1762" t="s">
        <v>227</v>
      </c>
      <c r="G1762" t="s">
        <v>246</v>
      </c>
      <c r="H1762" t="s">
        <v>297</v>
      </c>
      <c r="I1762" t="s">
        <v>451</v>
      </c>
      <c r="K1762" t="s">
        <v>466</v>
      </c>
      <c r="L1762" t="s">
        <v>469</v>
      </c>
      <c r="M1762" t="s">
        <v>473</v>
      </c>
      <c r="N1762" t="s">
        <v>765</v>
      </c>
      <c r="O1762" t="s">
        <v>955</v>
      </c>
      <c r="P1762" s="1">
        <f>HYPERLINK("https://ec.europa.eu/info/funding-tenders/opportunities/portal/screen/opportunities/topic-details/horizon-miss-2022-ocean-01-02", "HORIZON-MISS-2022-OCEAN-01-02")</f>
        <v>0</v>
      </c>
      <c r="Q1762" t="s">
        <v>2678</v>
      </c>
    </row>
    <row r="1763" spans="1:17">
      <c r="A1763">
        <v>44799906</v>
      </c>
      <c r="B1763">
        <v>2022</v>
      </c>
      <c r="C1763" t="s">
        <v>35</v>
      </c>
      <c r="D1763" t="s">
        <v>54</v>
      </c>
      <c r="E1763" t="s">
        <v>58</v>
      </c>
      <c r="F1763" t="s">
        <v>227</v>
      </c>
      <c r="G1763" t="s">
        <v>246</v>
      </c>
      <c r="H1763" t="s">
        <v>297</v>
      </c>
      <c r="I1763" t="s">
        <v>451</v>
      </c>
      <c r="K1763" t="s">
        <v>466</v>
      </c>
      <c r="L1763" t="s">
        <v>469</v>
      </c>
      <c r="M1763" t="s">
        <v>473</v>
      </c>
      <c r="N1763" t="s">
        <v>765</v>
      </c>
      <c r="O1763" t="s">
        <v>955</v>
      </c>
      <c r="P1763" s="1">
        <f>HYPERLINK("https://ec.europa.eu/info/funding-tenders/opportunities/portal/screen/opportunities/topic-details/horizon-miss-2022-ocean-01-03", "HORIZON-MISS-2022-OCEAN-01-03")</f>
        <v>0</v>
      </c>
      <c r="Q1763" t="s">
        <v>2679</v>
      </c>
    </row>
    <row r="1764" spans="1:17">
      <c r="A1764">
        <v>44799917</v>
      </c>
      <c r="B1764">
        <v>2022</v>
      </c>
      <c r="C1764" t="s">
        <v>35</v>
      </c>
      <c r="D1764" t="s">
        <v>54</v>
      </c>
      <c r="E1764" t="s">
        <v>58</v>
      </c>
      <c r="F1764" t="s">
        <v>227</v>
      </c>
      <c r="G1764" t="s">
        <v>246</v>
      </c>
      <c r="H1764" t="s">
        <v>297</v>
      </c>
      <c r="I1764" t="s">
        <v>451</v>
      </c>
      <c r="K1764" t="s">
        <v>466</v>
      </c>
      <c r="L1764" t="s">
        <v>469</v>
      </c>
      <c r="M1764" t="s">
        <v>473</v>
      </c>
      <c r="N1764" t="s">
        <v>765</v>
      </c>
      <c r="O1764" t="s">
        <v>955</v>
      </c>
      <c r="P1764" s="1">
        <f>HYPERLINK("https://ec.europa.eu/info/funding-tenders/opportunities/portal/screen/opportunities/topic-details/horizon-miss-2022-ocean-01-04", "HORIZON-MISS-2022-OCEAN-01-04")</f>
        <v>0</v>
      </c>
      <c r="Q1764" t="s">
        <v>2680</v>
      </c>
    </row>
    <row r="1765" spans="1:17">
      <c r="A1765">
        <v>44799928</v>
      </c>
      <c r="B1765">
        <v>2022</v>
      </c>
      <c r="C1765" t="s">
        <v>35</v>
      </c>
      <c r="D1765" t="s">
        <v>54</v>
      </c>
      <c r="E1765" t="s">
        <v>58</v>
      </c>
      <c r="F1765" t="s">
        <v>227</v>
      </c>
      <c r="G1765" t="s">
        <v>246</v>
      </c>
      <c r="H1765" t="s">
        <v>297</v>
      </c>
      <c r="I1765" t="s">
        <v>451</v>
      </c>
      <c r="K1765" t="s">
        <v>466</v>
      </c>
      <c r="L1765" t="s">
        <v>469</v>
      </c>
      <c r="M1765" t="s">
        <v>473</v>
      </c>
      <c r="N1765" t="s">
        <v>765</v>
      </c>
      <c r="O1765" t="s">
        <v>955</v>
      </c>
      <c r="P1765" s="1">
        <f>HYPERLINK("https://ec.europa.eu/info/funding-tenders/opportunities/portal/screen/opportunities/topic-details/horizon-miss-2022-ocean-01-05", "HORIZON-MISS-2022-OCEAN-01-05")</f>
        <v>0</v>
      </c>
      <c r="Q1765" t="s">
        <v>2681</v>
      </c>
    </row>
    <row r="1766" spans="1:17">
      <c r="A1766">
        <v>44799939</v>
      </c>
      <c r="B1766">
        <v>2022</v>
      </c>
      <c r="C1766" t="s">
        <v>35</v>
      </c>
      <c r="D1766" t="s">
        <v>54</v>
      </c>
      <c r="E1766" t="s">
        <v>58</v>
      </c>
      <c r="F1766" t="s">
        <v>227</v>
      </c>
      <c r="G1766" t="s">
        <v>246</v>
      </c>
      <c r="H1766" t="s">
        <v>297</v>
      </c>
      <c r="I1766" t="s">
        <v>451</v>
      </c>
      <c r="K1766" t="s">
        <v>466</v>
      </c>
      <c r="L1766" t="s">
        <v>469</v>
      </c>
      <c r="M1766" t="s">
        <v>473</v>
      </c>
      <c r="N1766" t="s">
        <v>765</v>
      </c>
      <c r="O1766" t="s">
        <v>955</v>
      </c>
      <c r="P1766" s="1">
        <f>HYPERLINK("https://ec.europa.eu/info/funding-tenders/opportunities/portal/screen/opportunities/topic-details/horizon-miss-2022-ocean-01-06", "HORIZON-MISS-2022-OCEAN-01-06")</f>
        <v>0</v>
      </c>
      <c r="Q1766" t="s">
        <v>2682</v>
      </c>
    </row>
    <row r="1767" spans="1:17">
      <c r="A1767">
        <v>44799950</v>
      </c>
      <c r="B1767">
        <v>2022</v>
      </c>
      <c r="C1767" t="s">
        <v>35</v>
      </c>
      <c r="D1767" t="s">
        <v>54</v>
      </c>
      <c r="E1767" t="s">
        <v>58</v>
      </c>
      <c r="F1767" t="s">
        <v>227</v>
      </c>
      <c r="G1767" t="s">
        <v>246</v>
      </c>
      <c r="H1767" t="s">
        <v>297</v>
      </c>
      <c r="I1767" t="s">
        <v>451</v>
      </c>
      <c r="K1767" t="s">
        <v>466</v>
      </c>
      <c r="L1767" t="s">
        <v>469</v>
      </c>
      <c r="M1767" t="s">
        <v>473</v>
      </c>
      <c r="N1767" t="s">
        <v>765</v>
      </c>
      <c r="O1767" t="s">
        <v>955</v>
      </c>
      <c r="P1767" s="1">
        <f>HYPERLINK("https://ec.europa.eu/info/funding-tenders/opportunities/portal/screen/opportunities/topic-details/horizon-miss-2022-ocean-01-07", "HORIZON-MISS-2022-OCEAN-01-07")</f>
        <v>0</v>
      </c>
      <c r="Q1767" t="s">
        <v>2683</v>
      </c>
    </row>
    <row r="1768" spans="1:17">
      <c r="A1768">
        <v>44799961</v>
      </c>
      <c r="B1768">
        <v>2022</v>
      </c>
      <c r="C1768" t="s">
        <v>35</v>
      </c>
      <c r="D1768" t="s">
        <v>54</v>
      </c>
      <c r="E1768" t="s">
        <v>58</v>
      </c>
      <c r="F1768" t="s">
        <v>227</v>
      </c>
      <c r="G1768" t="s">
        <v>246</v>
      </c>
      <c r="H1768" t="s">
        <v>297</v>
      </c>
      <c r="I1768" t="s">
        <v>451</v>
      </c>
      <c r="K1768" t="s">
        <v>466</v>
      </c>
      <c r="L1768" t="s">
        <v>469</v>
      </c>
      <c r="M1768" t="s">
        <v>472</v>
      </c>
      <c r="N1768" t="s">
        <v>765</v>
      </c>
      <c r="O1768" t="s">
        <v>955</v>
      </c>
      <c r="P1768" s="1">
        <f>HYPERLINK("https://ec.europa.eu/info/funding-tenders/opportunities/portal/screen/opportunities/topic-details/horizon-miss-2022-ocean-01-08", "HORIZON-MISS-2022-OCEAN-01-08")</f>
        <v>0</v>
      </c>
      <c r="Q1768" t="s">
        <v>2684</v>
      </c>
    </row>
    <row r="1769" spans="1:17">
      <c r="A1769">
        <v>44799972</v>
      </c>
      <c r="B1769">
        <v>2022</v>
      </c>
      <c r="C1769" t="s">
        <v>35</v>
      </c>
      <c r="D1769" t="s">
        <v>54</v>
      </c>
      <c r="E1769" t="s">
        <v>58</v>
      </c>
      <c r="F1769" t="s">
        <v>227</v>
      </c>
      <c r="G1769" t="s">
        <v>246</v>
      </c>
      <c r="H1769" t="s">
        <v>297</v>
      </c>
      <c r="I1769" t="s">
        <v>451</v>
      </c>
      <c r="K1769" t="s">
        <v>466</v>
      </c>
      <c r="L1769" t="s">
        <v>469</v>
      </c>
      <c r="M1769" t="s">
        <v>472</v>
      </c>
      <c r="N1769" t="s">
        <v>765</v>
      </c>
      <c r="O1769" t="s">
        <v>955</v>
      </c>
      <c r="P1769" s="1">
        <f>HYPERLINK("https://ec.europa.eu/info/funding-tenders/opportunities/portal/screen/opportunities/topic-details/horizon-miss-2022-ocean-01-09", "HORIZON-MISS-2022-OCEAN-01-09")</f>
        <v>0</v>
      </c>
      <c r="Q1769" t="s">
        <v>2685</v>
      </c>
    </row>
    <row r="1770" spans="1:17">
      <c r="A1770">
        <v>44799983</v>
      </c>
      <c r="B1770">
        <v>2022</v>
      </c>
      <c r="C1770" t="s">
        <v>35</v>
      </c>
      <c r="D1770" t="s">
        <v>54</v>
      </c>
      <c r="E1770" t="s">
        <v>58</v>
      </c>
      <c r="F1770" t="s">
        <v>227</v>
      </c>
      <c r="G1770" t="s">
        <v>246</v>
      </c>
      <c r="H1770" t="s">
        <v>297</v>
      </c>
      <c r="I1770" t="s">
        <v>451</v>
      </c>
      <c r="K1770" t="s">
        <v>466</v>
      </c>
      <c r="L1770" t="s">
        <v>469</v>
      </c>
      <c r="M1770" t="s">
        <v>472</v>
      </c>
      <c r="N1770" t="s">
        <v>765</v>
      </c>
      <c r="O1770" t="s">
        <v>955</v>
      </c>
      <c r="P1770" s="1">
        <f>HYPERLINK("https://ec.europa.eu/info/funding-tenders/opportunities/portal/screen/opportunities/topic-details/horizon-miss-2022-ocean-01-10", "HORIZON-MISS-2022-OCEAN-01-10")</f>
        <v>0</v>
      </c>
      <c r="Q1770" t="s">
        <v>2686</v>
      </c>
    </row>
    <row r="1771" spans="1:17">
      <c r="A1771">
        <v>44799644</v>
      </c>
      <c r="B1771">
        <v>2022</v>
      </c>
      <c r="C1771" t="s">
        <v>35</v>
      </c>
      <c r="D1771" t="s">
        <v>54</v>
      </c>
      <c r="E1771" t="s">
        <v>58</v>
      </c>
      <c r="F1771" t="s">
        <v>237</v>
      </c>
      <c r="G1771" t="s">
        <v>246</v>
      </c>
      <c r="H1771" t="s">
        <v>297</v>
      </c>
      <c r="I1771" t="s">
        <v>451</v>
      </c>
      <c r="K1771" t="s">
        <v>466</v>
      </c>
      <c r="L1771" t="s">
        <v>469</v>
      </c>
      <c r="M1771" t="s">
        <v>473</v>
      </c>
      <c r="N1771" t="s">
        <v>766</v>
      </c>
      <c r="O1771" t="s">
        <v>956</v>
      </c>
      <c r="P1771" s="1">
        <f>HYPERLINK("https://ec.europa.eu/info/funding-tenders/opportunities/portal/screen/opportunities/topic-details/horizon-miss-2022-oceanclima-01-01", "HORIZON-MISS-2022-OCEANCLIMA-01-01")</f>
        <v>0</v>
      </c>
      <c r="Q1771" t="s">
        <v>2687</v>
      </c>
    </row>
    <row r="1772" spans="1:17">
      <c r="A1772">
        <v>45077800</v>
      </c>
      <c r="B1772">
        <v>2022</v>
      </c>
      <c r="C1772" t="s">
        <v>35</v>
      </c>
      <c r="D1772" t="s">
        <v>54</v>
      </c>
      <c r="E1772" t="s">
        <v>58</v>
      </c>
      <c r="F1772" t="s">
        <v>238</v>
      </c>
      <c r="G1772" t="s">
        <v>246</v>
      </c>
      <c r="H1772" t="s">
        <v>297</v>
      </c>
      <c r="I1772" t="s">
        <v>453</v>
      </c>
      <c r="K1772" t="s">
        <v>466</v>
      </c>
      <c r="L1772" t="s">
        <v>469</v>
      </c>
      <c r="M1772" t="s">
        <v>472</v>
      </c>
      <c r="N1772" t="s">
        <v>767</v>
      </c>
      <c r="O1772" t="s">
        <v>957</v>
      </c>
      <c r="P1772" s="1">
        <f>HYPERLINK("https://ec.europa.eu/info/funding-tenders/opportunities/portal/screen/opportunities/topic-details/horizon-miss-2022-socialcat-01-01", "HORIZON-MISS-2022-SOCIALCAT-01-01")</f>
        <v>0</v>
      </c>
      <c r="Q1772" t="s">
        <v>957</v>
      </c>
    </row>
    <row r="1773" spans="1:17">
      <c r="A1773">
        <v>44799737</v>
      </c>
      <c r="B1773">
        <v>2022</v>
      </c>
      <c r="C1773" t="s">
        <v>35</v>
      </c>
      <c r="D1773" t="s">
        <v>54</v>
      </c>
      <c r="E1773" t="s">
        <v>58</v>
      </c>
      <c r="F1773" t="s">
        <v>232</v>
      </c>
      <c r="G1773" t="s">
        <v>246</v>
      </c>
      <c r="H1773" t="s">
        <v>297</v>
      </c>
      <c r="I1773" t="s">
        <v>451</v>
      </c>
      <c r="K1773" t="s">
        <v>466</v>
      </c>
      <c r="L1773" t="s">
        <v>469</v>
      </c>
      <c r="M1773" t="s">
        <v>473</v>
      </c>
      <c r="N1773" t="s">
        <v>768</v>
      </c>
      <c r="O1773" t="s">
        <v>958</v>
      </c>
      <c r="P1773" s="1">
        <f>HYPERLINK("https://ec.europa.eu/info/funding-tenders/opportunities/portal/screen/opportunities/topic-details/horizon-miss-2022-soil-01-01", "HORIZON-MISS-2022-SOIL-01-01")</f>
        <v>0</v>
      </c>
      <c r="Q1773" t="s">
        <v>2688</v>
      </c>
    </row>
    <row r="1774" spans="1:17">
      <c r="A1774">
        <v>44799747</v>
      </c>
      <c r="B1774">
        <v>2022</v>
      </c>
      <c r="C1774" t="s">
        <v>35</v>
      </c>
      <c r="D1774" t="s">
        <v>54</v>
      </c>
      <c r="E1774" t="s">
        <v>58</v>
      </c>
      <c r="F1774" t="s">
        <v>232</v>
      </c>
      <c r="G1774" t="s">
        <v>246</v>
      </c>
      <c r="H1774" t="s">
        <v>297</v>
      </c>
      <c r="I1774" t="s">
        <v>451</v>
      </c>
      <c r="K1774" t="s">
        <v>466</v>
      </c>
      <c r="L1774" t="s">
        <v>469</v>
      </c>
      <c r="M1774" t="s">
        <v>471</v>
      </c>
      <c r="N1774" t="s">
        <v>768</v>
      </c>
      <c r="O1774" t="s">
        <v>958</v>
      </c>
      <c r="P1774" s="1">
        <f>HYPERLINK("https://ec.europa.eu/info/funding-tenders/opportunities/portal/screen/opportunities/topic-details/horizon-miss-2022-soil-01-02", "HORIZON-MISS-2022-SOIL-01-02")</f>
        <v>0</v>
      </c>
      <c r="Q1774" t="s">
        <v>2689</v>
      </c>
    </row>
    <row r="1775" spans="1:17">
      <c r="A1775">
        <v>44799758</v>
      </c>
      <c r="B1775">
        <v>2022</v>
      </c>
      <c r="C1775" t="s">
        <v>35</v>
      </c>
      <c r="D1775" t="s">
        <v>54</v>
      </c>
      <c r="E1775" t="s">
        <v>58</v>
      </c>
      <c r="F1775" t="s">
        <v>232</v>
      </c>
      <c r="G1775" t="s">
        <v>246</v>
      </c>
      <c r="H1775" t="s">
        <v>297</v>
      </c>
      <c r="I1775" t="s">
        <v>451</v>
      </c>
      <c r="K1775" t="s">
        <v>466</v>
      </c>
      <c r="L1775" t="s">
        <v>469</v>
      </c>
      <c r="M1775" t="s">
        <v>471</v>
      </c>
      <c r="N1775" t="s">
        <v>768</v>
      </c>
      <c r="O1775" t="s">
        <v>958</v>
      </c>
      <c r="P1775" s="1">
        <f>HYPERLINK("https://ec.europa.eu/info/funding-tenders/opportunities/portal/screen/opportunities/topic-details/horizon-miss-2022-soil-01-03", "HORIZON-MISS-2022-SOIL-01-03")</f>
        <v>0</v>
      </c>
      <c r="Q1775" t="s">
        <v>2690</v>
      </c>
    </row>
    <row r="1776" spans="1:17">
      <c r="A1776">
        <v>44799769</v>
      </c>
      <c r="B1776">
        <v>2022</v>
      </c>
      <c r="C1776" t="s">
        <v>35</v>
      </c>
      <c r="D1776" t="s">
        <v>54</v>
      </c>
      <c r="E1776" t="s">
        <v>58</v>
      </c>
      <c r="F1776" t="s">
        <v>232</v>
      </c>
      <c r="G1776" t="s">
        <v>246</v>
      </c>
      <c r="H1776" t="s">
        <v>297</v>
      </c>
      <c r="I1776" t="s">
        <v>451</v>
      </c>
      <c r="K1776" t="s">
        <v>466</v>
      </c>
      <c r="L1776" t="s">
        <v>469</v>
      </c>
      <c r="M1776" t="s">
        <v>471</v>
      </c>
      <c r="N1776" t="s">
        <v>768</v>
      </c>
      <c r="O1776" t="s">
        <v>958</v>
      </c>
      <c r="P1776" s="1">
        <f>HYPERLINK("https://ec.europa.eu/info/funding-tenders/opportunities/portal/screen/opportunities/topic-details/horizon-miss-2022-soil-01-04", "HORIZON-MISS-2022-SOIL-01-04")</f>
        <v>0</v>
      </c>
      <c r="Q1776" t="s">
        <v>2691</v>
      </c>
    </row>
    <row r="1777" spans="1:17">
      <c r="A1777">
        <v>44799779</v>
      </c>
      <c r="B1777">
        <v>2022</v>
      </c>
      <c r="C1777" t="s">
        <v>35</v>
      </c>
      <c r="D1777" t="s">
        <v>54</v>
      </c>
      <c r="E1777" t="s">
        <v>58</v>
      </c>
      <c r="F1777" t="s">
        <v>232</v>
      </c>
      <c r="G1777" t="s">
        <v>246</v>
      </c>
      <c r="H1777" t="s">
        <v>297</v>
      </c>
      <c r="I1777" t="s">
        <v>451</v>
      </c>
      <c r="K1777" t="s">
        <v>466</v>
      </c>
      <c r="L1777" t="s">
        <v>469</v>
      </c>
      <c r="M1777" t="s">
        <v>471</v>
      </c>
      <c r="N1777" t="s">
        <v>768</v>
      </c>
      <c r="O1777" t="s">
        <v>958</v>
      </c>
      <c r="P1777" s="1">
        <f>HYPERLINK("https://ec.europa.eu/info/funding-tenders/opportunities/portal/screen/opportunities/topic-details/horizon-miss-2022-soil-01-05", "HORIZON-MISS-2022-SOIL-01-05")</f>
        <v>0</v>
      </c>
      <c r="Q1777" t="s">
        <v>2692</v>
      </c>
    </row>
    <row r="1778" spans="1:17">
      <c r="A1778">
        <v>44799789</v>
      </c>
      <c r="B1778">
        <v>2022</v>
      </c>
      <c r="C1778" t="s">
        <v>35</v>
      </c>
      <c r="D1778" t="s">
        <v>54</v>
      </c>
      <c r="E1778" t="s">
        <v>58</v>
      </c>
      <c r="F1778" t="s">
        <v>232</v>
      </c>
      <c r="G1778" t="s">
        <v>246</v>
      </c>
      <c r="H1778" t="s">
        <v>297</v>
      </c>
      <c r="I1778" t="s">
        <v>451</v>
      </c>
      <c r="K1778" t="s">
        <v>466</v>
      </c>
      <c r="L1778" t="s">
        <v>469</v>
      </c>
      <c r="M1778" t="s">
        <v>472</v>
      </c>
      <c r="N1778" t="s">
        <v>768</v>
      </c>
      <c r="O1778" t="s">
        <v>958</v>
      </c>
      <c r="P1778" s="1">
        <f>HYPERLINK("https://ec.europa.eu/info/funding-tenders/opportunities/portal/screen/opportunities/topic-details/horizon-miss-2022-soil-01-06", "HORIZON-MISS-2022-SOIL-01-06")</f>
        <v>0</v>
      </c>
      <c r="Q1778" t="s">
        <v>2693</v>
      </c>
    </row>
    <row r="1779" spans="1:17">
      <c r="A1779">
        <v>44799799</v>
      </c>
      <c r="B1779">
        <v>2022</v>
      </c>
      <c r="C1779" t="s">
        <v>35</v>
      </c>
      <c r="D1779" t="s">
        <v>54</v>
      </c>
      <c r="E1779" t="s">
        <v>58</v>
      </c>
      <c r="F1779" t="s">
        <v>232</v>
      </c>
      <c r="G1779" t="s">
        <v>246</v>
      </c>
      <c r="H1779" t="s">
        <v>297</v>
      </c>
      <c r="I1779" t="s">
        <v>451</v>
      </c>
      <c r="K1779" t="s">
        <v>466</v>
      </c>
      <c r="L1779" t="s">
        <v>469</v>
      </c>
      <c r="M1779" t="s">
        <v>471</v>
      </c>
      <c r="N1779" t="s">
        <v>768</v>
      </c>
      <c r="O1779" t="s">
        <v>958</v>
      </c>
      <c r="P1779" s="1">
        <f>HYPERLINK("https://ec.europa.eu/info/funding-tenders/opportunities/portal/screen/opportunities/topic-details/horizon-miss-2022-soil-01-07", "HORIZON-MISS-2022-SOIL-01-07")</f>
        <v>0</v>
      </c>
      <c r="Q1779" t="s">
        <v>2694</v>
      </c>
    </row>
    <row r="1780" spans="1:17">
      <c r="A1780">
        <v>44799727</v>
      </c>
      <c r="B1780">
        <v>2022</v>
      </c>
      <c r="C1780" t="s">
        <v>35</v>
      </c>
      <c r="D1780" t="s">
        <v>54</v>
      </c>
      <c r="E1780" t="s">
        <v>58</v>
      </c>
      <c r="F1780" t="s">
        <v>232</v>
      </c>
      <c r="G1780" t="s">
        <v>246</v>
      </c>
      <c r="H1780" t="s">
        <v>297</v>
      </c>
      <c r="I1780" t="s">
        <v>451</v>
      </c>
      <c r="K1780" t="s">
        <v>466</v>
      </c>
      <c r="L1780" t="s">
        <v>469</v>
      </c>
      <c r="M1780" t="s">
        <v>475</v>
      </c>
      <c r="N1780" t="s">
        <v>768</v>
      </c>
      <c r="O1780" t="s">
        <v>958</v>
      </c>
      <c r="P1780" s="1">
        <f>HYPERLINK("https://ec.europa.eu/info/funding-tenders/opportunities/portal/screen/opportunities/topic-details/horizon-miss-2022-soil-01-08", "HORIZON-MISS-2022-SOIL-01-08")</f>
        <v>0</v>
      </c>
      <c r="Q1780" t="s">
        <v>2695</v>
      </c>
    </row>
    <row r="1781" spans="1:17">
      <c r="A1781">
        <v>44799706</v>
      </c>
      <c r="B1781">
        <v>2022</v>
      </c>
      <c r="C1781" t="s">
        <v>35</v>
      </c>
      <c r="D1781" t="s">
        <v>54</v>
      </c>
      <c r="E1781" t="s">
        <v>58</v>
      </c>
      <c r="F1781" t="s">
        <v>232</v>
      </c>
      <c r="G1781" t="s">
        <v>246</v>
      </c>
      <c r="H1781" t="s">
        <v>297</v>
      </c>
      <c r="I1781" t="s">
        <v>451</v>
      </c>
      <c r="K1781" t="s">
        <v>466</v>
      </c>
      <c r="L1781" t="s">
        <v>469</v>
      </c>
      <c r="M1781" t="s">
        <v>471</v>
      </c>
      <c r="N1781" t="s">
        <v>768</v>
      </c>
      <c r="O1781" t="s">
        <v>958</v>
      </c>
      <c r="P1781" s="1">
        <f>HYPERLINK("https://ec.europa.eu/info/funding-tenders/opportunities/portal/screen/opportunities/topic-details/horizon-miss-2022-soil-01-09", "HORIZON-MISS-2022-SOIL-01-09")</f>
        <v>0</v>
      </c>
      <c r="Q1781" t="s">
        <v>2696</v>
      </c>
    </row>
    <row r="1782" spans="1:17">
      <c r="A1782">
        <v>44799716</v>
      </c>
      <c r="B1782">
        <v>2022</v>
      </c>
      <c r="C1782" t="s">
        <v>35</v>
      </c>
      <c r="D1782" t="s">
        <v>54</v>
      </c>
      <c r="E1782" t="s">
        <v>58</v>
      </c>
      <c r="F1782" t="s">
        <v>232</v>
      </c>
      <c r="G1782" t="s">
        <v>246</v>
      </c>
      <c r="H1782" t="s">
        <v>297</v>
      </c>
      <c r="I1782" t="s">
        <v>451</v>
      </c>
      <c r="K1782" t="s">
        <v>466</v>
      </c>
      <c r="L1782" t="s">
        <v>469</v>
      </c>
      <c r="M1782" t="s">
        <v>473</v>
      </c>
      <c r="N1782" t="s">
        <v>768</v>
      </c>
      <c r="O1782" t="s">
        <v>958</v>
      </c>
      <c r="P1782" s="1">
        <f>HYPERLINK("https://ec.europa.eu/info/funding-tenders/opportunities/portal/screen/opportunities/topic-details/horizon-miss-2022-soil-01-10", "HORIZON-MISS-2022-SOIL-01-10")</f>
        <v>0</v>
      </c>
      <c r="Q1782" t="s">
        <v>2697</v>
      </c>
    </row>
    <row r="1783" spans="1:17">
      <c r="A1783">
        <v>45741071</v>
      </c>
      <c r="B1783">
        <v>2023</v>
      </c>
      <c r="C1783" t="s">
        <v>35</v>
      </c>
      <c r="D1783" t="s">
        <v>54</v>
      </c>
      <c r="E1783" t="s">
        <v>93</v>
      </c>
      <c r="F1783" t="s">
        <v>235</v>
      </c>
      <c r="G1783" t="s">
        <v>248</v>
      </c>
      <c r="H1783" t="s">
        <v>345</v>
      </c>
      <c r="I1783" t="s">
        <v>406</v>
      </c>
      <c r="K1783" t="s">
        <v>466</v>
      </c>
      <c r="L1783" t="s">
        <v>469</v>
      </c>
      <c r="M1783" t="s">
        <v>471</v>
      </c>
      <c r="N1783" t="s">
        <v>769</v>
      </c>
      <c r="O1783" t="s">
        <v>938</v>
      </c>
      <c r="P1783" s="1">
        <f>HYPERLINK("https://ec.europa.eu/info/funding-tenders/opportunities/portal/screen/opportunities/topic-details/horizon-miss-2023-cancer-01-01", "HORIZON-MISS-2023-CANCER-01-01")</f>
        <v>0</v>
      </c>
      <c r="Q1783" t="s">
        <v>2698</v>
      </c>
    </row>
    <row r="1784" spans="1:17">
      <c r="A1784">
        <v>45740984</v>
      </c>
      <c r="B1784">
        <v>2023</v>
      </c>
      <c r="C1784" t="s">
        <v>35</v>
      </c>
      <c r="D1784" t="s">
        <v>54</v>
      </c>
      <c r="E1784" t="s">
        <v>93</v>
      </c>
      <c r="F1784" t="s">
        <v>235</v>
      </c>
      <c r="G1784" t="s">
        <v>248</v>
      </c>
      <c r="H1784" t="s">
        <v>345</v>
      </c>
      <c r="I1784" t="s">
        <v>406</v>
      </c>
      <c r="K1784" t="s">
        <v>466</v>
      </c>
      <c r="L1784" t="s">
        <v>469</v>
      </c>
      <c r="M1784" t="s">
        <v>471</v>
      </c>
      <c r="N1784" t="s">
        <v>769</v>
      </c>
      <c r="O1784" t="s">
        <v>938</v>
      </c>
      <c r="P1784" s="1">
        <f>HYPERLINK("https://ec.europa.eu/info/funding-tenders/opportunities/portal/screen/opportunities/topic-details/horizon-miss-2023-cancer-01-02", "HORIZON-MISS-2023-CANCER-01-02")</f>
        <v>0</v>
      </c>
      <c r="Q1784" t="s">
        <v>2699</v>
      </c>
    </row>
    <row r="1785" spans="1:17">
      <c r="A1785">
        <v>45741030</v>
      </c>
      <c r="B1785">
        <v>2023</v>
      </c>
      <c r="C1785" t="s">
        <v>35</v>
      </c>
      <c r="D1785" t="s">
        <v>54</v>
      </c>
      <c r="E1785" t="s">
        <v>93</v>
      </c>
      <c r="F1785" t="s">
        <v>235</v>
      </c>
      <c r="G1785" t="s">
        <v>248</v>
      </c>
      <c r="H1785" t="s">
        <v>345</v>
      </c>
      <c r="I1785" t="s">
        <v>406</v>
      </c>
      <c r="K1785" t="s">
        <v>466</v>
      </c>
      <c r="L1785" t="s">
        <v>469</v>
      </c>
      <c r="M1785" t="s">
        <v>471</v>
      </c>
      <c r="N1785" t="s">
        <v>769</v>
      </c>
      <c r="O1785" t="s">
        <v>938</v>
      </c>
      <c r="P1785" s="1">
        <f>HYPERLINK("https://ec.europa.eu/info/funding-tenders/opportunities/portal/screen/opportunities/topic-details/horizon-miss-2023-cancer-01-03", "HORIZON-MISS-2023-CANCER-01-03")</f>
        <v>0</v>
      </c>
      <c r="Q1785" t="s">
        <v>2700</v>
      </c>
    </row>
    <row r="1786" spans="1:17">
      <c r="A1786">
        <v>45741115</v>
      </c>
      <c r="B1786">
        <v>2023</v>
      </c>
      <c r="C1786" t="s">
        <v>35</v>
      </c>
      <c r="D1786" t="s">
        <v>54</v>
      </c>
      <c r="E1786" t="s">
        <v>93</v>
      </c>
      <c r="F1786" t="s">
        <v>235</v>
      </c>
      <c r="G1786" t="s">
        <v>248</v>
      </c>
      <c r="H1786" t="s">
        <v>345</v>
      </c>
      <c r="I1786" t="s">
        <v>406</v>
      </c>
      <c r="K1786" t="s">
        <v>466</v>
      </c>
      <c r="L1786" t="s">
        <v>469</v>
      </c>
      <c r="M1786" t="s">
        <v>473</v>
      </c>
      <c r="N1786" t="s">
        <v>769</v>
      </c>
      <c r="O1786" t="s">
        <v>938</v>
      </c>
      <c r="P1786" s="1">
        <f>HYPERLINK("https://ec.europa.eu/info/funding-tenders/opportunities/portal/screen/opportunities/topic-details/horizon-miss-2023-cancer-01-04", "HORIZON-MISS-2023-CANCER-01-04")</f>
        <v>0</v>
      </c>
      <c r="Q1786" t="s">
        <v>2701</v>
      </c>
    </row>
    <row r="1787" spans="1:17">
      <c r="A1787">
        <v>45740804</v>
      </c>
      <c r="B1787">
        <v>2023</v>
      </c>
      <c r="C1787" t="s">
        <v>35</v>
      </c>
      <c r="D1787" t="s">
        <v>54</v>
      </c>
      <c r="E1787" t="s">
        <v>58</v>
      </c>
      <c r="F1787" t="s">
        <v>221</v>
      </c>
      <c r="G1787" t="s">
        <v>248</v>
      </c>
      <c r="H1787" t="s">
        <v>299</v>
      </c>
      <c r="I1787" t="s">
        <v>454</v>
      </c>
      <c r="K1787" t="s">
        <v>466</v>
      </c>
      <c r="L1787" t="s">
        <v>469</v>
      </c>
      <c r="M1787" t="s">
        <v>473</v>
      </c>
      <c r="N1787" t="s">
        <v>770</v>
      </c>
      <c r="O1787" t="s">
        <v>959</v>
      </c>
      <c r="P1787" s="1">
        <f>HYPERLINK("https://ec.europa.eu/info/funding-tenders/opportunities/portal/screen/opportunities/topic-details/horizon-miss-2023-cit-01-01", "HORIZON-MISS-2023-CIT-01-01")</f>
        <v>0</v>
      </c>
      <c r="Q1787" t="s">
        <v>2702</v>
      </c>
    </row>
    <row r="1788" spans="1:17">
      <c r="A1788">
        <v>45740844</v>
      </c>
      <c r="B1788">
        <v>2023</v>
      </c>
      <c r="C1788" t="s">
        <v>35</v>
      </c>
      <c r="D1788" t="s">
        <v>54</v>
      </c>
      <c r="E1788" t="s">
        <v>58</v>
      </c>
      <c r="F1788" t="s">
        <v>221</v>
      </c>
      <c r="G1788" t="s">
        <v>248</v>
      </c>
      <c r="H1788" t="s">
        <v>299</v>
      </c>
      <c r="I1788" t="s">
        <v>454</v>
      </c>
      <c r="K1788" t="s">
        <v>466</v>
      </c>
      <c r="L1788" t="s">
        <v>469</v>
      </c>
      <c r="M1788" t="s">
        <v>473</v>
      </c>
      <c r="N1788" t="s">
        <v>770</v>
      </c>
      <c r="O1788" t="s">
        <v>959</v>
      </c>
      <c r="P1788" s="1">
        <f>HYPERLINK("https://ec.europa.eu/info/funding-tenders/opportunities/portal/screen/opportunities/topic-details/horizon-miss-2023-cit-01-02", "HORIZON-MISS-2023-CIT-01-02")</f>
        <v>0</v>
      </c>
      <c r="Q1788" t="s">
        <v>2703</v>
      </c>
    </row>
    <row r="1789" spans="1:17">
      <c r="A1789">
        <v>45743489</v>
      </c>
      <c r="B1789">
        <v>2023</v>
      </c>
      <c r="C1789" t="s">
        <v>35</v>
      </c>
      <c r="D1789" t="s">
        <v>54</v>
      </c>
      <c r="E1789" t="s">
        <v>58</v>
      </c>
      <c r="F1789" t="s">
        <v>222</v>
      </c>
      <c r="G1789" t="s">
        <v>248</v>
      </c>
      <c r="H1789" t="s">
        <v>364</v>
      </c>
      <c r="I1789" t="s">
        <v>455</v>
      </c>
      <c r="K1789" t="s">
        <v>466</v>
      </c>
      <c r="L1789" t="s">
        <v>469</v>
      </c>
      <c r="M1789" t="s">
        <v>472</v>
      </c>
      <c r="N1789" t="s">
        <v>771</v>
      </c>
      <c r="O1789" t="s">
        <v>960</v>
      </c>
      <c r="P1789" s="1">
        <f>HYPERLINK("https://ec.europa.eu/info/funding-tenders/opportunities/portal/screen/opportunities/topic-details/horizon-miss-2023-cit-02-01", "HORIZON-MISS-2023-CIT-02-01")</f>
        <v>0</v>
      </c>
      <c r="Q1789" t="s">
        <v>960</v>
      </c>
    </row>
    <row r="1790" spans="1:17">
      <c r="A1790">
        <v>45740695</v>
      </c>
      <c r="B1790">
        <v>2023</v>
      </c>
      <c r="C1790" t="s">
        <v>35</v>
      </c>
      <c r="D1790" t="s">
        <v>54</v>
      </c>
      <c r="E1790" t="s">
        <v>74</v>
      </c>
      <c r="F1790" t="s">
        <v>223</v>
      </c>
      <c r="G1790" t="s">
        <v>248</v>
      </c>
      <c r="H1790" t="s">
        <v>299</v>
      </c>
      <c r="I1790" t="s">
        <v>261</v>
      </c>
      <c r="K1790" t="s">
        <v>466</v>
      </c>
      <c r="L1790" t="s">
        <v>469</v>
      </c>
      <c r="M1790" t="s">
        <v>473</v>
      </c>
      <c r="N1790" t="s">
        <v>772</v>
      </c>
      <c r="O1790" t="s">
        <v>961</v>
      </c>
      <c r="P1790" s="1">
        <f>HYPERLINK("https://ec.europa.eu/info/funding-tenders/opportunities/portal/screen/opportunities/topic-details/horizon-miss-2023-clima-01-01", "HORIZON-MISS-2023-CLIMA-01-01")</f>
        <v>0</v>
      </c>
      <c r="Q1790" t="s">
        <v>2704</v>
      </c>
    </row>
    <row r="1791" spans="1:17">
      <c r="A1791">
        <v>45740642</v>
      </c>
      <c r="B1791">
        <v>2023</v>
      </c>
      <c r="C1791" t="s">
        <v>35</v>
      </c>
      <c r="D1791" t="s">
        <v>54</v>
      </c>
      <c r="E1791" t="s">
        <v>71</v>
      </c>
      <c r="F1791" t="s">
        <v>223</v>
      </c>
      <c r="G1791" t="s">
        <v>248</v>
      </c>
      <c r="H1791" t="s">
        <v>299</v>
      </c>
      <c r="I1791" t="s">
        <v>261</v>
      </c>
      <c r="K1791" t="s">
        <v>466</v>
      </c>
      <c r="L1791" t="s">
        <v>469</v>
      </c>
      <c r="M1791" t="s">
        <v>473</v>
      </c>
      <c r="N1791" t="s">
        <v>772</v>
      </c>
      <c r="O1791" t="s">
        <v>961</v>
      </c>
      <c r="P1791" s="1">
        <f>HYPERLINK("https://ec.europa.eu/info/funding-tenders/opportunities/portal/screen/opportunities/topic-details/horizon-miss-2023-clima-01-02", "HORIZON-MISS-2023-CLIMA-01-02")</f>
        <v>0</v>
      </c>
      <c r="Q1791" t="s">
        <v>2705</v>
      </c>
    </row>
    <row r="1792" spans="1:17">
      <c r="A1792">
        <v>45740581</v>
      </c>
      <c r="B1792">
        <v>2023</v>
      </c>
      <c r="C1792" t="s">
        <v>35</v>
      </c>
      <c r="D1792" t="s">
        <v>54</v>
      </c>
      <c r="E1792" t="s">
        <v>71</v>
      </c>
      <c r="F1792" t="s">
        <v>223</v>
      </c>
      <c r="G1792" t="s">
        <v>248</v>
      </c>
      <c r="H1792" t="s">
        <v>299</v>
      </c>
      <c r="I1792" t="s">
        <v>261</v>
      </c>
      <c r="K1792" t="s">
        <v>466</v>
      </c>
      <c r="L1792" t="s">
        <v>469</v>
      </c>
      <c r="M1792" t="s">
        <v>473</v>
      </c>
      <c r="N1792" t="s">
        <v>772</v>
      </c>
      <c r="O1792" t="s">
        <v>961</v>
      </c>
      <c r="P1792" s="1">
        <f>HYPERLINK("https://ec.europa.eu/info/funding-tenders/opportunities/portal/screen/opportunities/topic-details/horizon-miss-2023-clima-01-03", "HORIZON-MISS-2023-CLIMA-01-03")</f>
        <v>0</v>
      </c>
      <c r="Q1792" t="s">
        <v>2706</v>
      </c>
    </row>
    <row r="1793" spans="1:17">
      <c r="A1793">
        <v>45740911</v>
      </c>
      <c r="B1793">
        <v>2023</v>
      </c>
      <c r="C1793" t="s">
        <v>35</v>
      </c>
      <c r="D1793" t="s">
        <v>54</v>
      </c>
      <c r="E1793" t="s">
        <v>58</v>
      </c>
      <c r="F1793" t="s">
        <v>239</v>
      </c>
      <c r="G1793" t="s">
        <v>248</v>
      </c>
      <c r="H1793" t="s">
        <v>299</v>
      </c>
      <c r="I1793" t="s">
        <v>454</v>
      </c>
      <c r="K1793" t="s">
        <v>466</v>
      </c>
      <c r="L1793" t="s">
        <v>469</v>
      </c>
      <c r="M1793" t="s">
        <v>473</v>
      </c>
      <c r="N1793" t="s">
        <v>773</v>
      </c>
      <c r="O1793" t="s">
        <v>962</v>
      </c>
      <c r="P1793" s="1">
        <f>HYPERLINK("https://ec.europa.eu/info/funding-tenders/opportunities/portal/screen/opportunities/topic-details/horizon-miss-2023-clima-cities-01-01", "HORIZON-MISS-2023-CLIMA-CITIES-01-01")</f>
        <v>0</v>
      </c>
      <c r="Q1793" t="s">
        <v>2707</v>
      </c>
    </row>
    <row r="1794" spans="1:17">
      <c r="A1794">
        <v>45742554</v>
      </c>
      <c r="B1794">
        <v>2023</v>
      </c>
      <c r="C1794" t="s">
        <v>35</v>
      </c>
      <c r="D1794" t="s">
        <v>54</v>
      </c>
      <c r="E1794" t="s">
        <v>58</v>
      </c>
      <c r="F1794" t="s">
        <v>240</v>
      </c>
      <c r="G1794" t="s">
        <v>248</v>
      </c>
      <c r="H1794" t="s">
        <v>274</v>
      </c>
      <c r="I1794" t="s">
        <v>261</v>
      </c>
      <c r="K1794" t="s">
        <v>466</v>
      </c>
      <c r="L1794" t="s">
        <v>469</v>
      </c>
      <c r="M1794" t="s">
        <v>473</v>
      </c>
      <c r="N1794" t="s">
        <v>774</v>
      </c>
      <c r="O1794" t="s">
        <v>963</v>
      </c>
      <c r="P1794" s="1">
        <f>HYPERLINK("https://ec.europa.eu/info/funding-tenders/opportunities/portal/screen/opportunities/topic-details/horizon-miss-2023-clima-ocean-soil-01-01", "HORIZON-MISS-2023-CLIMA-OCEAN-SOIL-01-01")</f>
        <v>0</v>
      </c>
      <c r="Q1794" t="s">
        <v>2708</v>
      </c>
    </row>
    <row r="1795" spans="1:17">
      <c r="A1795">
        <v>45741726</v>
      </c>
      <c r="B1795">
        <v>2023</v>
      </c>
      <c r="C1795" t="s">
        <v>35</v>
      </c>
      <c r="D1795" t="s">
        <v>54</v>
      </c>
      <c r="E1795" t="s">
        <v>85</v>
      </c>
      <c r="F1795" t="s">
        <v>227</v>
      </c>
      <c r="G1795" t="s">
        <v>248</v>
      </c>
      <c r="H1795" t="s">
        <v>274</v>
      </c>
      <c r="I1795" t="s">
        <v>261</v>
      </c>
      <c r="K1795" t="s">
        <v>466</v>
      </c>
      <c r="L1795" t="s">
        <v>469</v>
      </c>
      <c r="M1795" t="s">
        <v>473</v>
      </c>
      <c r="N1795" t="s">
        <v>775</v>
      </c>
      <c r="O1795" t="s">
        <v>955</v>
      </c>
      <c r="P1795" s="1">
        <f>HYPERLINK("https://ec.europa.eu/info/funding-tenders/opportunities/portal/screen/opportunities/topic-details/horizon-miss-2023-ocean-01-01", "HORIZON-MISS-2023-OCEAN-01-01")</f>
        <v>0</v>
      </c>
      <c r="Q1795" t="s">
        <v>2709</v>
      </c>
    </row>
    <row r="1796" spans="1:17">
      <c r="A1796">
        <v>45741299</v>
      </c>
      <c r="B1796">
        <v>2023</v>
      </c>
      <c r="C1796" t="s">
        <v>35</v>
      </c>
      <c r="D1796" t="s">
        <v>54</v>
      </c>
      <c r="E1796" t="s">
        <v>85</v>
      </c>
      <c r="F1796" t="s">
        <v>227</v>
      </c>
      <c r="G1796" t="s">
        <v>248</v>
      </c>
      <c r="H1796" t="s">
        <v>274</v>
      </c>
      <c r="I1796" t="s">
        <v>261</v>
      </c>
      <c r="K1796" t="s">
        <v>466</v>
      </c>
      <c r="L1796" t="s">
        <v>469</v>
      </c>
      <c r="M1796" t="s">
        <v>473</v>
      </c>
      <c r="N1796" t="s">
        <v>775</v>
      </c>
      <c r="O1796" t="s">
        <v>955</v>
      </c>
      <c r="P1796" s="1">
        <f>HYPERLINK("https://ec.europa.eu/info/funding-tenders/opportunities/portal/screen/opportunities/topic-details/horizon-miss-2023-ocean-01-02", "HORIZON-MISS-2023-OCEAN-01-02")</f>
        <v>0</v>
      </c>
      <c r="Q1796" t="s">
        <v>2710</v>
      </c>
    </row>
    <row r="1797" spans="1:17">
      <c r="A1797">
        <v>45741567</v>
      </c>
      <c r="B1797">
        <v>2023</v>
      </c>
      <c r="C1797" t="s">
        <v>35</v>
      </c>
      <c r="D1797" t="s">
        <v>54</v>
      </c>
      <c r="E1797" t="s">
        <v>85</v>
      </c>
      <c r="F1797" t="s">
        <v>227</v>
      </c>
      <c r="G1797" t="s">
        <v>248</v>
      </c>
      <c r="H1797" t="s">
        <v>274</v>
      </c>
      <c r="I1797" t="s">
        <v>261</v>
      </c>
      <c r="K1797" t="s">
        <v>466</v>
      </c>
      <c r="L1797" t="s">
        <v>469</v>
      </c>
      <c r="M1797" t="s">
        <v>473</v>
      </c>
      <c r="N1797" t="s">
        <v>775</v>
      </c>
      <c r="O1797" t="s">
        <v>955</v>
      </c>
      <c r="P1797" s="1">
        <f>HYPERLINK("https://ec.europa.eu/info/funding-tenders/opportunities/portal/screen/opportunities/topic-details/horizon-miss-2023-ocean-01-03", "HORIZON-MISS-2023-OCEAN-01-03")</f>
        <v>0</v>
      </c>
      <c r="Q1797" t="s">
        <v>2711</v>
      </c>
    </row>
    <row r="1798" spans="1:17">
      <c r="A1798">
        <v>45741472</v>
      </c>
      <c r="B1798">
        <v>2023</v>
      </c>
      <c r="C1798" t="s">
        <v>35</v>
      </c>
      <c r="D1798" t="s">
        <v>54</v>
      </c>
      <c r="E1798" t="s">
        <v>85</v>
      </c>
      <c r="F1798" t="s">
        <v>227</v>
      </c>
      <c r="G1798" t="s">
        <v>248</v>
      </c>
      <c r="H1798" t="s">
        <v>274</v>
      </c>
      <c r="I1798" t="s">
        <v>261</v>
      </c>
      <c r="K1798" t="s">
        <v>466</v>
      </c>
      <c r="L1798" t="s">
        <v>469</v>
      </c>
      <c r="M1798" t="s">
        <v>473</v>
      </c>
      <c r="N1798" t="s">
        <v>775</v>
      </c>
      <c r="O1798" t="s">
        <v>955</v>
      </c>
      <c r="P1798" s="1">
        <f>HYPERLINK("https://ec.europa.eu/info/funding-tenders/opportunities/portal/screen/opportunities/topic-details/horizon-miss-2023-ocean-01-04", "HORIZON-MISS-2023-OCEAN-01-04")</f>
        <v>0</v>
      </c>
      <c r="Q1798" t="s">
        <v>2712</v>
      </c>
    </row>
    <row r="1799" spans="1:17">
      <c r="A1799">
        <v>45741354</v>
      </c>
      <c r="B1799">
        <v>2023</v>
      </c>
      <c r="C1799" t="s">
        <v>35</v>
      </c>
      <c r="D1799" t="s">
        <v>54</v>
      </c>
      <c r="E1799" t="s">
        <v>85</v>
      </c>
      <c r="F1799" t="s">
        <v>227</v>
      </c>
      <c r="G1799" t="s">
        <v>248</v>
      </c>
      <c r="H1799" t="s">
        <v>274</v>
      </c>
      <c r="I1799" t="s">
        <v>261</v>
      </c>
      <c r="K1799" t="s">
        <v>466</v>
      </c>
      <c r="L1799" t="s">
        <v>469</v>
      </c>
      <c r="M1799" t="s">
        <v>473</v>
      </c>
      <c r="N1799" t="s">
        <v>775</v>
      </c>
      <c r="O1799" t="s">
        <v>955</v>
      </c>
      <c r="P1799" s="1">
        <f>HYPERLINK("https://ec.europa.eu/info/funding-tenders/opportunities/portal/screen/opportunities/topic-details/horizon-miss-2023-ocean-01-05", "HORIZON-MISS-2023-OCEAN-01-05")</f>
        <v>0</v>
      </c>
      <c r="Q1799" t="s">
        <v>2713</v>
      </c>
    </row>
    <row r="1800" spans="1:17">
      <c r="A1800">
        <v>45741420</v>
      </c>
      <c r="B1800">
        <v>2023</v>
      </c>
      <c r="C1800" t="s">
        <v>35</v>
      </c>
      <c r="D1800" t="s">
        <v>54</v>
      </c>
      <c r="E1800" t="s">
        <v>85</v>
      </c>
      <c r="F1800" t="s">
        <v>227</v>
      </c>
      <c r="G1800" t="s">
        <v>248</v>
      </c>
      <c r="H1800" t="s">
        <v>274</v>
      </c>
      <c r="I1800" t="s">
        <v>261</v>
      </c>
      <c r="K1800" t="s">
        <v>466</v>
      </c>
      <c r="L1800" t="s">
        <v>469</v>
      </c>
      <c r="M1800" t="s">
        <v>471</v>
      </c>
      <c r="N1800" t="s">
        <v>775</v>
      </c>
      <c r="O1800" t="s">
        <v>955</v>
      </c>
      <c r="P1800" s="1">
        <f>HYPERLINK("https://ec.europa.eu/info/funding-tenders/opportunities/portal/screen/opportunities/topic-details/horizon-miss-2023-ocean-01-06", "HORIZON-MISS-2023-OCEAN-01-06")</f>
        <v>0</v>
      </c>
      <c r="Q1800" t="s">
        <v>2714</v>
      </c>
    </row>
    <row r="1801" spans="1:17">
      <c r="A1801">
        <v>45741680</v>
      </c>
      <c r="B1801">
        <v>2023</v>
      </c>
      <c r="C1801" t="s">
        <v>35</v>
      </c>
      <c r="D1801" t="s">
        <v>54</v>
      </c>
      <c r="E1801" t="s">
        <v>85</v>
      </c>
      <c r="F1801" t="s">
        <v>227</v>
      </c>
      <c r="G1801" t="s">
        <v>248</v>
      </c>
      <c r="H1801" t="s">
        <v>274</v>
      </c>
      <c r="I1801" t="s">
        <v>261</v>
      </c>
      <c r="K1801" t="s">
        <v>466</v>
      </c>
      <c r="L1801" t="s">
        <v>469</v>
      </c>
      <c r="M1801" t="s">
        <v>471</v>
      </c>
      <c r="N1801" t="s">
        <v>775</v>
      </c>
      <c r="O1801" t="s">
        <v>955</v>
      </c>
      <c r="P1801" s="1">
        <f>HYPERLINK("https://ec.europa.eu/info/funding-tenders/opportunities/portal/screen/opportunities/topic-details/horizon-miss-2023-ocean-01-07", "HORIZON-MISS-2023-OCEAN-01-07")</f>
        <v>0</v>
      </c>
      <c r="Q1801" t="s">
        <v>2715</v>
      </c>
    </row>
    <row r="1802" spans="1:17">
      <c r="A1802">
        <v>45741198</v>
      </c>
      <c r="B1802">
        <v>2023</v>
      </c>
      <c r="C1802" t="s">
        <v>35</v>
      </c>
      <c r="D1802" t="s">
        <v>54</v>
      </c>
      <c r="E1802" t="s">
        <v>85</v>
      </c>
      <c r="F1802" t="s">
        <v>227</v>
      </c>
      <c r="G1802" t="s">
        <v>248</v>
      </c>
      <c r="H1802" t="s">
        <v>274</v>
      </c>
      <c r="I1802" t="s">
        <v>261</v>
      </c>
      <c r="K1802" t="s">
        <v>466</v>
      </c>
      <c r="L1802" t="s">
        <v>469</v>
      </c>
      <c r="M1802" t="s">
        <v>471</v>
      </c>
      <c r="N1802" t="s">
        <v>775</v>
      </c>
      <c r="O1802" t="s">
        <v>955</v>
      </c>
      <c r="P1802" s="1">
        <f>HYPERLINK("https://ec.europa.eu/info/funding-tenders/opportunities/portal/screen/opportunities/topic-details/horizon-miss-2023-ocean-01-08", "HORIZON-MISS-2023-OCEAN-01-08")</f>
        <v>0</v>
      </c>
      <c r="Q1802" t="s">
        <v>2716</v>
      </c>
    </row>
    <row r="1803" spans="1:17">
      <c r="A1803">
        <v>45741251</v>
      </c>
      <c r="B1803">
        <v>2023</v>
      </c>
      <c r="C1803" t="s">
        <v>35</v>
      </c>
      <c r="D1803" t="s">
        <v>54</v>
      </c>
      <c r="E1803" t="s">
        <v>85</v>
      </c>
      <c r="F1803" t="s">
        <v>227</v>
      </c>
      <c r="G1803" t="s">
        <v>248</v>
      </c>
      <c r="H1803" t="s">
        <v>274</v>
      </c>
      <c r="I1803" t="s">
        <v>261</v>
      </c>
      <c r="K1803" t="s">
        <v>466</v>
      </c>
      <c r="L1803" t="s">
        <v>469</v>
      </c>
      <c r="M1803" t="s">
        <v>472</v>
      </c>
      <c r="N1803" t="s">
        <v>775</v>
      </c>
      <c r="O1803" t="s">
        <v>955</v>
      </c>
      <c r="P1803" s="1">
        <f>HYPERLINK("https://ec.europa.eu/info/funding-tenders/opportunities/portal/screen/opportunities/topic-details/horizon-miss-2023-ocean-01-09", "HORIZON-MISS-2023-OCEAN-01-09")</f>
        <v>0</v>
      </c>
      <c r="Q1803" t="s">
        <v>2717</v>
      </c>
    </row>
    <row r="1804" spans="1:17">
      <c r="A1804">
        <v>45741524</v>
      </c>
      <c r="B1804">
        <v>2023</v>
      </c>
      <c r="C1804" t="s">
        <v>35</v>
      </c>
      <c r="D1804" t="s">
        <v>54</v>
      </c>
      <c r="E1804" t="s">
        <v>85</v>
      </c>
      <c r="F1804" t="s">
        <v>227</v>
      </c>
      <c r="G1804" t="s">
        <v>248</v>
      </c>
      <c r="H1804" t="s">
        <v>274</v>
      </c>
      <c r="I1804" t="s">
        <v>261</v>
      </c>
      <c r="K1804" t="s">
        <v>466</v>
      </c>
      <c r="L1804" t="s">
        <v>469</v>
      </c>
      <c r="M1804" t="s">
        <v>472</v>
      </c>
      <c r="N1804" t="s">
        <v>775</v>
      </c>
      <c r="O1804" t="s">
        <v>955</v>
      </c>
      <c r="P1804" s="1">
        <f>HYPERLINK("https://ec.europa.eu/info/funding-tenders/opportunities/portal/screen/opportunities/topic-details/horizon-miss-2023-ocean-01-10", "HORIZON-MISS-2023-OCEAN-01-10")</f>
        <v>0</v>
      </c>
      <c r="Q1804" t="s">
        <v>2718</v>
      </c>
    </row>
    <row r="1805" spans="1:17">
      <c r="A1805">
        <v>45741635</v>
      </c>
      <c r="B1805">
        <v>2023</v>
      </c>
      <c r="C1805" t="s">
        <v>35</v>
      </c>
      <c r="D1805" t="s">
        <v>54</v>
      </c>
      <c r="E1805" t="s">
        <v>85</v>
      </c>
      <c r="F1805" t="s">
        <v>227</v>
      </c>
      <c r="G1805" t="s">
        <v>248</v>
      </c>
      <c r="H1805" t="s">
        <v>274</v>
      </c>
      <c r="I1805" t="s">
        <v>261</v>
      </c>
      <c r="K1805" t="s">
        <v>466</v>
      </c>
      <c r="L1805" t="s">
        <v>469</v>
      </c>
      <c r="M1805" t="s">
        <v>472</v>
      </c>
      <c r="N1805" t="s">
        <v>775</v>
      </c>
      <c r="O1805" t="s">
        <v>955</v>
      </c>
      <c r="P1805" s="1">
        <f>HYPERLINK("https://ec.europa.eu/info/funding-tenders/opportunities/portal/screen/opportunities/topic-details/horizon-miss-2023-ocean-01-11", "HORIZON-MISS-2023-OCEAN-01-11")</f>
        <v>0</v>
      </c>
      <c r="Q1805" t="s">
        <v>2719</v>
      </c>
    </row>
    <row r="1806" spans="1:17">
      <c r="A1806">
        <v>45742123</v>
      </c>
      <c r="B1806">
        <v>2023</v>
      </c>
      <c r="C1806" t="s">
        <v>35</v>
      </c>
      <c r="D1806" t="s">
        <v>54</v>
      </c>
      <c r="E1806" t="s">
        <v>58</v>
      </c>
      <c r="F1806" t="s">
        <v>232</v>
      </c>
      <c r="G1806" t="s">
        <v>248</v>
      </c>
      <c r="H1806" t="s">
        <v>274</v>
      </c>
      <c r="I1806" t="s">
        <v>261</v>
      </c>
      <c r="K1806" t="s">
        <v>466</v>
      </c>
      <c r="L1806" t="s">
        <v>469</v>
      </c>
      <c r="M1806" t="s">
        <v>471</v>
      </c>
      <c r="N1806" t="s">
        <v>776</v>
      </c>
      <c r="O1806" t="s">
        <v>964</v>
      </c>
      <c r="P1806" s="1">
        <f>HYPERLINK("https://ec.europa.eu/info/funding-tenders/opportunities/portal/screen/opportunities/topic-details/horizon-miss-2023-soil-01-01", "HORIZON-MISS-2023-SOIL-01-01")</f>
        <v>0</v>
      </c>
      <c r="Q1806" t="s">
        <v>2720</v>
      </c>
    </row>
    <row r="1807" spans="1:17">
      <c r="A1807">
        <v>45742230</v>
      </c>
      <c r="B1807">
        <v>2023</v>
      </c>
      <c r="C1807" t="s">
        <v>35</v>
      </c>
      <c r="D1807" t="s">
        <v>54</v>
      </c>
      <c r="E1807" t="s">
        <v>58</v>
      </c>
      <c r="F1807" t="s">
        <v>232</v>
      </c>
      <c r="G1807" t="s">
        <v>248</v>
      </c>
      <c r="H1807" t="s">
        <v>274</v>
      </c>
      <c r="I1807" t="s">
        <v>261</v>
      </c>
      <c r="K1807" t="s">
        <v>466</v>
      </c>
      <c r="L1807" t="s">
        <v>469</v>
      </c>
      <c r="M1807" t="s">
        <v>471</v>
      </c>
      <c r="N1807" t="s">
        <v>776</v>
      </c>
      <c r="O1807" t="s">
        <v>964</v>
      </c>
      <c r="P1807" s="1">
        <f>HYPERLINK("https://ec.europa.eu/info/funding-tenders/opportunities/portal/screen/opportunities/topic-details/horizon-miss-2023-soil-01-02", "HORIZON-MISS-2023-SOIL-01-02")</f>
        <v>0</v>
      </c>
      <c r="Q1807" t="s">
        <v>2721</v>
      </c>
    </row>
    <row r="1808" spans="1:17">
      <c r="A1808">
        <v>45742261</v>
      </c>
      <c r="B1808">
        <v>2023</v>
      </c>
      <c r="C1808" t="s">
        <v>35</v>
      </c>
      <c r="D1808" t="s">
        <v>54</v>
      </c>
      <c r="E1808" t="s">
        <v>58</v>
      </c>
      <c r="F1808" t="s">
        <v>232</v>
      </c>
      <c r="G1808" t="s">
        <v>248</v>
      </c>
      <c r="H1808" t="s">
        <v>274</v>
      </c>
      <c r="I1808" t="s">
        <v>261</v>
      </c>
      <c r="K1808" t="s">
        <v>466</v>
      </c>
      <c r="L1808" t="s">
        <v>469</v>
      </c>
      <c r="M1808" t="s">
        <v>473</v>
      </c>
      <c r="N1808" t="s">
        <v>776</v>
      </c>
      <c r="O1808" t="s">
        <v>964</v>
      </c>
      <c r="P1808" s="1">
        <f>HYPERLINK("https://ec.europa.eu/info/funding-tenders/opportunities/portal/screen/opportunities/topic-details/horizon-miss-2023-soil-01-03", "HORIZON-MISS-2023-SOIL-01-03")</f>
        <v>0</v>
      </c>
      <c r="Q1808" t="s">
        <v>2722</v>
      </c>
    </row>
    <row r="1809" spans="1:17">
      <c r="A1809">
        <v>45742182</v>
      </c>
      <c r="B1809">
        <v>2023</v>
      </c>
      <c r="C1809" t="s">
        <v>35</v>
      </c>
      <c r="D1809" t="s">
        <v>54</v>
      </c>
      <c r="E1809" t="s">
        <v>58</v>
      </c>
      <c r="F1809" t="s">
        <v>232</v>
      </c>
      <c r="G1809" t="s">
        <v>248</v>
      </c>
      <c r="H1809" t="s">
        <v>274</v>
      </c>
      <c r="I1809" t="s">
        <v>261</v>
      </c>
      <c r="K1809" t="s">
        <v>466</v>
      </c>
      <c r="L1809" t="s">
        <v>469</v>
      </c>
      <c r="M1809" t="s">
        <v>473</v>
      </c>
      <c r="N1809" t="s">
        <v>776</v>
      </c>
      <c r="O1809" t="s">
        <v>964</v>
      </c>
      <c r="P1809" s="1">
        <f>HYPERLINK("https://ec.europa.eu/info/funding-tenders/opportunities/portal/screen/opportunities/topic-details/horizon-miss-2023-soil-01-04", "HORIZON-MISS-2023-SOIL-01-04")</f>
        <v>0</v>
      </c>
      <c r="Q1809" t="s">
        <v>2723</v>
      </c>
    </row>
    <row r="1810" spans="1:17">
      <c r="A1810">
        <v>45741960</v>
      </c>
      <c r="B1810">
        <v>2023</v>
      </c>
      <c r="C1810" t="s">
        <v>35</v>
      </c>
      <c r="D1810" t="s">
        <v>54</v>
      </c>
      <c r="E1810" t="s">
        <v>58</v>
      </c>
      <c r="F1810" t="s">
        <v>232</v>
      </c>
      <c r="G1810" t="s">
        <v>248</v>
      </c>
      <c r="H1810" t="s">
        <v>274</v>
      </c>
      <c r="I1810" t="s">
        <v>261</v>
      </c>
      <c r="K1810" t="s">
        <v>466</v>
      </c>
      <c r="L1810" t="s">
        <v>469</v>
      </c>
      <c r="M1810" t="s">
        <v>473</v>
      </c>
      <c r="N1810" t="s">
        <v>776</v>
      </c>
      <c r="O1810" t="s">
        <v>964</v>
      </c>
      <c r="P1810" s="1">
        <f>HYPERLINK("https://ec.europa.eu/info/funding-tenders/opportunities/portal/screen/opportunities/topic-details/horizon-miss-2023-soil-01-05", "HORIZON-MISS-2023-SOIL-01-05")</f>
        <v>0</v>
      </c>
      <c r="Q1810" t="s">
        <v>2724</v>
      </c>
    </row>
    <row r="1811" spans="1:17">
      <c r="A1811">
        <v>45741992</v>
      </c>
      <c r="B1811">
        <v>2023</v>
      </c>
      <c r="C1811" t="s">
        <v>35</v>
      </c>
      <c r="D1811" t="s">
        <v>54</v>
      </c>
      <c r="E1811" t="s">
        <v>58</v>
      </c>
      <c r="F1811" t="s">
        <v>232</v>
      </c>
      <c r="G1811" t="s">
        <v>248</v>
      </c>
      <c r="H1811" t="s">
        <v>274</v>
      </c>
      <c r="I1811" t="s">
        <v>261</v>
      </c>
      <c r="K1811" t="s">
        <v>466</v>
      </c>
      <c r="L1811" t="s">
        <v>469</v>
      </c>
      <c r="M1811" t="s">
        <v>471</v>
      </c>
      <c r="N1811" t="s">
        <v>776</v>
      </c>
      <c r="O1811" t="s">
        <v>964</v>
      </c>
      <c r="P1811" s="1">
        <f>HYPERLINK("https://ec.europa.eu/info/funding-tenders/opportunities/portal/screen/opportunities/topic-details/horizon-miss-2023-soil-01-06", "HORIZON-MISS-2023-SOIL-01-06")</f>
        <v>0</v>
      </c>
      <c r="Q1811" t="s">
        <v>2725</v>
      </c>
    </row>
    <row r="1812" spans="1:17">
      <c r="A1812">
        <v>45742045</v>
      </c>
      <c r="B1812">
        <v>2023</v>
      </c>
      <c r="C1812" t="s">
        <v>35</v>
      </c>
      <c r="D1812" t="s">
        <v>54</v>
      </c>
      <c r="E1812" t="s">
        <v>58</v>
      </c>
      <c r="F1812" t="s">
        <v>232</v>
      </c>
      <c r="G1812" t="s">
        <v>248</v>
      </c>
      <c r="H1812" t="s">
        <v>274</v>
      </c>
      <c r="I1812" t="s">
        <v>261</v>
      </c>
      <c r="K1812" t="s">
        <v>466</v>
      </c>
      <c r="L1812" t="s">
        <v>469</v>
      </c>
      <c r="M1812" t="s">
        <v>472</v>
      </c>
      <c r="N1812" t="s">
        <v>776</v>
      </c>
      <c r="O1812" t="s">
        <v>964</v>
      </c>
      <c r="P1812" s="1">
        <f>HYPERLINK("https://ec.europa.eu/info/funding-tenders/opportunities/portal/screen/opportunities/topic-details/horizon-miss-2023-soil-01-07", "HORIZON-MISS-2023-SOIL-01-07")</f>
        <v>0</v>
      </c>
      <c r="Q1812" t="s">
        <v>2726</v>
      </c>
    </row>
    <row r="1813" spans="1:17">
      <c r="A1813">
        <v>45742355</v>
      </c>
      <c r="B1813">
        <v>2023</v>
      </c>
      <c r="C1813" t="s">
        <v>35</v>
      </c>
      <c r="D1813" t="s">
        <v>54</v>
      </c>
      <c r="E1813" t="s">
        <v>58</v>
      </c>
      <c r="F1813" t="s">
        <v>232</v>
      </c>
      <c r="G1813" t="s">
        <v>248</v>
      </c>
      <c r="H1813" t="s">
        <v>274</v>
      </c>
      <c r="I1813" t="s">
        <v>261</v>
      </c>
      <c r="K1813" t="s">
        <v>466</v>
      </c>
      <c r="L1813" t="s">
        <v>469</v>
      </c>
      <c r="M1813" t="s">
        <v>471</v>
      </c>
      <c r="N1813" t="s">
        <v>776</v>
      </c>
      <c r="O1813" t="s">
        <v>964</v>
      </c>
      <c r="P1813" s="1">
        <f>HYPERLINK("https://ec.europa.eu/info/funding-tenders/opportunities/portal/screen/opportunities/topic-details/horizon-miss-2023-soil-01-08", "HORIZON-MISS-2023-SOIL-01-08")</f>
        <v>0</v>
      </c>
      <c r="Q1813" t="s">
        <v>2727</v>
      </c>
    </row>
    <row r="1814" spans="1:17">
      <c r="A1814">
        <v>45742419</v>
      </c>
      <c r="B1814">
        <v>2023</v>
      </c>
      <c r="C1814" t="s">
        <v>35</v>
      </c>
      <c r="D1814" t="s">
        <v>54</v>
      </c>
      <c r="E1814" t="s">
        <v>58</v>
      </c>
      <c r="F1814" t="s">
        <v>232</v>
      </c>
      <c r="G1814" t="s">
        <v>248</v>
      </c>
      <c r="H1814" t="s">
        <v>274</v>
      </c>
      <c r="I1814" t="s">
        <v>261</v>
      </c>
      <c r="K1814" t="s">
        <v>466</v>
      </c>
      <c r="L1814" t="s">
        <v>469</v>
      </c>
      <c r="M1814" t="s">
        <v>471</v>
      </c>
      <c r="N1814" t="s">
        <v>776</v>
      </c>
      <c r="O1814" t="s">
        <v>964</v>
      </c>
      <c r="P1814" s="1">
        <f>HYPERLINK("https://ec.europa.eu/info/funding-tenders/opportunities/portal/screen/opportunities/topic-details/horizon-miss-2023-soil-01-09", "HORIZON-MISS-2023-SOIL-01-09")</f>
        <v>0</v>
      </c>
      <c r="Q1814" t="s">
        <v>2728</v>
      </c>
    </row>
    <row r="1815" spans="1:17">
      <c r="A1815">
        <v>46938966</v>
      </c>
      <c r="B1815">
        <v>2024</v>
      </c>
      <c r="C1815" t="s">
        <v>35</v>
      </c>
      <c r="D1815" t="s">
        <v>54</v>
      </c>
      <c r="E1815" t="s">
        <v>93</v>
      </c>
      <c r="F1815" t="s">
        <v>235</v>
      </c>
      <c r="G1815" t="s">
        <v>249</v>
      </c>
      <c r="H1815" t="s">
        <v>249</v>
      </c>
      <c r="I1815" t="s">
        <v>387</v>
      </c>
      <c r="K1815" t="s">
        <v>467</v>
      </c>
      <c r="L1815" t="s">
        <v>469</v>
      </c>
      <c r="M1815" t="s">
        <v>471</v>
      </c>
      <c r="N1815" t="s">
        <v>777</v>
      </c>
      <c r="O1815" t="s">
        <v>938</v>
      </c>
      <c r="P1815" s="1">
        <f>HYPERLINK("https://ec.europa.eu/info/funding-tenders/opportunities/portal/screen/opportunities/topic-details/horizon-miss-2024-cancer-01-01", "HORIZON-MISS-2024-CANCER-01-01")</f>
        <v>0</v>
      </c>
      <c r="Q1815" t="s">
        <v>2729</v>
      </c>
    </row>
    <row r="1816" spans="1:17">
      <c r="A1816">
        <v>46938999</v>
      </c>
      <c r="B1816">
        <v>2024</v>
      </c>
      <c r="C1816" t="s">
        <v>35</v>
      </c>
      <c r="D1816" t="s">
        <v>54</v>
      </c>
      <c r="E1816" t="s">
        <v>93</v>
      </c>
      <c r="F1816" t="s">
        <v>235</v>
      </c>
      <c r="G1816" t="s">
        <v>249</v>
      </c>
      <c r="H1816" t="s">
        <v>249</v>
      </c>
      <c r="I1816" t="s">
        <v>387</v>
      </c>
      <c r="K1816" t="s">
        <v>467</v>
      </c>
      <c r="L1816" t="s">
        <v>469</v>
      </c>
      <c r="M1816" t="s">
        <v>472</v>
      </c>
      <c r="N1816" t="s">
        <v>777</v>
      </c>
      <c r="O1816" t="s">
        <v>938</v>
      </c>
      <c r="P1816" s="1">
        <f>HYPERLINK("https://ec.europa.eu/info/funding-tenders/opportunities/portal/screen/opportunities/topic-details/horizon-miss-2024-cancer-01-02", "HORIZON-MISS-2024-CANCER-01-02")</f>
        <v>0</v>
      </c>
      <c r="Q1816" t="s">
        <v>2730</v>
      </c>
    </row>
    <row r="1817" spans="1:17">
      <c r="A1817">
        <v>46939025</v>
      </c>
      <c r="B1817">
        <v>2024</v>
      </c>
      <c r="C1817" t="s">
        <v>35</v>
      </c>
      <c r="D1817" t="s">
        <v>54</v>
      </c>
      <c r="E1817" t="s">
        <v>93</v>
      </c>
      <c r="F1817" t="s">
        <v>235</v>
      </c>
      <c r="G1817" t="s">
        <v>249</v>
      </c>
      <c r="H1817" t="s">
        <v>249</v>
      </c>
      <c r="I1817" t="s">
        <v>387</v>
      </c>
      <c r="K1817" t="s">
        <v>467</v>
      </c>
      <c r="L1817" t="s">
        <v>469</v>
      </c>
      <c r="M1817" t="s">
        <v>473</v>
      </c>
      <c r="N1817" t="s">
        <v>777</v>
      </c>
      <c r="O1817" t="s">
        <v>938</v>
      </c>
      <c r="P1817" s="1">
        <f>HYPERLINK("https://ec.europa.eu/info/funding-tenders/opportunities/portal/screen/opportunities/topic-details/horizon-miss-2024-cancer-01-03", "HORIZON-MISS-2024-CANCER-01-03")</f>
        <v>0</v>
      </c>
      <c r="Q1817" t="s">
        <v>2731</v>
      </c>
    </row>
    <row r="1818" spans="1:17">
      <c r="A1818">
        <v>46939063</v>
      </c>
      <c r="B1818">
        <v>2024</v>
      </c>
      <c r="C1818" t="s">
        <v>35</v>
      </c>
      <c r="D1818" t="s">
        <v>54</v>
      </c>
      <c r="E1818" t="s">
        <v>93</v>
      </c>
      <c r="F1818" t="s">
        <v>235</v>
      </c>
      <c r="G1818" t="s">
        <v>249</v>
      </c>
      <c r="H1818" t="s">
        <v>249</v>
      </c>
      <c r="I1818" t="s">
        <v>387</v>
      </c>
      <c r="K1818" t="s">
        <v>467</v>
      </c>
      <c r="L1818" t="s">
        <v>469</v>
      </c>
      <c r="M1818" t="s">
        <v>472</v>
      </c>
      <c r="N1818" t="s">
        <v>777</v>
      </c>
      <c r="O1818" t="s">
        <v>938</v>
      </c>
      <c r="P1818" s="1">
        <f>HYPERLINK("https://ec.europa.eu/info/funding-tenders/opportunities/portal/screen/opportunities/topic-details/horizon-miss-2024-cancer-01-04", "HORIZON-MISS-2024-CANCER-01-04")</f>
        <v>0</v>
      </c>
      <c r="Q1818" t="s">
        <v>2732</v>
      </c>
    </row>
    <row r="1819" spans="1:17">
      <c r="A1819">
        <v>46939098</v>
      </c>
      <c r="B1819">
        <v>2024</v>
      </c>
      <c r="C1819" t="s">
        <v>35</v>
      </c>
      <c r="D1819" t="s">
        <v>54</v>
      </c>
      <c r="E1819" t="s">
        <v>93</v>
      </c>
      <c r="F1819" t="s">
        <v>235</v>
      </c>
      <c r="G1819" t="s">
        <v>249</v>
      </c>
      <c r="H1819" t="s">
        <v>249</v>
      </c>
      <c r="I1819" t="s">
        <v>387</v>
      </c>
      <c r="K1819" t="s">
        <v>467</v>
      </c>
      <c r="L1819" t="s">
        <v>469</v>
      </c>
      <c r="M1819" t="s">
        <v>471</v>
      </c>
      <c r="N1819" t="s">
        <v>777</v>
      </c>
      <c r="O1819" t="s">
        <v>938</v>
      </c>
      <c r="P1819" s="1">
        <f>HYPERLINK("https://ec.europa.eu/info/funding-tenders/opportunities/portal/screen/opportunities/topic-details/horizon-miss-2024-cancer-01-05", "HORIZON-MISS-2024-CANCER-01-05")</f>
        <v>0</v>
      </c>
      <c r="Q1819" t="s">
        <v>2733</v>
      </c>
    </row>
    <row r="1820" spans="1:17">
      <c r="A1820">
        <v>46939132</v>
      </c>
      <c r="B1820">
        <v>2024</v>
      </c>
      <c r="C1820" t="s">
        <v>35</v>
      </c>
      <c r="D1820" t="s">
        <v>54</v>
      </c>
      <c r="E1820" t="s">
        <v>93</v>
      </c>
      <c r="F1820" t="s">
        <v>235</v>
      </c>
      <c r="G1820" t="s">
        <v>249</v>
      </c>
      <c r="H1820" t="s">
        <v>249</v>
      </c>
      <c r="I1820" t="s">
        <v>387</v>
      </c>
      <c r="K1820" t="s">
        <v>467</v>
      </c>
      <c r="L1820" t="s">
        <v>469</v>
      </c>
      <c r="M1820" t="s">
        <v>473</v>
      </c>
      <c r="N1820" t="s">
        <v>777</v>
      </c>
      <c r="O1820" t="s">
        <v>938</v>
      </c>
      <c r="P1820" s="1">
        <f>HYPERLINK("https://ec.europa.eu/info/funding-tenders/opportunities/portal/screen/opportunities/topic-details/horizon-miss-2024-cancer-01-06", "HORIZON-MISS-2024-CANCER-01-06")</f>
        <v>0</v>
      </c>
      <c r="Q1820" t="s">
        <v>2734</v>
      </c>
    </row>
    <row r="1821" spans="1:17">
      <c r="A1821">
        <v>46931394</v>
      </c>
      <c r="B1821">
        <v>2024</v>
      </c>
      <c r="C1821" t="s">
        <v>35</v>
      </c>
      <c r="D1821" t="s">
        <v>54</v>
      </c>
      <c r="E1821" t="s">
        <v>58</v>
      </c>
      <c r="F1821" t="s">
        <v>221</v>
      </c>
      <c r="G1821" t="s">
        <v>249</v>
      </c>
      <c r="H1821" t="s">
        <v>327</v>
      </c>
      <c r="I1821" t="s">
        <v>456</v>
      </c>
      <c r="K1821" t="s">
        <v>468</v>
      </c>
      <c r="L1821" t="s">
        <v>469</v>
      </c>
      <c r="M1821" t="s">
        <v>473</v>
      </c>
      <c r="N1821" t="s">
        <v>778</v>
      </c>
      <c r="O1821" t="s">
        <v>965</v>
      </c>
      <c r="P1821" s="1">
        <f>HYPERLINK("https://ec.europa.eu/info/funding-tenders/opportunities/portal/screen/opportunities/topic-details/horizon-miss-2024-cit-01-01", "HORIZON-MISS-2024-CIT-01-01")</f>
        <v>0</v>
      </c>
      <c r="Q1821" t="s">
        <v>2735</v>
      </c>
    </row>
    <row r="1822" spans="1:17">
      <c r="A1822">
        <v>46931349</v>
      </c>
      <c r="B1822">
        <v>2024</v>
      </c>
      <c r="C1822" t="s">
        <v>35</v>
      </c>
      <c r="D1822" t="s">
        <v>54</v>
      </c>
      <c r="E1822" t="s">
        <v>58</v>
      </c>
      <c r="F1822" t="s">
        <v>221</v>
      </c>
      <c r="G1822" t="s">
        <v>249</v>
      </c>
      <c r="H1822" t="s">
        <v>327</v>
      </c>
      <c r="I1822" t="s">
        <v>456</v>
      </c>
      <c r="K1822" t="s">
        <v>468</v>
      </c>
      <c r="L1822" t="s">
        <v>469</v>
      </c>
      <c r="M1822" t="s">
        <v>471</v>
      </c>
      <c r="N1822" t="s">
        <v>778</v>
      </c>
      <c r="O1822" t="s">
        <v>965</v>
      </c>
      <c r="P1822" s="1">
        <f>HYPERLINK("https://ec.europa.eu/info/funding-tenders/opportunities/portal/screen/opportunities/topic-details/horizon-miss-2024-cit-01-02", "HORIZON-MISS-2024-CIT-01-02")</f>
        <v>0</v>
      </c>
      <c r="Q1822" t="s">
        <v>2736</v>
      </c>
    </row>
    <row r="1823" spans="1:17">
      <c r="A1823">
        <v>46931440</v>
      </c>
      <c r="B1823">
        <v>2024</v>
      </c>
      <c r="C1823" t="s">
        <v>35</v>
      </c>
      <c r="D1823" t="s">
        <v>54</v>
      </c>
      <c r="E1823" t="s">
        <v>58</v>
      </c>
      <c r="F1823" t="s">
        <v>221</v>
      </c>
      <c r="G1823" t="s">
        <v>249</v>
      </c>
      <c r="H1823" t="s">
        <v>327</v>
      </c>
      <c r="I1823" t="s">
        <v>456</v>
      </c>
      <c r="K1823" t="s">
        <v>468</v>
      </c>
      <c r="L1823" t="s">
        <v>469</v>
      </c>
      <c r="M1823" t="s">
        <v>472</v>
      </c>
      <c r="N1823" t="s">
        <v>778</v>
      </c>
      <c r="O1823" t="s">
        <v>965</v>
      </c>
      <c r="P1823" s="1">
        <f>HYPERLINK("https://ec.europa.eu/info/funding-tenders/opportunities/portal/screen/opportunities/topic-details/horizon-miss-2024-cit-01-03", "HORIZON-MISS-2024-CIT-01-03")</f>
        <v>0</v>
      </c>
      <c r="Q1823" t="s">
        <v>2737</v>
      </c>
    </row>
    <row r="1824" spans="1:17">
      <c r="A1824">
        <v>46931302</v>
      </c>
      <c r="B1824">
        <v>2024</v>
      </c>
      <c r="C1824" t="s">
        <v>35</v>
      </c>
      <c r="D1824" t="s">
        <v>54</v>
      </c>
      <c r="E1824" t="s">
        <v>58</v>
      </c>
      <c r="F1824" t="s">
        <v>221</v>
      </c>
      <c r="G1824" t="s">
        <v>249</v>
      </c>
      <c r="H1824" t="s">
        <v>327</v>
      </c>
      <c r="I1824" t="s">
        <v>456</v>
      </c>
      <c r="K1824" t="s">
        <v>468</v>
      </c>
      <c r="L1824" t="s">
        <v>469</v>
      </c>
      <c r="M1824" t="s">
        <v>473</v>
      </c>
      <c r="N1824" t="s">
        <v>778</v>
      </c>
      <c r="O1824" t="s">
        <v>965</v>
      </c>
      <c r="P1824" s="1">
        <f>HYPERLINK("https://ec.europa.eu/info/funding-tenders/opportunities/portal/screen/opportunities/topic-details/horizon-miss-2024-cit-01-04", "HORIZON-MISS-2024-CIT-01-04")</f>
        <v>0</v>
      </c>
      <c r="Q1824" t="s">
        <v>2738</v>
      </c>
    </row>
    <row r="1825" spans="1:17">
      <c r="A1825">
        <v>46939315</v>
      </c>
      <c r="B1825">
        <v>2024</v>
      </c>
      <c r="C1825" t="s">
        <v>35</v>
      </c>
      <c r="D1825" t="s">
        <v>54</v>
      </c>
      <c r="E1825" t="s">
        <v>58</v>
      </c>
      <c r="F1825" t="s">
        <v>222</v>
      </c>
      <c r="G1825" t="s">
        <v>249</v>
      </c>
      <c r="H1825" t="s">
        <v>365</v>
      </c>
      <c r="I1825" t="s">
        <v>402</v>
      </c>
      <c r="K1825" t="s">
        <v>467</v>
      </c>
      <c r="L1825" t="s">
        <v>469</v>
      </c>
      <c r="M1825" t="s">
        <v>472</v>
      </c>
      <c r="N1825" t="s">
        <v>779</v>
      </c>
      <c r="O1825" t="s">
        <v>966</v>
      </c>
      <c r="P1825" s="1">
        <f>HYPERLINK("https://ec.europa.eu/info/funding-tenders/opportunities/portal/screen/opportunities/topic-details/horizon-miss-2024-cit-02-01", "HORIZON-MISS-2024-CIT-02-01")</f>
        <v>0</v>
      </c>
      <c r="Q1825" t="s">
        <v>2631</v>
      </c>
    </row>
    <row r="1826" spans="1:17">
      <c r="A1826">
        <v>46925116</v>
      </c>
      <c r="B1826">
        <v>2024</v>
      </c>
      <c r="C1826" t="s">
        <v>35</v>
      </c>
      <c r="D1826" t="s">
        <v>54</v>
      </c>
      <c r="E1826" t="s">
        <v>62</v>
      </c>
      <c r="F1826" t="s">
        <v>223</v>
      </c>
      <c r="G1826" t="s">
        <v>249</v>
      </c>
      <c r="H1826" t="s">
        <v>352</v>
      </c>
      <c r="I1826" t="s">
        <v>387</v>
      </c>
      <c r="K1826" t="s">
        <v>467</v>
      </c>
      <c r="L1826" t="s">
        <v>469</v>
      </c>
      <c r="M1826" t="s">
        <v>472</v>
      </c>
      <c r="N1826" t="s">
        <v>780</v>
      </c>
      <c r="O1826" t="s">
        <v>967</v>
      </c>
      <c r="P1826" s="1">
        <f>HYPERLINK("https://ec.europa.eu/info/funding-tenders/opportunities/portal/screen/opportunities/topic-details/horizon-miss-2024-clima-01-01", "HORIZON-MISS-2024-CLIMA-01-01")</f>
        <v>0</v>
      </c>
      <c r="Q1826" t="s">
        <v>2739</v>
      </c>
    </row>
    <row r="1827" spans="1:17">
      <c r="A1827">
        <v>46925143</v>
      </c>
      <c r="B1827">
        <v>2024</v>
      </c>
      <c r="C1827" t="s">
        <v>35</v>
      </c>
      <c r="D1827" t="s">
        <v>54</v>
      </c>
      <c r="E1827" t="s">
        <v>62</v>
      </c>
      <c r="F1827" t="s">
        <v>223</v>
      </c>
      <c r="G1827" t="s">
        <v>249</v>
      </c>
      <c r="H1827" t="s">
        <v>352</v>
      </c>
      <c r="I1827" t="s">
        <v>387</v>
      </c>
      <c r="K1827" t="s">
        <v>467</v>
      </c>
      <c r="L1827" t="s">
        <v>469</v>
      </c>
      <c r="M1827" t="s">
        <v>472</v>
      </c>
      <c r="N1827" t="s">
        <v>780</v>
      </c>
      <c r="O1827" t="s">
        <v>967</v>
      </c>
      <c r="P1827" s="1">
        <f>HYPERLINK("https://ec.europa.eu/info/funding-tenders/opportunities/portal/screen/opportunities/topic-details/horizon-miss-2024-clima-01-02", "HORIZON-MISS-2024-CLIMA-01-02")</f>
        <v>0</v>
      </c>
      <c r="Q1827" t="s">
        <v>2740</v>
      </c>
    </row>
    <row r="1828" spans="1:17">
      <c r="A1828">
        <v>46925170</v>
      </c>
      <c r="B1828">
        <v>2024</v>
      </c>
      <c r="C1828" t="s">
        <v>35</v>
      </c>
      <c r="D1828" t="s">
        <v>54</v>
      </c>
      <c r="E1828" t="s">
        <v>62</v>
      </c>
      <c r="F1828" t="s">
        <v>223</v>
      </c>
      <c r="G1828" t="s">
        <v>249</v>
      </c>
      <c r="H1828" t="s">
        <v>352</v>
      </c>
      <c r="I1828" t="s">
        <v>387</v>
      </c>
      <c r="K1828" t="s">
        <v>467</v>
      </c>
      <c r="L1828" t="s">
        <v>469</v>
      </c>
      <c r="M1828" t="s">
        <v>471</v>
      </c>
      <c r="N1828" t="s">
        <v>780</v>
      </c>
      <c r="O1828" t="s">
        <v>967</v>
      </c>
      <c r="P1828" s="1">
        <f>HYPERLINK("https://ec.europa.eu/info/funding-tenders/opportunities/portal/screen/opportunities/topic-details/horizon-miss-2024-clima-01-03", "HORIZON-MISS-2024-CLIMA-01-03")</f>
        <v>0</v>
      </c>
      <c r="Q1828" t="s">
        <v>2741</v>
      </c>
    </row>
    <row r="1829" spans="1:17">
      <c r="A1829">
        <v>46925199</v>
      </c>
      <c r="B1829">
        <v>2024</v>
      </c>
      <c r="C1829" t="s">
        <v>35</v>
      </c>
      <c r="D1829" t="s">
        <v>54</v>
      </c>
      <c r="E1829" t="s">
        <v>58</v>
      </c>
      <c r="F1829" t="s">
        <v>223</v>
      </c>
      <c r="G1829" t="s">
        <v>249</v>
      </c>
      <c r="H1829" t="s">
        <v>352</v>
      </c>
      <c r="I1829" t="s">
        <v>387</v>
      </c>
      <c r="K1829" t="s">
        <v>467</v>
      </c>
      <c r="L1829" t="s">
        <v>469</v>
      </c>
      <c r="M1829" t="s">
        <v>471</v>
      </c>
      <c r="N1829" t="s">
        <v>780</v>
      </c>
      <c r="O1829" t="s">
        <v>967</v>
      </c>
      <c r="P1829" s="1">
        <f>HYPERLINK("https://ec.europa.eu/info/funding-tenders/opportunities/portal/screen/opportunities/topic-details/horizon-miss-2024-clima-01-04", "HORIZON-MISS-2024-CLIMA-01-04")</f>
        <v>0</v>
      </c>
      <c r="Q1829" t="s">
        <v>2742</v>
      </c>
    </row>
    <row r="1830" spans="1:17">
      <c r="A1830">
        <v>46925228</v>
      </c>
      <c r="B1830">
        <v>2024</v>
      </c>
      <c r="C1830" t="s">
        <v>35</v>
      </c>
      <c r="D1830" t="s">
        <v>54</v>
      </c>
      <c r="E1830" t="s">
        <v>58</v>
      </c>
      <c r="F1830" t="s">
        <v>223</v>
      </c>
      <c r="G1830" t="s">
        <v>249</v>
      </c>
      <c r="H1830" t="s">
        <v>352</v>
      </c>
      <c r="I1830" t="s">
        <v>387</v>
      </c>
      <c r="K1830" t="s">
        <v>467</v>
      </c>
      <c r="L1830" t="s">
        <v>469</v>
      </c>
      <c r="M1830" t="s">
        <v>471</v>
      </c>
      <c r="N1830" t="s">
        <v>780</v>
      </c>
      <c r="O1830" t="s">
        <v>967</v>
      </c>
      <c r="P1830" s="1">
        <f>HYPERLINK("https://ec.europa.eu/info/funding-tenders/opportunities/portal/screen/opportunities/topic-details/horizon-miss-2024-clima-01-05", "HORIZON-MISS-2024-CLIMA-01-05")</f>
        <v>0</v>
      </c>
      <c r="Q1830" t="s">
        <v>2743</v>
      </c>
    </row>
    <row r="1831" spans="1:17">
      <c r="A1831">
        <v>46925259</v>
      </c>
      <c r="B1831">
        <v>2024</v>
      </c>
      <c r="C1831" t="s">
        <v>35</v>
      </c>
      <c r="D1831" t="s">
        <v>54</v>
      </c>
      <c r="E1831" t="s">
        <v>58</v>
      </c>
      <c r="F1831" t="s">
        <v>223</v>
      </c>
      <c r="G1831" t="s">
        <v>249</v>
      </c>
      <c r="H1831" t="s">
        <v>352</v>
      </c>
      <c r="I1831" t="s">
        <v>387</v>
      </c>
      <c r="K1831" t="s">
        <v>467</v>
      </c>
      <c r="L1831" t="s">
        <v>469</v>
      </c>
      <c r="M1831" t="s">
        <v>473</v>
      </c>
      <c r="N1831" t="s">
        <v>780</v>
      </c>
      <c r="O1831" t="s">
        <v>967</v>
      </c>
      <c r="P1831" s="1">
        <f>HYPERLINK("https://ec.europa.eu/info/funding-tenders/opportunities/portal/screen/opportunities/topic-details/horizon-miss-2024-clima-01-06", "HORIZON-MISS-2024-CLIMA-01-06")</f>
        <v>0</v>
      </c>
      <c r="Q1831" t="s">
        <v>2744</v>
      </c>
    </row>
    <row r="1832" spans="1:17">
      <c r="A1832">
        <v>46925288</v>
      </c>
      <c r="B1832">
        <v>2024</v>
      </c>
      <c r="C1832" t="s">
        <v>35</v>
      </c>
      <c r="D1832" t="s">
        <v>54</v>
      </c>
      <c r="E1832" t="s">
        <v>58</v>
      </c>
      <c r="F1832" t="s">
        <v>223</v>
      </c>
      <c r="G1832" t="s">
        <v>249</v>
      </c>
      <c r="H1832" t="s">
        <v>352</v>
      </c>
      <c r="I1832" t="s">
        <v>387</v>
      </c>
      <c r="K1832" t="s">
        <v>467</v>
      </c>
      <c r="L1832" t="s">
        <v>469</v>
      </c>
      <c r="M1832" t="s">
        <v>473</v>
      </c>
      <c r="N1832" t="s">
        <v>780</v>
      </c>
      <c r="O1832" t="s">
        <v>967</v>
      </c>
      <c r="P1832" s="1">
        <f>HYPERLINK("https://ec.europa.eu/info/funding-tenders/opportunities/portal/screen/opportunities/topic-details/horizon-miss-2024-clima-01-07", "HORIZON-MISS-2024-CLIMA-01-07")</f>
        <v>0</v>
      </c>
      <c r="Q1832" t="s">
        <v>2745</v>
      </c>
    </row>
    <row r="1833" spans="1:17">
      <c r="A1833">
        <v>46925318</v>
      </c>
      <c r="B1833">
        <v>2024</v>
      </c>
      <c r="C1833" t="s">
        <v>35</v>
      </c>
      <c r="D1833" t="s">
        <v>54</v>
      </c>
      <c r="E1833" t="s">
        <v>58</v>
      </c>
      <c r="F1833" t="s">
        <v>223</v>
      </c>
      <c r="G1833" t="s">
        <v>249</v>
      </c>
      <c r="H1833" t="s">
        <v>352</v>
      </c>
      <c r="I1833" t="s">
        <v>387</v>
      </c>
      <c r="K1833" t="s">
        <v>467</v>
      </c>
      <c r="L1833" t="s">
        <v>469</v>
      </c>
      <c r="M1833" t="s">
        <v>473</v>
      </c>
      <c r="N1833" t="s">
        <v>780</v>
      </c>
      <c r="O1833" t="s">
        <v>967</v>
      </c>
      <c r="P1833" s="1">
        <f>HYPERLINK("https://ec.europa.eu/info/funding-tenders/opportunities/portal/screen/opportunities/topic-details/horizon-miss-2024-clima-01-08", "HORIZON-MISS-2024-CLIMA-01-08")</f>
        <v>0</v>
      </c>
      <c r="Q1833" t="s">
        <v>2746</v>
      </c>
    </row>
    <row r="1834" spans="1:17">
      <c r="A1834">
        <v>46925348</v>
      </c>
      <c r="B1834">
        <v>2024</v>
      </c>
      <c r="C1834" t="s">
        <v>35</v>
      </c>
      <c r="D1834" t="s">
        <v>54</v>
      </c>
      <c r="E1834" t="s">
        <v>58</v>
      </c>
      <c r="F1834" t="s">
        <v>223</v>
      </c>
      <c r="G1834" t="s">
        <v>249</v>
      </c>
      <c r="H1834" t="s">
        <v>352</v>
      </c>
      <c r="I1834" t="s">
        <v>387</v>
      </c>
      <c r="K1834" t="s">
        <v>467</v>
      </c>
      <c r="L1834" t="s">
        <v>469</v>
      </c>
      <c r="M1834" t="s">
        <v>473</v>
      </c>
      <c r="N1834" t="s">
        <v>780</v>
      </c>
      <c r="O1834" t="s">
        <v>967</v>
      </c>
      <c r="P1834" s="1">
        <f>HYPERLINK("https://ec.europa.eu/info/funding-tenders/opportunities/portal/screen/opportunities/topic-details/horizon-miss-2024-clima-01-09", "HORIZON-MISS-2024-CLIMA-01-09")</f>
        <v>0</v>
      </c>
      <c r="Q1834" t="s">
        <v>2747</v>
      </c>
    </row>
    <row r="1835" spans="1:17">
      <c r="A1835">
        <v>46939228</v>
      </c>
      <c r="B1835">
        <v>2024</v>
      </c>
      <c r="C1835" t="s">
        <v>35</v>
      </c>
      <c r="D1835" t="s">
        <v>54</v>
      </c>
      <c r="E1835" t="s">
        <v>58</v>
      </c>
      <c r="F1835" t="s">
        <v>241</v>
      </c>
      <c r="G1835" t="s">
        <v>249</v>
      </c>
      <c r="H1835" t="s">
        <v>249</v>
      </c>
      <c r="I1835" t="s">
        <v>431</v>
      </c>
      <c r="K1835" t="s">
        <v>467</v>
      </c>
      <c r="L1835" t="s">
        <v>469</v>
      </c>
      <c r="M1835" t="s">
        <v>472</v>
      </c>
      <c r="N1835" t="s">
        <v>781</v>
      </c>
      <c r="O1835" t="s">
        <v>968</v>
      </c>
      <c r="P1835" s="1">
        <f>HYPERLINK("https://ec.europa.eu/info/funding-tenders/opportunities/portal/screen/opportunities/topic-details/horizon-miss-2024-cross-01-01", "HORIZON-MISS-2024-CROSS-01-01")</f>
        <v>0</v>
      </c>
      <c r="Q1835" t="s">
        <v>2748</v>
      </c>
    </row>
    <row r="1836" spans="1:17">
      <c r="A1836">
        <v>46939249</v>
      </c>
      <c r="B1836">
        <v>2024</v>
      </c>
      <c r="C1836" t="s">
        <v>35</v>
      </c>
      <c r="D1836" t="s">
        <v>54</v>
      </c>
      <c r="E1836" t="s">
        <v>58</v>
      </c>
      <c r="F1836" t="s">
        <v>241</v>
      </c>
      <c r="G1836" t="s">
        <v>249</v>
      </c>
      <c r="H1836" t="s">
        <v>249</v>
      </c>
      <c r="I1836" t="s">
        <v>431</v>
      </c>
      <c r="K1836" t="s">
        <v>467</v>
      </c>
      <c r="L1836" t="s">
        <v>469</v>
      </c>
      <c r="M1836" t="s">
        <v>475</v>
      </c>
      <c r="N1836" t="s">
        <v>781</v>
      </c>
      <c r="O1836" t="s">
        <v>968</v>
      </c>
      <c r="P1836" s="1">
        <f>HYPERLINK("https://ec.europa.eu/info/funding-tenders/opportunities/portal/screen/opportunities/topic-details/horizon-miss-2024-cross-01-02", "HORIZON-MISS-2024-CROSS-01-02")</f>
        <v>0</v>
      </c>
      <c r="Q1836" t="s">
        <v>2749</v>
      </c>
    </row>
    <row r="1837" spans="1:17">
      <c r="A1837">
        <v>46945037</v>
      </c>
      <c r="B1837">
        <v>2024</v>
      </c>
      <c r="C1837" t="s">
        <v>35</v>
      </c>
      <c r="D1837" t="s">
        <v>54</v>
      </c>
      <c r="E1837" t="s">
        <v>58</v>
      </c>
      <c r="F1837" t="s">
        <v>242</v>
      </c>
      <c r="G1837" t="s">
        <v>249</v>
      </c>
      <c r="H1837" t="s">
        <v>366</v>
      </c>
      <c r="I1837" t="s">
        <v>431</v>
      </c>
      <c r="K1837" t="s">
        <v>467</v>
      </c>
      <c r="L1837" t="s">
        <v>469</v>
      </c>
      <c r="M1837" t="s">
        <v>471</v>
      </c>
      <c r="N1837" t="s">
        <v>782</v>
      </c>
      <c r="O1837" t="s">
        <v>969</v>
      </c>
      <c r="P1837" s="1">
        <f>HYPERLINK("https://ec.europa.eu/info/funding-tenders/opportunities/portal/screen/opportunities/topic-details/horizon-miss-2024-cross-02-01", "HORIZON-MISS-2024-CROSS-02-01")</f>
        <v>0</v>
      </c>
      <c r="Q1837" t="s">
        <v>2750</v>
      </c>
    </row>
    <row r="1838" spans="1:17">
      <c r="A1838">
        <v>46944936</v>
      </c>
      <c r="B1838">
        <v>2024</v>
      </c>
      <c r="C1838" t="s">
        <v>35</v>
      </c>
      <c r="D1838" t="s">
        <v>54</v>
      </c>
      <c r="E1838" t="s">
        <v>58</v>
      </c>
      <c r="F1838" t="s">
        <v>226</v>
      </c>
      <c r="G1838" t="s">
        <v>249</v>
      </c>
      <c r="H1838" t="s">
        <v>326</v>
      </c>
      <c r="I1838" t="s">
        <v>457</v>
      </c>
      <c r="K1838" t="s">
        <v>467</v>
      </c>
      <c r="L1838" t="s">
        <v>469</v>
      </c>
      <c r="M1838" t="s">
        <v>471</v>
      </c>
      <c r="N1838" t="s">
        <v>783</v>
      </c>
      <c r="O1838" t="s">
        <v>970</v>
      </c>
      <c r="P1838" s="1">
        <f>HYPERLINK("https://ec.europa.eu/info/funding-tenders/opportunities/portal/screen/opportunities/topic-details/horizon-miss-2024-neb-01-01", "HORIZON-MISS-2024-NEB-01-01")</f>
        <v>0</v>
      </c>
      <c r="Q1838" t="s">
        <v>2751</v>
      </c>
    </row>
    <row r="1839" spans="1:17">
      <c r="A1839">
        <v>46944960</v>
      </c>
      <c r="B1839">
        <v>2024</v>
      </c>
      <c r="C1839" t="s">
        <v>35</v>
      </c>
      <c r="D1839" t="s">
        <v>54</v>
      </c>
      <c r="E1839" t="s">
        <v>58</v>
      </c>
      <c r="F1839" t="s">
        <v>226</v>
      </c>
      <c r="G1839" t="s">
        <v>249</v>
      </c>
      <c r="H1839" t="s">
        <v>326</v>
      </c>
      <c r="I1839" t="s">
        <v>457</v>
      </c>
      <c r="K1839" t="s">
        <v>467</v>
      </c>
      <c r="L1839" t="s">
        <v>469</v>
      </c>
      <c r="M1839" t="s">
        <v>473</v>
      </c>
      <c r="N1839" t="s">
        <v>783</v>
      </c>
      <c r="O1839" t="s">
        <v>970</v>
      </c>
      <c r="P1839" s="1">
        <f>HYPERLINK("https://ec.europa.eu/info/funding-tenders/opportunities/portal/screen/opportunities/topic-details/horizon-miss-2024-neb-01-02", "HORIZON-MISS-2024-NEB-01-02")</f>
        <v>0</v>
      </c>
      <c r="Q1839" t="s">
        <v>2752</v>
      </c>
    </row>
    <row r="1840" spans="1:17">
      <c r="A1840">
        <v>46944983</v>
      </c>
      <c r="B1840">
        <v>2024</v>
      </c>
      <c r="C1840" t="s">
        <v>35</v>
      </c>
      <c r="D1840" t="s">
        <v>54</v>
      </c>
      <c r="E1840" t="s">
        <v>58</v>
      </c>
      <c r="F1840" t="s">
        <v>226</v>
      </c>
      <c r="G1840" t="s">
        <v>249</v>
      </c>
      <c r="H1840" t="s">
        <v>326</v>
      </c>
      <c r="I1840" t="s">
        <v>457</v>
      </c>
      <c r="K1840" t="s">
        <v>467</v>
      </c>
      <c r="L1840" t="s">
        <v>469</v>
      </c>
      <c r="M1840" t="s">
        <v>472</v>
      </c>
      <c r="N1840" t="s">
        <v>783</v>
      </c>
      <c r="O1840" t="s">
        <v>970</v>
      </c>
      <c r="P1840" s="1">
        <f>HYPERLINK("https://ec.europa.eu/info/funding-tenders/opportunities/portal/screen/opportunities/topic-details/horizon-miss-2024-neb-01-03", "HORIZON-MISS-2024-NEB-01-03")</f>
        <v>0</v>
      </c>
      <c r="Q1840" t="s">
        <v>2753</v>
      </c>
    </row>
    <row r="1841" spans="1:17">
      <c r="A1841">
        <v>46939424</v>
      </c>
      <c r="B1841">
        <v>2024</v>
      </c>
      <c r="C1841" t="s">
        <v>35</v>
      </c>
      <c r="D1841" t="s">
        <v>54</v>
      </c>
      <c r="E1841" t="s">
        <v>58</v>
      </c>
      <c r="F1841" t="s">
        <v>227</v>
      </c>
      <c r="G1841" t="s">
        <v>249</v>
      </c>
      <c r="H1841" t="s">
        <v>313</v>
      </c>
      <c r="I1841" t="s">
        <v>387</v>
      </c>
      <c r="K1841" t="s">
        <v>467</v>
      </c>
      <c r="L1841" t="s">
        <v>469</v>
      </c>
      <c r="M1841" t="s">
        <v>473</v>
      </c>
      <c r="N1841" t="s">
        <v>784</v>
      </c>
      <c r="O1841" t="s">
        <v>955</v>
      </c>
      <c r="P1841" s="1">
        <f>HYPERLINK("https://ec.europa.eu/info/funding-tenders/opportunities/portal/screen/opportunities/topic-details/horizon-miss-2024-ocean-01-01", "HORIZON-MISS-2024-OCEAN-01-01")</f>
        <v>0</v>
      </c>
      <c r="Q1841" t="s">
        <v>2754</v>
      </c>
    </row>
    <row r="1842" spans="1:17">
      <c r="A1842">
        <v>46939464</v>
      </c>
      <c r="B1842">
        <v>2024</v>
      </c>
      <c r="C1842" t="s">
        <v>35</v>
      </c>
      <c r="D1842" t="s">
        <v>54</v>
      </c>
      <c r="E1842" t="s">
        <v>58</v>
      </c>
      <c r="F1842" t="s">
        <v>227</v>
      </c>
      <c r="G1842" t="s">
        <v>249</v>
      </c>
      <c r="H1842" t="s">
        <v>313</v>
      </c>
      <c r="I1842" t="s">
        <v>387</v>
      </c>
      <c r="K1842" t="s">
        <v>467</v>
      </c>
      <c r="L1842" t="s">
        <v>469</v>
      </c>
      <c r="M1842" t="s">
        <v>473</v>
      </c>
      <c r="N1842" t="s">
        <v>784</v>
      </c>
      <c r="O1842" t="s">
        <v>955</v>
      </c>
      <c r="P1842" s="1">
        <f>HYPERLINK("https://ec.europa.eu/info/funding-tenders/opportunities/portal/screen/opportunities/topic-details/horizon-miss-2024-ocean-01-02", "HORIZON-MISS-2024-OCEAN-01-02")</f>
        <v>0</v>
      </c>
      <c r="Q1842" t="s">
        <v>2755</v>
      </c>
    </row>
    <row r="1843" spans="1:17">
      <c r="A1843">
        <v>46939508</v>
      </c>
      <c r="B1843">
        <v>2024</v>
      </c>
      <c r="C1843" t="s">
        <v>35</v>
      </c>
      <c r="D1843" t="s">
        <v>54</v>
      </c>
      <c r="E1843" t="s">
        <v>58</v>
      </c>
      <c r="F1843" t="s">
        <v>227</v>
      </c>
      <c r="G1843" t="s">
        <v>249</v>
      </c>
      <c r="H1843" t="s">
        <v>313</v>
      </c>
      <c r="I1843" t="s">
        <v>387</v>
      </c>
      <c r="K1843" t="s">
        <v>467</v>
      </c>
      <c r="L1843" t="s">
        <v>469</v>
      </c>
      <c r="M1843" t="s">
        <v>473</v>
      </c>
      <c r="N1843" t="s">
        <v>784</v>
      </c>
      <c r="O1843" t="s">
        <v>955</v>
      </c>
      <c r="P1843" s="1">
        <f>HYPERLINK("https://ec.europa.eu/info/funding-tenders/opportunities/portal/screen/opportunities/topic-details/horizon-miss-2024-ocean-01-03", "HORIZON-MISS-2024-OCEAN-01-03")</f>
        <v>0</v>
      </c>
      <c r="Q1843" t="s">
        <v>2756</v>
      </c>
    </row>
    <row r="1844" spans="1:17">
      <c r="A1844">
        <v>46939560</v>
      </c>
      <c r="B1844">
        <v>2024</v>
      </c>
      <c r="C1844" t="s">
        <v>35</v>
      </c>
      <c r="D1844" t="s">
        <v>54</v>
      </c>
      <c r="E1844" t="s">
        <v>58</v>
      </c>
      <c r="F1844" t="s">
        <v>227</v>
      </c>
      <c r="G1844" t="s">
        <v>249</v>
      </c>
      <c r="H1844" t="s">
        <v>313</v>
      </c>
      <c r="I1844" t="s">
        <v>387</v>
      </c>
      <c r="K1844" t="s">
        <v>467</v>
      </c>
      <c r="L1844" t="s">
        <v>469</v>
      </c>
      <c r="M1844" t="s">
        <v>472</v>
      </c>
      <c r="N1844" t="s">
        <v>784</v>
      </c>
      <c r="O1844" t="s">
        <v>955</v>
      </c>
      <c r="P1844" s="1">
        <f>HYPERLINK("https://ec.europa.eu/info/funding-tenders/opportunities/portal/screen/opportunities/topic-details/horizon-miss-2024-ocean-01-04", "HORIZON-MISS-2024-OCEAN-01-04")</f>
        <v>0</v>
      </c>
      <c r="Q1844" t="s">
        <v>2757</v>
      </c>
    </row>
    <row r="1845" spans="1:17">
      <c r="A1845">
        <v>46939607</v>
      </c>
      <c r="B1845">
        <v>2024</v>
      </c>
      <c r="C1845" t="s">
        <v>35</v>
      </c>
      <c r="D1845" t="s">
        <v>54</v>
      </c>
      <c r="E1845" t="s">
        <v>58</v>
      </c>
      <c r="F1845" t="s">
        <v>227</v>
      </c>
      <c r="G1845" t="s">
        <v>249</v>
      </c>
      <c r="H1845" t="s">
        <v>313</v>
      </c>
      <c r="I1845" t="s">
        <v>387</v>
      </c>
      <c r="K1845" t="s">
        <v>467</v>
      </c>
      <c r="L1845" t="s">
        <v>469</v>
      </c>
      <c r="M1845" t="s">
        <v>473</v>
      </c>
      <c r="N1845" t="s">
        <v>784</v>
      </c>
      <c r="O1845" t="s">
        <v>955</v>
      </c>
      <c r="P1845" s="1">
        <f>HYPERLINK("https://ec.europa.eu/info/funding-tenders/opportunities/portal/screen/opportunities/topic-details/horizon-miss-2024-ocean-01-05", "HORIZON-MISS-2024-OCEAN-01-05")</f>
        <v>0</v>
      </c>
      <c r="Q1845" t="s">
        <v>2758</v>
      </c>
    </row>
    <row r="1846" spans="1:17">
      <c r="A1846">
        <v>46939903</v>
      </c>
      <c r="B1846">
        <v>2024</v>
      </c>
      <c r="C1846" t="s">
        <v>35</v>
      </c>
      <c r="D1846" t="s">
        <v>54</v>
      </c>
      <c r="E1846" t="s">
        <v>58</v>
      </c>
      <c r="F1846" t="s">
        <v>228</v>
      </c>
      <c r="G1846" t="s">
        <v>249</v>
      </c>
      <c r="H1846" t="s">
        <v>313</v>
      </c>
      <c r="I1846" t="s">
        <v>387</v>
      </c>
      <c r="K1846" t="s">
        <v>467</v>
      </c>
      <c r="L1846" t="s">
        <v>469</v>
      </c>
      <c r="M1846" t="s">
        <v>471</v>
      </c>
      <c r="N1846" t="s">
        <v>785</v>
      </c>
      <c r="O1846" t="s">
        <v>971</v>
      </c>
      <c r="P1846" s="1">
        <f>HYPERLINK("https://ec.europa.eu/info/funding-tenders/opportunities/portal/screen/opportunities/topic-details/horizon-miss-2024-ocean-02-01", "HORIZON-MISS-2024-OCEAN-02-01")</f>
        <v>0</v>
      </c>
      <c r="Q1846" t="s">
        <v>2759</v>
      </c>
    </row>
    <row r="1847" spans="1:17">
      <c r="A1847">
        <v>46940116</v>
      </c>
      <c r="B1847">
        <v>2024</v>
      </c>
      <c r="C1847" t="s">
        <v>35</v>
      </c>
      <c r="D1847" t="s">
        <v>54</v>
      </c>
      <c r="E1847" t="s">
        <v>58</v>
      </c>
      <c r="F1847" t="s">
        <v>228</v>
      </c>
      <c r="G1847" t="s">
        <v>249</v>
      </c>
      <c r="H1847" t="s">
        <v>313</v>
      </c>
      <c r="I1847" t="s">
        <v>387</v>
      </c>
      <c r="K1847" t="s">
        <v>467</v>
      </c>
      <c r="L1847" t="s">
        <v>469</v>
      </c>
      <c r="M1847" t="s">
        <v>472</v>
      </c>
      <c r="N1847" t="s">
        <v>785</v>
      </c>
      <c r="O1847" t="s">
        <v>971</v>
      </c>
      <c r="P1847" s="1">
        <f>HYPERLINK("https://ec.europa.eu/info/funding-tenders/opportunities/portal/screen/opportunities/topic-details/horizon-miss-2024-ocean-02-02", "HORIZON-MISS-2024-OCEAN-02-02")</f>
        <v>0</v>
      </c>
      <c r="Q1847" t="s">
        <v>2760</v>
      </c>
    </row>
    <row r="1848" spans="1:17">
      <c r="A1848">
        <v>46597762</v>
      </c>
      <c r="B1848">
        <v>2024</v>
      </c>
      <c r="C1848" t="s">
        <v>35</v>
      </c>
      <c r="D1848" t="s">
        <v>54</v>
      </c>
      <c r="E1848" t="s">
        <v>74</v>
      </c>
      <c r="F1848" t="s">
        <v>232</v>
      </c>
      <c r="G1848" t="s">
        <v>249</v>
      </c>
      <c r="H1848" t="s">
        <v>331</v>
      </c>
      <c r="I1848" t="s">
        <v>458</v>
      </c>
      <c r="K1848" t="s">
        <v>467</v>
      </c>
      <c r="L1848" t="s">
        <v>469</v>
      </c>
      <c r="M1848" t="s">
        <v>471</v>
      </c>
      <c r="N1848" t="s">
        <v>786</v>
      </c>
      <c r="O1848" t="s">
        <v>972</v>
      </c>
      <c r="P1848" s="1">
        <f>HYPERLINK("https://ec.europa.eu/info/funding-tenders/opportunities/portal/screen/opportunities/topic-details/horizon-miss-2024-soil-01-01", "HORIZON-MISS-2024-SOIL-01-01")</f>
        <v>0</v>
      </c>
      <c r="Q1848" t="s">
        <v>2727</v>
      </c>
    </row>
    <row r="1849" spans="1:17">
      <c r="A1849">
        <v>46597803</v>
      </c>
      <c r="B1849">
        <v>2024</v>
      </c>
      <c r="C1849" t="s">
        <v>35</v>
      </c>
      <c r="D1849" t="s">
        <v>54</v>
      </c>
      <c r="E1849" t="s">
        <v>73</v>
      </c>
      <c r="F1849" t="s">
        <v>232</v>
      </c>
      <c r="G1849" t="s">
        <v>249</v>
      </c>
      <c r="H1849" t="s">
        <v>331</v>
      </c>
      <c r="I1849" t="s">
        <v>458</v>
      </c>
      <c r="K1849" t="s">
        <v>467</v>
      </c>
      <c r="L1849" t="s">
        <v>469</v>
      </c>
      <c r="M1849" t="s">
        <v>471</v>
      </c>
      <c r="N1849" t="s">
        <v>786</v>
      </c>
      <c r="O1849" t="s">
        <v>972</v>
      </c>
      <c r="P1849" s="1">
        <f>HYPERLINK("https://ec.europa.eu/info/funding-tenders/opportunities/portal/screen/opportunities/topic-details/horizon-miss-2024-soil-01-02", "HORIZON-MISS-2024-SOIL-01-02")</f>
        <v>0</v>
      </c>
      <c r="Q1849" t="s">
        <v>2761</v>
      </c>
    </row>
    <row r="1850" spans="1:17">
      <c r="A1850">
        <v>46597856</v>
      </c>
      <c r="B1850">
        <v>2024</v>
      </c>
      <c r="C1850" t="s">
        <v>35</v>
      </c>
      <c r="D1850" t="s">
        <v>54</v>
      </c>
      <c r="E1850" t="s">
        <v>74</v>
      </c>
      <c r="F1850" t="s">
        <v>232</v>
      </c>
      <c r="G1850" t="s">
        <v>249</v>
      </c>
      <c r="H1850" t="s">
        <v>331</v>
      </c>
      <c r="I1850" t="s">
        <v>458</v>
      </c>
      <c r="K1850" t="s">
        <v>467</v>
      </c>
      <c r="L1850" t="s">
        <v>469</v>
      </c>
      <c r="M1850" t="s">
        <v>471</v>
      </c>
      <c r="N1850" t="s">
        <v>786</v>
      </c>
      <c r="O1850" t="s">
        <v>972</v>
      </c>
      <c r="P1850" s="1">
        <f>HYPERLINK("https://ec.europa.eu/info/funding-tenders/opportunities/portal/screen/opportunities/topic-details/horizon-miss-2024-soil-01-03", "HORIZON-MISS-2024-SOIL-01-03")</f>
        <v>0</v>
      </c>
      <c r="Q1850" t="s">
        <v>2762</v>
      </c>
    </row>
    <row r="1851" spans="1:17">
      <c r="A1851">
        <v>46597910</v>
      </c>
      <c r="B1851">
        <v>2024</v>
      </c>
      <c r="C1851" t="s">
        <v>35</v>
      </c>
      <c r="D1851" t="s">
        <v>54</v>
      </c>
      <c r="E1851" t="s">
        <v>71</v>
      </c>
      <c r="F1851" t="s">
        <v>232</v>
      </c>
      <c r="G1851" t="s">
        <v>249</v>
      </c>
      <c r="H1851" t="s">
        <v>331</v>
      </c>
      <c r="I1851" t="s">
        <v>458</v>
      </c>
      <c r="K1851" t="s">
        <v>467</v>
      </c>
      <c r="L1851" t="s">
        <v>469</v>
      </c>
      <c r="M1851" t="s">
        <v>471</v>
      </c>
      <c r="N1851" t="s">
        <v>786</v>
      </c>
      <c r="O1851" t="s">
        <v>972</v>
      </c>
      <c r="P1851" s="1">
        <f>HYPERLINK("https://ec.europa.eu/info/funding-tenders/opportunities/portal/screen/opportunities/topic-details/horizon-miss-2024-soil-01-04", "HORIZON-MISS-2024-SOIL-01-04")</f>
        <v>0</v>
      </c>
      <c r="Q1851" t="s">
        <v>2763</v>
      </c>
    </row>
    <row r="1852" spans="1:17">
      <c r="A1852">
        <v>46597944</v>
      </c>
      <c r="B1852">
        <v>2024</v>
      </c>
      <c r="C1852" t="s">
        <v>35</v>
      </c>
      <c r="D1852" t="s">
        <v>54</v>
      </c>
      <c r="E1852" t="s">
        <v>74</v>
      </c>
      <c r="F1852" t="s">
        <v>232</v>
      </c>
      <c r="G1852" t="s">
        <v>249</v>
      </c>
      <c r="H1852" t="s">
        <v>331</v>
      </c>
      <c r="I1852" t="s">
        <v>458</v>
      </c>
      <c r="K1852" t="s">
        <v>467</v>
      </c>
      <c r="L1852" t="s">
        <v>469</v>
      </c>
      <c r="M1852" t="s">
        <v>471</v>
      </c>
      <c r="N1852" t="s">
        <v>786</v>
      </c>
      <c r="O1852" t="s">
        <v>972</v>
      </c>
      <c r="P1852" s="1">
        <f>HYPERLINK("https://ec.europa.eu/info/funding-tenders/opportunities/portal/screen/opportunities/topic-details/horizon-miss-2024-soil-01-05", "HORIZON-MISS-2024-SOIL-01-05")</f>
        <v>0</v>
      </c>
      <c r="Q1852" t="s">
        <v>2764</v>
      </c>
    </row>
    <row r="1853" spans="1:17">
      <c r="A1853">
        <v>46597981</v>
      </c>
      <c r="B1853">
        <v>2024</v>
      </c>
      <c r="C1853" t="s">
        <v>35</v>
      </c>
      <c r="D1853" t="s">
        <v>54</v>
      </c>
      <c r="E1853" t="s">
        <v>74</v>
      </c>
      <c r="F1853" t="s">
        <v>232</v>
      </c>
      <c r="G1853" t="s">
        <v>249</v>
      </c>
      <c r="H1853" t="s">
        <v>331</v>
      </c>
      <c r="I1853" t="s">
        <v>458</v>
      </c>
      <c r="K1853" t="s">
        <v>467</v>
      </c>
      <c r="L1853" t="s">
        <v>469</v>
      </c>
      <c r="M1853" t="s">
        <v>473</v>
      </c>
      <c r="N1853" t="s">
        <v>786</v>
      </c>
      <c r="O1853" t="s">
        <v>972</v>
      </c>
      <c r="P1853" s="1">
        <f>HYPERLINK("https://ec.europa.eu/info/funding-tenders/opportunities/portal/screen/opportunities/topic-details/horizon-miss-2024-soil-01-06", "HORIZON-MISS-2024-SOIL-01-06")</f>
        <v>0</v>
      </c>
      <c r="Q1853" t="s">
        <v>2765</v>
      </c>
    </row>
    <row r="1854" spans="1:17">
      <c r="A1854">
        <v>46598018</v>
      </c>
      <c r="B1854">
        <v>2024</v>
      </c>
      <c r="C1854" t="s">
        <v>35</v>
      </c>
      <c r="D1854" t="s">
        <v>54</v>
      </c>
      <c r="E1854" t="s">
        <v>73</v>
      </c>
      <c r="F1854" t="s">
        <v>232</v>
      </c>
      <c r="G1854" t="s">
        <v>249</v>
      </c>
      <c r="H1854" t="s">
        <v>331</v>
      </c>
      <c r="I1854" t="s">
        <v>458</v>
      </c>
      <c r="K1854" t="s">
        <v>467</v>
      </c>
      <c r="L1854" t="s">
        <v>469</v>
      </c>
      <c r="M1854" t="s">
        <v>471</v>
      </c>
      <c r="N1854" t="s">
        <v>786</v>
      </c>
      <c r="O1854" t="s">
        <v>972</v>
      </c>
      <c r="P1854" s="1">
        <f>HYPERLINK("https://ec.europa.eu/info/funding-tenders/opportunities/portal/screen/opportunities/topic-details/horizon-miss-2024-soil-01-07", "HORIZON-MISS-2024-SOIL-01-07")</f>
        <v>0</v>
      </c>
      <c r="Q1854" t="s">
        <v>2766</v>
      </c>
    </row>
    <row r="1855" spans="1:17">
      <c r="A1855">
        <v>46598061</v>
      </c>
      <c r="B1855">
        <v>2024</v>
      </c>
      <c r="C1855" t="s">
        <v>35</v>
      </c>
      <c r="D1855" t="s">
        <v>54</v>
      </c>
      <c r="E1855" t="s">
        <v>73</v>
      </c>
      <c r="F1855" t="s">
        <v>232</v>
      </c>
      <c r="G1855" t="s">
        <v>249</v>
      </c>
      <c r="H1855" t="s">
        <v>331</v>
      </c>
      <c r="I1855" t="s">
        <v>458</v>
      </c>
      <c r="K1855" t="s">
        <v>467</v>
      </c>
      <c r="L1855" t="s">
        <v>469</v>
      </c>
      <c r="M1855" t="s">
        <v>471</v>
      </c>
      <c r="N1855" t="s">
        <v>786</v>
      </c>
      <c r="O1855" t="s">
        <v>972</v>
      </c>
      <c r="P1855" s="1">
        <f>HYPERLINK("https://ec.europa.eu/info/funding-tenders/opportunities/portal/screen/opportunities/topic-details/horizon-miss-2024-soil-01-08", "HORIZON-MISS-2024-SOIL-01-08")</f>
        <v>0</v>
      </c>
      <c r="Q1855" t="s">
        <v>2767</v>
      </c>
    </row>
    <row r="1856" spans="1:17">
      <c r="A1856">
        <v>46598079</v>
      </c>
      <c r="B1856">
        <v>2024</v>
      </c>
      <c r="C1856" t="s">
        <v>35</v>
      </c>
      <c r="D1856" t="s">
        <v>54</v>
      </c>
      <c r="E1856" t="s">
        <v>74</v>
      </c>
      <c r="F1856" t="s">
        <v>232</v>
      </c>
      <c r="G1856" t="s">
        <v>249</v>
      </c>
      <c r="H1856" t="s">
        <v>331</v>
      </c>
      <c r="I1856" t="s">
        <v>458</v>
      </c>
      <c r="K1856" t="s">
        <v>467</v>
      </c>
      <c r="L1856" t="s">
        <v>469</v>
      </c>
      <c r="M1856" t="s">
        <v>473</v>
      </c>
      <c r="N1856" t="s">
        <v>786</v>
      </c>
      <c r="O1856" t="s">
        <v>972</v>
      </c>
      <c r="P1856" s="1">
        <f>HYPERLINK("https://ec.europa.eu/info/funding-tenders/opportunities/portal/screen/opportunities/topic-details/horizon-miss-2024-soil-01-09", "HORIZON-MISS-2024-SOIL-01-09")</f>
        <v>0</v>
      </c>
      <c r="Q1856" t="s">
        <v>2768</v>
      </c>
    </row>
    <row r="1857" spans="1:17">
      <c r="A1857">
        <v>44995156</v>
      </c>
      <c r="B1857">
        <v>2022</v>
      </c>
      <c r="C1857" t="s">
        <v>36</v>
      </c>
      <c r="D1857" t="s">
        <v>55</v>
      </c>
      <c r="E1857" t="s">
        <v>77</v>
      </c>
      <c r="F1857" t="s">
        <v>243</v>
      </c>
      <c r="G1857" t="s">
        <v>293</v>
      </c>
      <c r="H1857" t="s">
        <v>293</v>
      </c>
      <c r="I1857" t="s">
        <v>459</v>
      </c>
      <c r="K1857" t="s">
        <v>466</v>
      </c>
      <c r="L1857" t="s">
        <v>469</v>
      </c>
      <c r="M1857" t="s">
        <v>477</v>
      </c>
      <c r="N1857" t="s">
        <v>787</v>
      </c>
      <c r="O1857" t="s">
        <v>973</v>
      </c>
      <c r="P1857" s="1">
        <f>HYPERLINK("https://ec.europa.eu/info/funding-tenders/opportunities/portal/screen/opportunities/topic-details/horizon-sesar-2022-des-er-01-wa1-1", "HORIZON-SESAR-2022-DES-ER-01-WA1-1")</f>
        <v>0</v>
      </c>
      <c r="Q1857" t="s">
        <v>2769</v>
      </c>
    </row>
    <row r="1858" spans="1:17">
      <c r="A1858">
        <v>44995163</v>
      </c>
      <c r="B1858">
        <v>2022</v>
      </c>
      <c r="C1858" t="s">
        <v>36</v>
      </c>
      <c r="D1858" t="s">
        <v>55</v>
      </c>
      <c r="E1858" t="s">
        <v>77</v>
      </c>
      <c r="F1858" t="s">
        <v>243</v>
      </c>
      <c r="G1858" t="s">
        <v>293</v>
      </c>
      <c r="H1858" t="s">
        <v>293</v>
      </c>
      <c r="I1858" t="s">
        <v>459</v>
      </c>
      <c r="K1858" t="s">
        <v>466</v>
      </c>
      <c r="L1858" t="s">
        <v>469</v>
      </c>
      <c r="M1858" t="s">
        <v>477</v>
      </c>
      <c r="N1858" t="s">
        <v>787</v>
      </c>
      <c r="O1858" t="s">
        <v>973</v>
      </c>
      <c r="P1858" s="1">
        <f>HYPERLINK("https://ec.europa.eu/info/funding-tenders/opportunities/portal/screen/opportunities/topic-details/horizon-sesar-2022-des-er-01-wa1-2", "HORIZON-SESAR-2022-DES-ER-01-WA1-2")</f>
        <v>0</v>
      </c>
      <c r="Q1858" t="s">
        <v>2770</v>
      </c>
    </row>
    <row r="1859" spans="1:17">
      <c r="A1859">
        <v>44995170</v>
      </c>
      <c r="B1859">
        <v>2022</v>
      </c>
      <c r="C1859" t="s">
        <v>36</v>
      </c>
      <c r="D1859" t="s">
        <v>55</v>
      </c>
      <c r="E1859" t="s">
        <v>77</v>
      </c>
      <c r="F1859" t="s">
        <v>243</v>
      </c>
      <c r="G1859" t="s">
        <v>293</v>
      </c>
      <c r="H1859" t="s">
        <v>293</v>
      </c>
      <c r="I1859" t="s">
        <v>459</v>
      </c>
      <c r="K1859" t="s">
        <v>466</v>
      </c>
      <c r="L1859" t="s">
        <v>469</v>
      </c>
      <c r="M1859" t="s">
        <v>477</v>
      </c>
      <c r="N1859" t="s">
        <v>787</v>
      </c>
      <c r="O1859" t="s">
        <v>973</v>
      </c>
      <c r="P1859" s="1">
        <f>HYPERLINK("https://ec.europa.eu/info/funding-tenders/opportunities/portal/screen/opportunities/topic-details/horizon-sesar-2022-des-er-01-wa1-3", "HORIZON-SESAR-2022-DES-ER-01-WA1-3")</f>
        <v>0</v>
      </c>
      <c r="Q1859" t="s">
        <v>2771</v>
      </c>
    </row>
    <row r="1860" spans="1:17">
      <c r="A1860">
        <v>44995177</v>
      </c>
      <c r="B1860">
        <v>2022</v>
      </c>
      <c r="C1860" t="s">
        <v>36</v>
      </c>
      <c r="D1860" t="s">
        <v>55</v>
      </c>
      <c r="E1860" t="s">
        <v>77</v>
      </c>
      <c r="F1860" t="s">
        <v>243</v>
      </c>
      <c r="G1860" t="s">
        <v>293</v>
      </c>
      <c r="H1860" t="s">
        <v>293</v>
      </c>
      <c r="I1860" t="s">
        <v>459</v>
      </c>
      <c r="K1860" t="s">
        <v>466</v>
      </c>
      <c r="L1860" t="s">
        <v>469</v>
      </c>
      <c r="M1860" t="s">
        <v>477</v>
      </c>
      <c r="N1860" t="s">
        <v>787</v>
      </c>
      <c r="O1860" t="s">
        <v>973</v>
      </c>
      <c r="P1860" s="1">
        <f>HYPERLINK("https://ec.europa.eu/info/funding-tenders/opportunities/portal/screen/opportunities/topic-details/horizon-sesar-2022-des-er-01-wa1-4", "HORIZON-SESAR-2022-DES-ER-01-WA1-4")</f>
        <v>0</v>
      </c>
      <c r="Q1860" t="s">
        <v>2772</v>
      </c>
    </row>
    <row r="1861" spans="1:17">
      <c r="A1861">
        <v>44995184</v>
      </c>
      <c r="B1861">
        <v>2022</v>
      </c>
      <c r="C1861" t="s">
        <v>36</v>
      </c>
      <c r="D1861" t="s">
        <v>55</v>
      </c>
      <c r="E1861" t="s">
        <v>77</v>
      </c>
      <c r="F1861" t="s">
        <v>243</v>
      </c>
      <c r="G1861" t="s">
        <v>293</v>
      </c>
      <c r="H1861" t="s">
        <v>293</v>
      </c>
      <c r="I1861" t="s">
        <v>459</v>
      </c>
      <c r="K1861" t="s">
        <v>466</v>
      </c>
      <c r="L1861" t="s">
        <v>469</v>
      </c>
      <c r="M1861" t="s">
        <v>477</v>
      </c>
      <c r="N1861" t="s">
        <v>787</v>
      </c>
      <c r="O1861" t="s">
        <v>973</v>
      </c>
      <c r="P1861" s="1">
        <f>HYPERLINK("https://ec.europa.eu/info/funding-tenders/opportunities/portal/screen/opportunities/topic-details/horizon-sesar-2022-des-er-01-wa1-5", "HORIZON-SESAR-2022-DES-ER-01-WA1-5")</f>
        <v>0</v>
      </c>
      <c r="Q1861" t="s">
        <v>2773</v>
      </c>
    </row>
    <row r="1862" spans="1:17">
      <c r="A1862">
        <v>44995191</v>
      </c>
      <c r="B1862">
        <v>2022</v>
      </c>
      <c r="C1862" t="s">
        <v>36</v>
      </c>
      <c r="D1862" t="s">
        <v>55</v>
      </c>
      <c r="E1862" t="s">
        <v>77</v>
      </c>
      <c r="F1862" t="s">
        <v>243</v>
      </c>
      <c r="G1862" t="s">
        <v>293</v>
      </c>
      <c r="H1862" t="s">
        <v>293</v>
      </c>
      <c r="I1862" t="s">
        <v>459</v>
      </c>
      <c r="K1862" t="s">
        <v>466</v>
      </c>
      <c r="L1862" t="s">
        <v>469</v>
      </c>
      <c r="M1862" t="s">
        <v>477</v>
      </c>
      <c r="N1862" t="s">
        <v>787</v>
      </c>
      <c r="O1862" t="s">
        <v>973</v>
      </c>
      <c r="P1862" s="1">
        <f>HYPERLINK("https://ec.europa.eu/info/funding-tenders/opportunities/portal/screen/opportunities/topic-details/horizon-sesar-2022-des-er-01-wa1-6", "HORIZON-SESAR-2022-DES-ER-01-WA1-6")</f>
        <v>0</v>
      </c>
      <c r="Q1862" t="s">
        <v>2774</v>
      </c>
    </row>
    <row r="1863" spans="1:17">
      <c r="A1863">
        <v>44995198</v>
      </c>
      <c r="B1863">
        <v>2022</v>
      </c>
      <c r="C1863" t="s">
        <v>36</v>
      </c>
      <c r="D1863" t="s">
        <v>55</v>
      </c>
      <c r="E1863" t="s">
        <v>77</v>
      </c>
      <c r="F1863" t="s">
        <v>243</v>
      </c>
      <c r="G1863" t="s">
        <v>293</v>
      </c>
      <c r="H1863" t="s">
        <v>293</v>
      </c>
      <c r="I1863" t="s">
        <v>459</v>
      </c>
      <c r="K1863" t="s">
        <v>466</v>
      </c>
      <c r="L1863" t="s">
        <v>469</v>
      </c>
      <c r="M1863" t="s">
        <v>477</v>
      </c>
      <c r="N1863" t="s">
        <v>787</v>
      </c>
      <c r="O1863" t="s">
        <v>973</v>
      </c>
      <c r="P1863" s="1">
        <f>HYPERLINK("https://ec.europa.eu/info/funding-tenders/opportunities/portal/screen/opportunities/topic-details/horizon-sesar-2022-des-er-01-wa1-7", "HORIZON-SESAR-2022-DES-ER-01-WA1-7")</f>
        <v>0</v>
      </c>
      <c r="Q1863" t="s">
        <v>2775</v>
      </c>
    </row>
    <row r="1864" spans="1:17">
      <c r="A1864">
        <v>44995205</v>
      </c>
      <c r="B1864">
        <v>2022</v>
      </c>
      <c r="C1864" t="s">
        <v>36</v>
      </c>
      <c r="D1864" t="s">
        <v>55</v>
      </c>
      <c r="E1864" t="s">
        <v>77</v>
      </c>
      <c r="F1864" t="s">
        <v>243</v>
      </c>
      <c r="G1864" t="s">
        <v>293</v>
      </c>
      <c r="H1864" t="s">
        <v>293</v>
      </c>
      <c r="I1864" t="s">
        <v>459</v>
      </c>
      <c r="K1864" t="s">
        <v>466</v>
      </c>
      <c r="L1864" t="s">
        <v>469</v>
      </c>
      <c r="M1864" t="s">
        <v>477</v>
      </c>
      <c r="N1864" t="s">
        <v>787</v>
      </c>
      <c r="O1864" t="s">
        <v>973</v>
      </c>
      <c r="P1864" s="1">
        <f>HYPERLINK("https://ec.europa.eu/info/funding-tenders/opportunities/portal/screen/opportunities/topic-details/horizon-sesar-2022-des-er-01-wa1-8", "HORIZON-SESAR-2022-DES-ER-01-WA1-8")</f>
        <v>0</v>
      </c>
      <c r="Q1864" t="s">
        <v>2776</v>
      </c>
    </row>
    <row r="1865" spans="1:17">
      <c r="A1865">
        <v>44995212</v>
      </c>
      <c r="B1865">
        <v>2022</v>
      </c>
      <c r="C1865" t="s">
        <v>36</v>
      </c>
      <c r="D1865" t="s">
        <v>55</v>
      </c>
      <c r="E1865" t="s">
        <v>77</v>
      </c>
      <c r="F1865" t="s">
        <v>243</v>
      </c>
      <c r="G1865" t="s">
        <v>293</v>
      </c>
      <c r="H1865" t="s">
        <v>293</v>
      </c>
      <c r="I1865" t="s">
        <v>459</v>
      </c>
      <c r="K1865" t="s">
        <v>466</v>
      </c>
      <c r="L1865" t="s">
        <v>469</v>
      </c>
      <c r="M1865" t="s">
        <v>477</v>
      </c>
      <c r="N1865" t="s">
        <v>787</v>
      </c>
      <c r="O1865" t="s">
        <v>973</v>
      </c>
      <c r="P1865" s="1">
        <f>HYPERLINK("https://ec.europa.eu/info/funding-tenders/opportunities/portal/screen/opportunities/topic-details/horizon-sesar-2022-des-er-01-wa2-1", "HORIZON-SESAR-2022-DES-ER-01-WA2-1")</f>
        <v>0</v>
      </c>
      <c r="Q1865" t="s">
        <v>2777</v>
      </c>
    </row>
    <row r="1866" spans="1:17">
      <c r="A1866">
        <v>44995217</v>
      </c>
      <c r="B1866">
        <v>2022</v>
      </c>
      <c r="C1866" t="s">
        <v>36</v>
      </c>
      <c r="D1866" t="s">
        <v>55</v>
      </c>
      <c r="E1866" t="s">
        <v>77</v>
      </c>
      <c r="F1866" t="s">
        <v>243</v>
      </c>
      <c r="G1866" t="s">
        <v>293</v>
      </c>
      <c r="H1866" t="s">
        <v>293</v>
      </c>
      <c r="I1866" t="s">
        <v>459</v>
      </c>
      <c r="K1866" t="s">
        <v>466</v>
      </c>
      <c r="L1866" t="s">
        <v>469</v>
      </c>
      <c r="M1866" t="s">
        <v>477</v>
      </c>
      <c r="N1866" t="s">
        <v>787</v>
      </c>
      <c r="O1866" t="s">
        <v>973</v>
      </c>
      <c r="P1866" s="1">
        <f>HYPERLINK("https://ec.europa.eu/info/funding-tenders/opportunities/portal/screen/opportunities/topic-details/horizon-sesar-2022-des-er-01-wa2-2", "HORIZON-SESAR-2022-DES-ER-01-WA2-2")</f>
        <v>0</v>
      </c>
      <c r="Q1866" t="s">
        <v>2778</v>
      </c>
    </row>
    <row r="1867" spans="1:17">
      <c r="A1867">
        <v>44995222</v>
      </c>
      <c r="B1867">
        <v>2022</v>
      </c>
      <c r="C1867" t="s">
        <v>36</v>
      </c>
      <c r="D1867" t="s">
        <v>55</v>
      </c>
      <c r="E1867" t="s">
        <v>77</v>
      </c>
      <c r="F1867" t="s">
        <v>243</v>
      </c>
      <c r="G1867" t="s">
        <v>293</v>
      </c>
      <c r="H1867" t="s">
        <v>293</v>
      </c>
      <c r="I1867" t="s">
        <v>459</v>
      </c>
      <c r="K1867" t="s">
        <v>466</v>
      </c>
      <c r="L1867" t="s">
        <v>469</v>
      </c>
      <c r="M1867" t="s">
        <v>477</v>
      </c>
      <c r="N1867" t="s">
        <v>787</v>
      </c>
      <c r="O1867" t="s">
        <v>973</v>
      </c>
      <c r="P1867" s="1">
        <f>HYPERLINK("https://ec.europa.eu/info/funding-tenders/opportunities/portal/screen/opportunities/topic-details/horizon-sesar-2022-des-er-01-wa2-3", "HORIZON-SESAR-2022-DES-ER-01-WA2-3")</f>
        <v>0</v>
      </c>
      <c r="Q1867" t="s">
        <v>2779</v>
      </c>
    </row>
    <row r="1868" spans="1:17">
      <c r="A1868">
        <v>44995227</v>
      </c>
      <c r="B1868">
        <v>2022</v>
      </c>
      <c r="C1868" t="s">
        <v>36</v>
      </c>
      <c r="D1868" t="s">
        <v>55</v>
      </c>
      <c r="E1868" t="s">
        <v>77</v>
      </c>
      <c r="F1868" t="s">
        <v>243</v>
      </c>
      <c r="G1868" t="s">
        <v>293</v>
      </c>
      <c r="H1868" t="s">
        <v>293</v>
      </c>
      <c r="I1868" t="s">
        <v>459</v>
      </c>
      <c r="K1868" t="s">
        <v>466</v>
      </c>
      <c r="L1868" t="s">
        <v>469</v>
      </c>
      <c r="M1868" t="s">
        <v>477</v>
      </c>
      <c r="N1868" t="s">
        <v>787</v>
      </c>
      <c r="O1868" t="s">
        <v>973</v>
      </c>
      <c r="P1868" s="1">
        <f>HYPERLINK("https://ec.europa.eu/info/funding-tenders/opportunities/portal/screen/opportunities/topic-details/horizon-sesar-2022-des-er-01-wa2-4", "HORIZON-SESAR-2022-DES-ER-01-WA2-4")</f>
        <v>0</v>
      </c>
      <c r="Q1868" t="s">
        <v>2780</v>
      </c>
    </row>
    <row r="1869" spans="1:17">
      <c r="A1869">
        <v>44995232</v>
      </c>
      <c r="B1869">
        <v>2022</v>
      </c>
      <c r="C1869" t="s">
        <v>36</v>
      </c>
      <c r="D1869" t="s">
        <v>55</v>
      </c>
      <c r="E1869" t="s">
        <v>77</v>
      </c>
      <c r="F1869" t="s">
        <v>243</v>
      </c>
      <c r="G1869" t="s">
        <v>293</v>
      </c>
      <c r="H1869" t="s">
        <v>293</v>
      </c>
      <c r="I1869" t="s">
        <v>459</v>
      </c>
      <c r="K1869" t="s">
        <v>466</v>
      </c>
      <c r="L1869" t="s">
        <v>469</v>
      </c>
      <c r="M1869" t="s">
        <v>477</v>
      </c>
      <c r="N1869" t="s">
        <v>787</v>
      </c>
      <c r="O1869" t="s">
        <v>973</v>
      </c>
      <c r="P1869" s="1">
        <f>HYPERLINK("https://ec.europa.eu/info/funding-tenders/opportunities/portal/screen/opportunities/topic-details/horizon-sesar-2022-des-er-01-wa2-5", "HORIZON-SESAR-2022-DES-ER-01-WA2-5")</f>
        <v>0</v>
      </c>
      <c r="Q1869" t="s">
        <v>2781</v>
      </c>
    </row>
    <row r="1870" spans="1:17">
      <c r="A1870">
        <v>44995237</v>
      </c>
      <c r="B1870">
        <v>2022</v>
      </c>
      <c r="C1870" t="s">
        <v>36</v>
      </c>
      <c r="D1870" t="s">
        <v>55</v>
      </c>
      <c r="E1870" t="s">
        <v>77</v>
      </c>
      <c r="F1870" t="s">
        <v>243</v>
      </c>
      <c r="G1870" t="s">
        <v>293</v>
      </c>
      <c r="H1870" t="s">
        <v>293</v>
      </c>
      <c r="I1870" t="s">
        <v>459</v>
      </c>
      <c r="K1870" t="s">
        <v>466</v>
      </c>
      <c r="L1870" t="s">
        <v>469</v>
      </c>
      <c r="M1870" t="s">
        <v>477</v>
      </c>
      <c r="N1870" t="s">
        <v>787</v>
      </c>
      <c r="O1870" t="s">
        <v>973</v>
      </c>
      <c r="P1870" s="1">
        <f>HYPERLINK("https://ec.europa.eu/info/funding-tenders/opportunities/portal/screen/opportunities/topic-details/horizon-sesar-2022-des-er-01-wa2-6", "HORIZON-SESAR-2022-DES-ER-01-WA2-6")</f>
        <v>0</v>
      </c>
      <c r="Q1870" t="s">
        <v>2782</v>
      </c>
    </row>
    <row r="1871" spans="1:17">
      <c r="A1871">
        <v>44995242</v>
      </c>
      <c r="B1871">
        <v>2022</v>
      </c>
      <c r="C1871" t="s">
        <v>36</v>
      </c>
      <c r="D1871" t="s">
        <v>55</v>
      </c>
      <c r="E1871" t="s">
        <v>77</v>
      </c>
      <c r="F1871" t="s">
        <v>243</v>
      </c>
      <c r="G1871" t="s">
        <v>293</v>
      </c>
      <c r="H1871" t="s">
        <v>293</v>
      </c>
      <c r="I1871" t="s">
        <v>459</v>
      </c>
      <c r="K1871" t="s">
        <v>466</v>
      </c>
      <c r="L1871" t="s">
        <v>469</v>
      </c>
      <c r="M1871" t="s">
        <v>477</v>
      </c>
      <c r="N1871" t="s">
        <v>787</v>
      </c>
      <c r="O1871" t="s">
        <v>973</v>
      </c>
      <c r="P1871" s="1">
        <f>HYPERLINK("https://ec.europa.eu/info/funding-tenders/opportunities/portal/screen/opportunities/topic-details/horizon-sesar-2022-des-er-01-wa2-7", "HORIZON-SESAR-2022-DES-ER-01-WA2-7")</f>
        <v>0</v>
      </c>
      <c r="Q1871" t="s">
        <v>2783</v>
      </c>
    </row>
    <row r="1872" spans="1:17">
      <c r="A1872">
        <v>44995146</v>
      </c>
      <c r="B1872">
        <v>2022</v>
      </c>
      <c r="C1872" t="s">
        <v>36</v>
      </c>
      <c r="D1872" t="s">
        <v>55</v>
      </c>
      <c r="E1872" t="s">
        <v>77</v>
      </c>
      <c r="F1872" t="s">
        <v>243</v>
      </c>
      <c r="G1872" t="s">
        <v>293</v>
      </c>
      <c r="H1872" t="s">
        <v>293</v>
      </c>
      <c r="I1872" t="s">
        <v>459</v>
      </c>
      <c r="K1872" t="s">
        <v>466</v>
      </c>
      <c r="L1872" t="s">
        <v>469</v>
      </c>
      <c r="M1872" t="s">
        <v>477</v>
      </c>
      <c r="N1872" t="s">
        <v>787</v>
      </c>
      <c r="O1872" t="s">
        <v>973</v>
      </c>
      <c r="P1872" s="1">
        <f>HYPERLINK("https://ec.europa.eu/info/funding-tenders/opportunities/portal/screen/opportunities/topic-details/horizon-sesar-2022-des-er-01-wa2-8", "HORIZON-SESAR-2022-DES-ER-01-WA2-8")</f>
        <v>0</v>
      </c>
      <c r="Q1872" t="s">
        <v>2784</v>
      </c>
    </row>
    <row r="1873" spans="1:17">
      <c r="A1873">
        <v>44995151</v>
      </c>
      <c r="B1873">
        <v>2022</v>
      </c>
      <c r="C1873" t="s">
        <v>36</v>
      </c>
      <c r="D1873" t="s">
        <v>55</v>
      </c>
      <c r="E1873" t="s">
        <v>77</v>
      </c>
      <c r="F1873" t="s">
        <v>243</v>
      </c>
      <c r="G1873" t="s">
        <v>293</v>
      </c>
      <c r="H1873" t="s">
        <v>293</v>
      </c>
      <c r="I1873" t="s">
        <v>459</v>
      </c>
      <c r="K1873" t="s">
        <v>466</v>
      </c>
      <c r="L1873" t="s">
        <v>469</v>
      </c>
      <c r="M1873" t="s">
        <v>479</v>
      </c>
      <c r="N1873" t="s">
        <v>787</v>
      </c>
      <c r="O1873" t="s">
        <v>973</v>
      </c>
      <c r="P1873" s="1">
        <f>HYPERLINK("https://ec.europa.eu/info/funding-tenders/opportunities/portal/screen/opportunities/topic-details/horizon-sesar-2022-des-er-01-wa3-1", "HORIZON-SESAR-2022-DES-ER-01-WA3-1")</f>
        <v>0</v>
      </c>
      <c r="Q1873" t="s">
        <v>2785</v>
      </c>
    </row>
    <row r="1874" spans="1:17">
      <c r="A1874">
        <v>44996561</v>
      </c>
      <c r="B1874">
        <v>2022</v>
      </c>
      <c r="C1874" t="s">
        <v>36</v>
      </c>
      <c r="D1874" t="s">
        <v>55</v>
      </c>
      <c r="E1874" t="s">
        <v>77</v>
      </c>
      <c r="F1874" t="s">
        <v>244</v>
      </c>
      <c r="G1874" t="s">
        <v>293</v>
      </c>
      <c r="H1874" t="s">
        <v>293</v>
      </c>
      <c r="I1874" t="s">
        <v>459</v>
      </c>
      <c r="K1874" t="s">
        <v>466</v>
      </c>
      <c r="L1874" t="s">
        <v>469</v>
      </c>
      <c r="M1874" t="s">
        <v>479</v>
      </c>
      <c r="N1874" t="s">
        <v>788</v>
      </c>
      <c r="O1874" t="s">
        <v>974</v>
      </c>
      <c r="P1874" s="1">
        <f>HYPERLINK("https://ec.europa.eu/info/funding-tenders/opportunities/portal/screen/opportunities/topic-details/horizon-sesar-2022-des-ir-01-wa1-1", "HORIZON-SESAR-2022-DES-IR-01-WA1-1")</f>
        <v>0</v>
      </c>
      <c r="Q1874" t="s">
        <v>2786</v>
      </c>
    </row>
    <row r="1875" spans="1:17">
      <c r="A1875">
        <v>44996566</v>
      </c>
      <c r="B1875">
        <v>2022</v>
      </c>
      <c r="C1875" t="s">
        <v>36</v>
      </c>
      <c r="D1875" t="s">
        <v>55</v>
      </c>
      <c r="E1875" t="s">
        <v>77</v>
      </c>
      <c r="F1875" t="s">
        <v>244</v>
      </c>
      <c r="G1875" t="s">
        <v>293</v>
      </c>
      <c r="H1875" t="s">
        <v>293</v>
      </c>
      <c r="I1875" t="s">
        <v>459</v>
      </c>
      <c r="K1875" t="s">
        <v>466</v>
      </c>
      <c r="L1875" t="s">
        <v>469</v>
      </c>
      <c r="M1875" t="s">
        <v>479</v>
      </c>
      <c r="N1875" t="s">
        <v>788</v>
      </c>
      <c r="O1875" t="s">
        <v>974</v>
      </c>
      <c r="P1875" s="1">
        <f>HYPERLINK("https://ec.europa.eu/info/funding-tenders/opportunities/portal/screen/opportunities/topic-details/horizon-sesar-2022-des-ir-01-wa1-2", "HORIZON-SESAR-2022-DES-IR-01-WA1-2")</f>
        <v>0</v>
      </c>
      <c r="Q1875" t="s">
        <v>2787</v>
      </c>
    </row>
    <row r="1876" spans="1:17">
      <c r="A1876">
        <v>44996573</v>
      </c>
      <c r="B1876">
        <v>2022</v>
      </c>
      <c r="C1876" t="s">
        <v>36</v>
      </c>
      <c r="D1876" t="s">
        <v>55</v>
      </c>
      <c r="E1876" t="s">
        <v>77</v>
      </c>
      <c r="F1876" t="s">
        <v>244</v>
      </c>
      <c r="G1876" t="s">
        <v>293</v>
      </c>
      <c r="H1876" t="s">
        <v>293</v>
      </c>
      <c r="I1876" t="s">
        <v>459</v>
      </c>
      <c r="K1876" t="s">
        <v>466</v>
      </c>
      <c r="L1876" t="s">
        <v>469</v>
      </c>
      <c r="M1876" t="s">
        <v>477</v>
      </c>
      <c r="N1876" t="s">
        <v>788</v>
      </c>
      <c r="O1876" t="s">
        <v>974</v>
      </c>
      <c r="P1876" s="1">
        <f>HYPERLINK("https://ec.europa.eu/info/funding-tenders/opportunities/portal/screen/opportunities/topic-details/horizon-sesar-2022-des-ir-01-wa2-1", "HORIZON-SESAR-2022-DES-IR-01-WA2-1")</f>
        <v>0</v>
      </c>
      <c r="Q1876" t="s">
        <v>2788</v>
      </c>
    </row>
    <row r="1877" spans="1:17">
      <c r="A1877">
        <v>44996578</v>
      </c>
      <c r="B1877">
        <v>2022</v>
      </c>
      <c r="C1877" t="s">
        <v>36</v>
      </c>
      <c r="D1877" t="s">
        <v>55</v>
      </c>
      <c r="E1877" t="s">
        <v>77</v>
      </c>
      <c r="F1877" t="s">
        <v>244</v>
      </c>
      <c r="G1877" t="s">
        <v>293</v>
      </c>
      <c r="H1877" t="s">
        <v>293</v>
      </c>
      <c r="I1877" t="s">
        <v>459</v>
      </c>
      <c r="K1877" t="s">
        <v>466</v>
      </c>
      <c r="L1877" t="s">
        <v>469</v>
      </c>
      <c r="M1877" t="s">
        <v>477</v>
      </c>
      <c r="N1877" t="s">
        <v>788</v>
      </c>
      <c r="O1877" t="s">
        <v>974</v>
      </c>
      <c r="P1877" s="1">
        <f>HYPERLINK("https://ec.europa.eu/info/funding-tenders/opportunities/portal/screen/opportunities/topic-details/horizon-sesar-2022-des-ir-01-wa3-1", "HORIZON-SESAR-2022-DES-IR-01-WA3-1")</f>
        <v>0</v>
      </c>
      <c r="Q1877" t="s">
        <v>2789</v>
      </c>
    </row>
    <row r="1878" spans="1:17">
      <c r="A1878">
        <v>44996583</v>
      </c>
      <c r="B1878">
        <v>2022</v>
      </c>
      <c r="C1878" t="s">
        <v>36</v>
      </c>
      <c r="D1878" t="s">
        <v>55</v>
      </c>
      <c r="E1878" t="s">
        <v>77</v>
      </c>
      <c r="F1878" t="s">
        <v>244</v>
      </c>
      <c r="G1878" t="s">
        <v>293</v>
      </c>
      <c r="H1878" t="s">
        <v>293</v>
      </c>
      <c r="I1878" t="s">
        <v>459</v>
      </c>
      <c r="K1878" t="s">
        <v>466</v>
      </c>
      <c r="L1878" t="s">
        <v>469</v>
      </c>
      <c r="M1878" t="s">
        <v>477</v>
      </c>
      <c r="N1878" t="s">
        <v>788</v>
      </c>
      <c r="O1878" t="s">
        <v>974</v>
      </c>
      <c r="P1878" s="1">
        <f>HYPERLINK("https://ec.europa.eu/info/funding-tenders/opportunities/portal/screen/opportunities/topic-details/horizon-sesar-2022-des-ir-01-wa3-2", "HORIZON-SESAR-2022-DES-IR-01-WA3-2")</f>
        <v>0</v>
      </c>
      <c r="Q1878" t="s">
        <v>2790</v>
      </c>
    </row>
    <row r="1879" spans="1:17">
      <c r="A1879">
        <v>44996588</v>
      </c>
      <c r="B1879">
        <v>2022</v>
      </c>
      <c r="C1879" t="s">
        <v>36</v>
      </c>
      <c r="D1879" t="s">
        <v>55</v>
      </c>
      <c r="E1879" t="s">
        <v>77</v>
      </c>
      <c r="F1879" t="s">
        <v>244</v>
      </c>
      <c r="G1879" t="s">
        <v>293</v>
      </c>
      <c r="H1879" t="s">
        <v>293</v>
      </c>
      <c r="I1879" t="s">
        <v>459</v>
      </c>
      <c r="K1879" t="s">
        <v>466</v>
      </c>
      <c r="L1879" t="s">
        <v>469</v>
      </c>
      <c r="M1879" t="s">
        <v>477</v>
      </c>
      <c r="N1879" t="s">
        <v>788</v>
      </c>
      <c r="O1879" t="s">
        <v>974</v>
      </c>
      <c r="P1879" s="1">
        <f>HYPERLINK("https://ec.europa.eu/info/funding-tenders/opportunities/portal/screen/opportunities/topic-details/horizon-sesar-2022-des-ir-01-wa3-3", "HORIZON-SESAR-2022-DES-IR-01-WA3-3")</f>
        <v>0</v>
      </c>
      <c r="Q1879" t="s">
        <v>2791</v>
      </c>
    </row>
    <row r="1880" spans="1:17">
      <c r="A1880">
        <v>44996593</v>
      </c>
      <c r="B1880">
        <v>2022</v>
      </c>
      <c r="C1880" t="s">
        <v>36</v>
      </c>
      <c r="D1880" t="s">
        <v>55</v>
      </c>
      <c r="E1880" t="s">
        <v>77</v>
      </c>
      <c r="F1880" t="s">
        <v>244</v>
      </c>
      <c r="G1880" t="s">
        <v>293</v>
      </c>
      <c r="H1880" t="s">
        <v>293</v>
      </c>
      <c r="I1880" t="s">
        <v>459</v>
      </c>
      <c r="K1880" t="s">
        <v>466</v>
      </c>
      <c r="L1880" t="s">
        <v>469</v>
      </c>
      <c r="M1880" t="s">
        <v>477</v>
      </c>
      <c r="N1880" t="s">
        <v>788</v>
      </c>
      <c r="O1880" t="s">
        <v>974</v>
      </c>
      <c r="P1880" s="1">
        <f>HYPERLINK("https://ec.europa.eu/info/funding-tenders/opportunities/portal/screen/opportunities/topic-details/horizon-sesar-2022-des-ir-01-wa3-4", "HORIZON-SESAR-2022-DES-IR-01-WA3-4")</f>
        <v>0</v>
      </c>
      <c r="Q1880" t="s">
        <v>2792</v>
      </c>
    </row>
    <row r="1881" spans="1:17">
      <c r="A1881">
        <v>44996638</v>
      </c>
      <c r="B1881">
        <v>2022</v>
      </c>
      <c r="C1881" t="s">
        <v>36</v>
      </c>
      <c r="D1881" t="s">
        <v>55</v>
      </c>
      <c r="E1881" t="s">
        <v>77</v>
      </c>
      <c r="F1881" t="s">
        <v>244</v>
      </c>
      <c r="G1881" t="s">
        <v>293</v>
      </c>
      <c r="H1881" t="s">
        <v>293</v>
      </c>
      <c r="I1881" t="s">
        <v>459</v>
      </c>
      <c r="K1881" t="s">
        <v>466</v>
      </c>
      <c r="L1881" t="s">
        <v>469</v>
      </c>
      <c r="M1881" t="s">
        <v>477</v>
      </c>
      <c r="N1881" t="s">
        <v>788</v>
      </c>
      <c r="O1881" t="s">
        <v>974</v>
      </c>
      <c r="P1881" s="1">
        <f>HYPERLINK("https://ec.europa.eu/info/funding-tenders/opportunities/portal/screen/opportunities/topic-details/horizon-sesar-2022-des-ir-01-wa3-5", "HORIZON-SESAR-2022-DES-IR-01-WA3-5")</f>
        <v>0</v>
      </c>
      <c r="Q1881" t="s">
        <v>2793</v>
      </c>
    </row>
    <row r="1882" spans="1:17">
      <c r="A1882">
        <v>44996643</v>
      </c>
      <c r="B1882">
        <v>2022</v>
      </c>
      <c r="C1882" t="s">
        <v>36</v>
      </c>
      <c r="D1882" t="s">
        <v>55</v>
      </c>
      <c r="E1882" t="s">
        <v>77</v>
      </c>
      <c r="F1882" t="s">
        <v>244</v>
      </c>
      <c r="G1882" t="s">
        <v>293</v>
      </c>
      <c r="H1882" t="s">
        <v>293</v>
      </c>
      <c r="I1882" t="s">
        <v>459</v>
      </c>
      <c r="K1882" t="s">
        <v>466</v>
      </c>
      <c r="L1882" t="s">
        <v>469</v>
      </c>
      <c r="M1882" t="s">
        <v>478</v>
      </c>
      <c r="N1882" t="s">
        <v>788</v>
      </c>
      <c r="O1882" t="s">
        <v>974</v>
      </c>
      <c r="P1882" s="1">
        <f>HYPERLINK("https://ec.europa.eu/info/funding-tenders/opportunities/portal/screen/opportunities/topic-details/horizon-sesar-2022-des-ir-01-wa4-1", "HORIZON-SESAR-2022-DES-IR-01-WA4-1")</f>
        <v>0</v>
      </c>
      <c r="Q1882" t="s">
        <v>2794</v>
      </c>
    </row>
    <row r="1883" spans="1:17">
      <c r="A1883">
        <v>44996598</v>
      </c>
      <c r="B1883">
        <v>2022</v>
      </c>
      <c r="C1883" t="s">
        <v>36</v>
      </c>
      <c r="D1883" t="s">
        <v>55</v>
      </c>
      <c r="E1883" t="s">
        <v>77</v>
      </c>
      <c r="F1883" t="s">
        <v>244</v>
      </c>
      <c r="G1883" t="s">
        <v>293</v>
      </c>
      <c r="H1883" t="s">
        <v>293</v>
      </c>
      <c r="I1883" t="s">
        <v>459</v>
      </c>
      <c r="K1883" t="s">
        <v>466</v>
      </c>
      <c r="L1883" t="s">
        <v>469</v>
      </c>
      <c r="M1883" t="s">
        <v>478</v>
      </c>
      <c r="N1883" t="s">
        <v>788</v>
      </c>
      <c r="O1883" t="s">
        <v>974</v>
      </c>
      <c r="P1883" s="1">
        <f>HYPERLINK("https://ec.europa.eu/info/funding-tenders/opportunities/portal/screen/opportunities/topic-details/horizon-sesar-2022-des-ir-01-wa5-1", "HORIZON-SESAR-2022-DES-IR-01-WA5-1")</f>
        <v>0</v>
      </c>
      <c r="Q1883" t="s">
        <v>2795</v>
      </c>
    </row>
    <row r="1884" spans="1:17">
      <c r="A1884">
        <v>44996603</v>
      </c>
      <c r="B1884">
        <v>2022</v>
      </c>
      <c r="C1884" t="s">
        <v>36</v>
      </c>
      <c r="D1884" t="s">
        <v>55</v>
      </c>
      <c r="E1884" t="s">
        <v>77</v>
      </c>
      <c r="F1884" t="s">
        <v>244</v>
      </c>
      <c r="G1884" t="s">
        <v>293</v>
      </c>
      <c r="H1884" t="s">
        <v>293</v>
      </c>
      <c r="I1884" t="s">
        <v>459</v>
      </c>
      <c r="K1884" t="s">
        <v>466</v>
      </c>
      <c r="L1884" t="s">
        <v>469</v>
      </c>
      <c r="M1884" t="s">
        <v>478</v>
      </c>
      <c r="N1884" t="s">
        <v>788</v>
      </c>
      <c r="O1884" t="s">
        <v>974</v>
      </c>
      <c r="P1884" s="1">
        <f>HYPERLINK("https://ec.europa.eu/info/funding-tenders/opportunities/portal/screen/opportunities/topic-details/horizon-sesar-2022-des-ir-01-wa5-2", "HORIZON-SESAR-2022-DES-IR-01-WA5-2")</f>
        <v>0</v>
      </c>
      <c r="Q1884" t="s">
        <v>2796</v>
      </c>
    </row>
    <row r="1885" spans="1:17">
      <c r="A1885">
        <v>44996608</v>
      </c>
      <c r="B1885">
        <v>2022</v>
      </c>
      <c r="C1885" t="s">
        <v>36</v>
      </c>
      <c r="D1885" t="s">
        <v>55</v>
      </c>
      <c r="E1885" t="s">
        <v>77</v>
      </c>
      <c r="F1885" t="s">
        <v>244</v>
      </c>
      <c r="G1885" t="s">
        <v>293</v>
      </c>
      <c r="H1885" t="s">
        <v>293</v>
      </c>
      <c r="I1885" t="s">
        <v>459</v>
      </c>
      <c r="K1885" t="s">
        <v>466</v>
      </c>
      <c r="L1885" t="s">
        <v>469</v>
      </c>
      <c r="M1885" t="s">
        <v>478</v>
      </c>
      <c r="N1885" t="s">
        <v>788</v>
      </c>
      <c r="O1885" t="s">
        <v>974</v>
      </c>
      <c r="P1885" s="1">
        <f>HYPERLINK("https://ec.europa.eu/info/funding-tenders/opportunities/portal/screen/opportunities/topic-details/horizon-sesar-2022-des-ir-01-wa5-3", "HORIZON-SESAR-2022-DES-IR-01-WA5-3")</f>
        <v>0</v>
      </c>
      <c r="Q1885" t="s">
        <v>2797</v>
      </c>
    </row>
    <row r="1886" spans="1:17">
      <c r="A1886">
        <v>44996613</v>
      </c>
      <c r="B1886">
        <v>2022</v>
      </c>
      <c r="C1886" t="s">
        <v>36</v>
      </c>
      <c r="D1886" t="s">
        <v>55</v>
      </c>
      <c r="E1886" t="s">
        <v>77</v>
      </c>
      <c r="F1886" t="s">
        <v>244</v>
      </c>
      <c r="G1886" t="s">
        <v>293</v>
      </c>
      <c r="H1886" t="s">
        <v>293</v>
      </c>
      <c r="I1886" t="s">
        <v>459</v>
      </c>
      <c r="K1886" t="s">
        <v>466</v>
      </c>
      <c r="L1886" t="s">
        <v>469</v>
      </c>
      <c r="M1886" t="s">
        <v>478</v>
      </c>
      <c r="N1886" t="s">
        <v>788</v>
      </c>
      <c r="O1886" t="s">
        <v>974</v>
      </c>
      <c r="P1886" s="1">
        <f>HYPERLINK("https://ec.europa.eu/info/funding-tenders/opportunities/portal/screen/opportunities/topic-details/horizon-sesar-2022-des-ir-01-wa5-4", "HORIZON-SESAR-2022-DES-IR-01-WA5-4")</f>
        <v>0</v>
      </c>
      <c r="Q1886" t="s">
        <v>2798</v>
      </c>
    </row>
    <row r="1887" spans="1:17">
      <c r="A1887">
        <v>44996618</v>
      </c>
      <c r="B1887">
        <v>2022</v>
      </c>
      <c r="C1887" t="s">
        <v>36</v>
      </c>
      <c r="D1887" t="s">
        <v>55</v>
      </c>
      <c r="E1887" t="s">
        <v>77</v>
      </c>
      <c r="F1887" t="s">
        <v>244</v>
      </c>
      <c r="G1887" t="s">
        <v>293</v>
      </c>
      <c r="H1887" t="s">
        <v>293</v>
      </c>
      <c r="I1887" t="s">
        <v>459</v>
      </c>
      <c r="K1887" t="s">
        <v>466</v>
      </c>
      <c r="L1887" t="s">
        <v>469</v>
      </c>
      <c r="M1887" t="s">
        <v>477</v>
      </c>
      <c r="N1887" t="s">
        <v>788</v>
      </c>
      <c r="O1887" t="s">
        <v>974</v>
      </c>
      <c r="P1887" s="1">
        <f>HYPERLINK("https://ec.europa.eu/info/funding-tenders/opportunities/portal/screen/opportunities/topic-details/horizon-sesar-2022-des-ir-01-wa6-1", "HORIZON-SESAR-2022-DES-IR-01-WA6-1")</f>
        <v>0</v>
      </c>
      <c r="Q1887" t="s">
        <v>2799</v>
      </c>
    </row>
    <row r="1888" spans="1:17">
      <c r="A1888">
        <v>44996623</v>
      </c>
      <c r="B1888">
        <v>2022</v>
      </c>
      <c r="C1888" t="s">
        <v>36</v>
      </c>
      <c r="D1888" t="s">
        <v>55</v>
      </c>
      <c r="E1888" t="s">
        <v>77</v>
      </c>
      <c r="F1888" t="s">
        <v>244</v>
      </c>
      <c r="G1888" t="s">
        <v>293</v>
      </c>
      <c r="H1888" t="s">
        <v>293</v>
      </c>
      <c r="I1888" t="s">
        <v>459</v>
      </c>
      <c r="K1888" t="s">
        <v>466</v>
      </c>
      <c r="L1888" t="s">
        <v>469</v>
      </c>
      <c r="M1888" t="s">
        <v>477</v>
      </c>
      <c r="N1888" t="s">
        <v>788</v>
      </c>
      <c r="O1888" t="s">
        <v>974</v>
      </c>
      <c r="P1888" s="1">
        <f>HYPERLINK("https://ec.europa.eu/info/funding-tenders/opportunities/portal/screen/opportunities/topic-details/horizon-sesar-2022-des-ir-01-wa6-2", "HORIZON-SESAR-2022-DES-IR-01-WA6-2")</f>
        <v>0</v>
      </c>
      <c r="Q1888" t="s">
        <v>2800</v>
      </c>
    </row>
    <row r="1889" spans="1:17">
      <c r="A1889">
        <v>44996628</v>
      </c>
      <c r="B1889">
        <v>2022</v>
      </c>
      <c r="C1889" t="s">
        <v>36</v>
      </c>
      <c r="D1889" t="s">
        <v>55</v>
      </c>
      <c r="E1889" t="s">
        <v>77</v>
      </c>
      <c r="F1889" t="s">
        <v>244</v>
      </c>
      <c r="G1889" t="s">
        <v>293</v>
      </c>
      <c r="H1889" t="s">
        <v>293</v>
      </c>
      <c r="I1889" t="s">
        <v>459</v>
      </c>
      <c r="K1889" t="s">
        <v>466</v>
      </c>
      <c r="L1889" t="s">
        <v>469</v>
      </c>
      <c r="M1889" t="s">
        <v>477</v>
      </c>
      <c r="N1889" t="s">
        <v>788</v>
      </c>
      <c r="O1889" t="s">
        <v>974</v>
      </c>
      <c r="P1889" s="1">
        <f>HYPERLINK("https://ec.europa.eu/info/funding-tenders/opportunities/portal/screen/opportunities/topic-details/horizon-sesar-2022-des-ir-01-wa6-3", "HORIZON-SESAR-2022-DES-IR-01-WA6-3")</f>
        <v>0</v>
      </c>
      <c r="Q1889" t="s">
        <v>2801</v>
      </c>
    </row>
    <row r="1890" spans="1:17">
      <c r="A1890">
        <v>44996633</v>
      </c>
      <c r="B1890">
        <v>2022</v>
      </c>
      <c r="C1890" t="s">
        <v>36</v>
      </c>
      <c r="D1890" t="s">
        <v>55</v>
      </c>
      <c r="E1890" t="s">
        <v>77</v>
      </c>
      <c r="F1890" t="s">
        <v>244</v>
      </c>
      <c r="G1890" t="s">
        <v>293</v>
      </c>
      <c r="H1890" t="s">
        <v>293</v>
      </c>
      <c r="I1890" t="s">
        <v>459</v>
      </c>
      <c r="K1890" t="s">
        <v>466</v>
      </c>
      <c r="L1890" t="s">
        <v>469</v>
      </c>
      <c r="M1890" t="s">
        <v>477</v>
      </c>
      <c r="N1890" t="s">
        <v>788</v>
      </c>
      <c r="O1890" t="s">
        <v>974</v>
      </c>
      <c r="P1890" s="1">
        <f>HYPERLINK("https://ec.europa.eu/info/funding-tenders/opportunities/portal/screen/opportunities/topic-details/horizon-sesar-2022-des-ir-01-wa6-4", "HORIZON-SESAR-2022-DES-IR-01-WA6-4")</f>
        <v>0</v>
      </c>
      <c r="Q1890" t="s">
        <v>2802</v>
      </c>
    </row>
    <row r="1891" spans="1:17">
      <c r="A1891">
        <v>46142665</v>
      </c>
      <c r="B1891">
        <v>2023</v>
      </c>
      <c r="C1891" t="s">
        <v>36</v>
      </c>
      <c r="D1891" t="s">
        <v>55</v>
      </c>
      <c r="E1891" t="s">
        <v>77</v>
      </c>
      <c r="F1891" t="s">
        <v>245</v>
      </c>
      <c r="G1891" t="s">
        <v>294</v>
      </c>
      <c r="H1891" t="s">
        <v>294</v>
      </c>
      <c r="I1891" t="s">
        <v>312</v>
      </c>
      <c r="K1891" t="s">
        <v>466</v>
      </c>
      <c r="L1891" t="s">
        <v>469</v>
      </c>
      <c r="M1891" t="s">
        <v>477</v>
      </c>
      <c r="N1891" t="s">
        <v>789</v>
      </c>
      <c r="O1891" t="s">
        <v>975</v>
      </c>
      <c r="P1891" s="1">
        <f>HYPERLINK("https://ec.europa.eu/info/funding-tenders/opportunities/portal/screen/opportunities/topic-details/horizon-sesar-2023-des-er2-wa1-1", "HORIZON-SESAR-2023-DES-ER2-WA1-1")</f>
        <v>0</v>
      </c>
      <c r="Q1891" t="s">
        <v>2803</v>
      </c>
    </row>
    <row r="1892" spans="1:17">
      <c r="A1892">
        <v>46142650</v>
      </c>
      <c r="B1892">
        <v>2023</v>
      </c>
      <c r="C1892" t="s">
        <v>36</v>
      </c>
      <c r="D1892" t="s">
        <v>55</v>
      </c>
      <c r="E1892" t="s">
        <v>77</v>
      </c>
      <c r="F1892" t="s">
        <v>245</v>
      </c>
      <c r="G1892" t="s">
        <v>294</v>
      </c>
      <c r="H1892" t="s">
        <v>294</v>
      </c>
      <c r="I1892" t="s">
        <v>312</v>
      </c>
      <c r="K1892" t="s">
        <v>466</v>
      </c>
      <c r="L1892" t="s">
        <v>469</v>
      </c>
      <c r="M1892" t="s">
        <v>477</v>
      </c>
      <c r="N1892" t="s">
        <v>789</v>
      </c>
      <c r="O1892" t="s">
        <v>975</v>
      </c>
      <c r="P1892" s="1">
        <f>HYPERLINK("https://ec.europa.eu/info/funding-tenders/opportunities/portal/screen/opportunities/topic-details/horizon-sesar-2023-des-er2-wa1-2", "HORIZON-SESAR-2023-DES-ER2-WA1-2")</f>
        <v>0</v>
      </c>
      <c r="Q1892" t="s">
        <v>2804</v>
      </c>
    </row>
    <row r="1893" spans="1:17">
      <c r="A1893">
        <v>46142655</v>
      </c>
      <c r="B1893">
        <v>2023</v>
      </c>
      <c r="C1893" t="s">
        <v>36</v>
      </c>
      <c r="D1893" t="s">
        <v>55</v>
      </c>
      <c r="E1893" t="s">
        <v>77</v>
      </c>
      <c r="F1893" t="s">
        <v>245</v>
      </c>
      <c r="G1893" t="s">
        <v>294</v>
      </c>
      <c r="H1893" t="s">
        <v>294</v>
      </c>
      <c r="I1893" t="s">
        <v>312</v>
      </c>
      <c r="K1893" t="s">
        <v>466</v>
      </c>
      <c r="L1893" t="s">
        <v>469</v>
      </c>
      <c r="M1893" t="s">
        <v>477</v>
      </c>
      <c r="N1893" t="s">
        <v>789</v>
      </c>
      <c r="O1893" t="s">
        <v>975</v>
      </c>
      <c r="P1893" s="1">
        <f>HYPERLINK("https://ec.europa.eu/info/funding-tenders/opportunities/portal/screen/opportunities/topic-details/horizon-sesar-2023-des-er2-wa1-3", "HORIZON-SESAR-2023-DES-ER2-WA1-3")</f>
        <v>0</v>
      </c>
      <c r="Q1893" t="s">
        <v>2805</v>
      </c>
    </row>
    <row r="1894" spans="1:17">
      <c r="A1894">
        <v>46142660</v>
      </c>
      <c r="B1894">
        <v>2023</v>
      </c>
      <c r="C1894" t="s">
        <v>36</v>
      </c>
      <c r="D1894" t="s">
        <v>55</v>
      </c>
      <c r="E1894" t="s">
        <v>77</v>
      </c>
      <c r="F1894" t="s">
        <v>245</v>
      </c>
      <c r="G1894" t="s">
        <v>294</v>
      </c>
      <c r="H1894" t="s">
        <v>294</v>
      </c>
      <c r="I1894" t="s">
        <v>312</v>
      </c>
      <c r="K1894" t="s">
        <v>466</v>
      </c>
      <c r="L1894" t="s">
        <v>469</v>
      </c>
      <c r="M1894" t="s">
        <v>477</v>
      </c>
      <c r="N1894" t="s">
        <v>789</v>
      </c>
      <c r="O1894" t="s">
        <v>975</v>
      </c>
      <c r="P1894" s="1">
        <f>HYPERLINK("https://ec.europa.eu/info/funding-tenders/opportunities/portal/screen/opportunities/topic-details/horizon-sesar-2023-des-er2-wa1-4", "HORIZON-SESAR-2023-DES-ER2-WA1-4")</f>
        <v>0</v>
      </c>
      <c r="Q1894" t="s">
        <v>2806</v>
      </c>
    </row>
    <row r="1895" spans="1:17">
      <c r="A1895">
        <v>46142670</v>
      </c>
      <c r="B1895">
        <v>2023</v>
      </c>
      <c r="C1895" t="s">
        <v>36</v>
      </c>
      <c r="D1895" t="s">
        <v>55</v>
      </c>
      <c r="E1895" t="s">
        <v>77</v>
      </c>
      <c r="F1895" t="s">
        <v>245</v>
      </c>
      <c r="G1895" t="s">
        <v>294</v>
      </c>
      <c r="H1895" t="s">
        <v>294</v>
      </c>
      <c r="I1895" t="s">
        <v>312</v>
      </c>
      <c r="K1895" t="s">
        <v>466</v>
      </c>
      <c r="L1895" t="s">
        <v>469</v>
      </c>
      <c r="M1895" t="s">
        <v>477</v>
      </c>
      <c r="N1895" t="s">
        <v>789</v>
      </c>
      <c r="O1895" t="s">
        <v>975</v>
      </c>
      <c r="P1895" s="1">
        <f>HYPERLINK("https://ec.europa.eu/info/funding-tenders/opportunities/portal/screen/opportunities/topic-details/horizon-sesar-2023-des-er2-wa1-5", "HORIZON-SESAR-2023-DES-ER2-WA1-5")</f>
        <v>0</v>
      </c>
      <c r="Q1895" t="s">
        <v>2807</v>
      </c>
    </row>
    <row r="1896" spans="1:17">
      <c r="A1896">
        <v>46142675</v>
      </c>
      <c r="B1896">
        <v>2023</v>
      </c>
      <c r="C1896" t="s">
        <v>36</v>
      </c>
      <c r="D1896" t="s">
        <v>55</v>
      </c>
      <c r="E1896" t="s">
        <v>77</v>
      </c>
      <c r="F1896" t="s">
        <v>245</v>
      </c>
      <c r="G1896" t="s">
        <v>294</v>
      </c>
      <c r="H1896" t="s">
        <v>294</v>
      </c>
      <c r="I1896" t="s">
        <v>312</v>
      </c>
      <c r="K1896" t="s">
        <v>466</v>
      </c>
      <c r="L1896" t="s">
        <v>469</v>
      </c>
      <c r="M1896" t="s">
        <v>477</v>
      </c>
      <c r="N1896" t="s">
        <v>789</v>
      </c>
      <c r="O1896" t="s">
        <v>975</v>
      </c>
      <c r="P1896" s="1">
        <f>HYPERLINK("https://ec.europa.eu/info/funding-tenders/opportunities/portal/screen/opportunities/topic-details/horizon-sesar-2023-des-er2-wa1-6", "HORIZON-SESAR-2023-DES-ER2-WA1-6")</f>
        <v>0</v>
      </c>
      <c r="Q1896" t="s">
        <v>2808</v>
      </c>
    </row>
    <row r="1897" spans="1:17">
      <c r="A1897">
        <v>46142680</v>
      </c>
      <c r="B1897">
        <v>2023</v>
      </c>
      <c r="C1897" t="s">
        <v>36</v>
      </c>
      <c r="D1897" t="s">
        <v>55</v>
      </c>
      <c r="E1897" t="s">
        <v>77</v>
      </c>
      <c r="F1897" t="s">
        <v>245</v>
      </c>
      <c r="G1897" t="s">
        <v>294</v>
      </c>
      <c r="H1897" t="s">
        <v>294</v>
      </c>
      <c r="I1897" t="s">
        <v>312</v>
      </c>
      <c r="K1897" t="s">
        <v>466</v>
      </c>
      <c r="L1897" t="s">
        <v>469</v>
      </c>
      <c r="M1897" t="s">
        <v>477</v>
      </c>
      <c r="N1897" t="s">
        <v>789</v>
      </c>
      <c r="O1897" t="s">
        <v>975</v>
      </c>
      <c r="P1897" s="1">
        <f>HYPERLINK("https://ec.europa.eu/info/funding-tenders/opportunities/portal/screen/opportunities/topic-details/horizon-sesar-2023-des-er2-wa1-7", "HORIZON-SESAR-2023-DES-ER2-WA1-7")</f>
        <v>0</v>
      </c>
      <c r="Q1897" t="s">
        <v>2809</v>
      </c>
    </row>
    <row r="1898" spans="1:17">
      <c r="A1898">
        <v>46142685</v>
      </c>
      <c r="B1898">
        <v>2023</v>
      </c>
      <c r="C1898" t="s">
        <v>36</v>
      </c>
      <c r="D1898" t="s">
        <v>55</v>
      </c>
      <c r="E1898" t="s">
        <v>77</v>
      </c>
      <c r="F1898" t="s">
        <v>245</v>
      </c>
      <c r="G1898" t="s">
        <v>294</v>
      </c>
      <c r="H1898" t="s">
        <v>294</v>
      </c>
      <c r="I1898" t="s">
        <v>312</v>
      </c>
      <c r="K1898" t="s">
        <v>466</v>
      </c>
      <c r="L1898" t="s">
        <v>469</v>
      </c>
      <c r="M1898" t="s">
        <v>477</v>
      </c>
      <c r="N1898" t="s">
        <v>789</v>
      </c>
      <c r="O1898" t="s">
        <v>975</v>
      </c>
      <c r="P1898" s="1">
        <f>HYPERLINK("https://ec.europa.eu/info/funding-tenders/opportunities/portal/screen/opportunities/topic-details/horizon-sesar-2023-des-er2-wa1-8", "HORIZON-SESAR-2023-DES-ER2-WA1-8")</f>
        <v>0</v>
      </c>
      <c r="Q1898" t="s">
        <v>2810</v>
      </c>
    </row>
    <row r="1899" spans="1:17">
      <c r="A1899">
        <v>46142690</v>
      </c>
      <c r="B1899">
        <v>2023</v>
      </c>
      <c r="C1899" t="s">
        <v>36</v>
      </c>
      <c r="D1899" t="s">
        <v>55</v>
      </c>
      <c r="E1899" t="s">
        <v>77</v>
      </c>
      <c r="F1899" t="s">
        <v>245</v>
      </c>
      <c r="G1899" t="s">
        <v>294</v>
      </c>
      <c r="H1899" t="s">
        <v>294</v>
      </c>
      <c r="I1899" t="s">
        <v>312</v>
      </c>
      <c r="K1899" t="s">
        <v>466</v>
      </c>
      <c r="L1899" t="s">
        <v>469</v>
      </c>
      <c r="M1899" t="s">
        <v>477</v>
      </c>
      <c r="N1899" t="s">
        <v>789</v>
      </c>
      <c r="O1899" t="s">
        <v>975</v>
      </c>
      <c r="P1899" s="1">
        <f>HYPERLINK("https://ec.europa.eu/info/funding-tenders/opportunities/portal/screen/opportunities/topic-details/horizon-sesar-2023-des-er2-wa1-9", "HORIZON-SESAR-2023-DES-ER2-WA1-9")</f>
        <v>0</v>
      </c>
      <c r="Q1899" t="s">
        <v>2811</v>
      </c>
    </row>
    <row r="1900" spans="1:17">
      <c r="A1900">
        <v>46142695</v>
      </c>
      <c r="B1900">
        <v>2023</v>
      </c>
      <c r="C1900" t="s">
        <v>36</v>
      </c>
      <c r="D1900" t="s">
        <v>55</v>
      </c>
      <c r="E1900" t="s">
        <v>77</v>
      </c>
      <c r="F1900" t="s">
        <v>245</v>
      </c>
      <c r="G1900" t="s">
        <v>294</v>
      </c>
      <c r="H1900" t="s">
        <v>294</v>
      </c>
      <c r="I1900" t="s">
        <v>312</v>
      </c>
      <c r="K1900" t="s">
        <v>466</v>
      </c>
      <c r="L1900" t="s">
        <v>469</v>
      </c>
      <c r="M1900" t="s">
        <v>477</v>
      </c>
      <c r="N1900" t="s">
        <v>789</v>
      </c>
      <c r="O1900" t="s">
        <v>975</v>
      </c>
      <c r="P1900" s="1">
        <f>HYPERLINK("https://ec.europa.eu/info/funding-tenders/opportunities/portal/screen/opportunities/topic-details/horizon-sesar-2023-des-er2-wa2-1", "HORIZON-SESAR-2023-DES-ER2-WA2-1")</f>
        <v>0</v>
      </c>
      <c r="Q1900" t="s">
        <v>2812</v>
      </c>
    </row>
    <row r="1901" spans="1:17">
      <c r="A1901">
        <v>46142700</v>
      </c>
      <c r="B1901">
        <v>2023</v>
      </c>
      <c r="C1901" t="s">
        <v>36</v>
      </c>
      <c r="D1901" t="s">
        <v>55</v>
      </c>
      <c r="E1901" t="s">
        <v>77</v>
      </c>
      <c r="F1901" t="s">
        <v>245</v>
      </c>
      <c r="G1901" t="s">
        <v>294</v>
      </c>
      <c r="H1901" t="s">
        <v>294</v>
      </c>
      <c r="I1901" t="s">
        <v>312</v>
      </c>
      <c r="K1901" t="s">
        <v>466</v>
      </c>
      <c r="L1901" t="s">
        <v>469</v>
      </c>
      <c r="M1901" t="s">
        <v>477</v>
      </c>
      <c r="N1901" t="s">
        <v>789</v>
      </c>
      <c r="O1901" t="s">
        <v>975</v>
      </c>
      <c r="P1901" s="1">
        <f>HYPERLINK("https://ec.europa.eu/info/funding-tenders/opportunities/portal/screen/opportunities/topic-details/horizon-sesar-2023-des-er2-wa2-2", "HORIZON-SESAR-2023-DES-ER2-WA2-2")</f>
        <v>0</v>
      </c>
      <c r="Q1901" t="s">
        <v>2813</v>
      </c>
    </row>
    <row r="1902" spans="1:17">
      <c r="A1902">
        <v>46142710</v>
      </c>
      <c r="B1902">
        <v>2023</v>
      </c>
      <c r="C1902" t="s">
        <v>36</v>
      </c>
      <c r="D1902" t="s">
        <v>55</v>
      </c>
      <c r="E1902" t="s">
        <v>77</v>
      </c>
      <c r="F1902" t="s">
        <v>245</v>
      </c>
      <c r="G1902" t="s">
        <v>294</v>
      </c>
      <c r="H1902" t="s">
        <v>294</v>
      </c>
      <c r="I1902" t="s">
        <v>312</v>
      </c>
      <c r="K1902" t="s">
        <v>466</v>
      </c>
      <c r="L1902" t="s">
        <v>469</v>
      </c>
      <c r="M1902" t="s">
        <v>477</v>
      </c>
      <c r="N1902" t="s">
        <v>789</v>
      </c>
      <c r="O1902" t="s">
        <v>975</v>
      </c>
      <c r="P1902" s="1">
        <f>HYPERLINK("https://ec.europa.eu/info/funding-tenders/opportunities/portal/screen/opportunities/topic-details/horizon-sesar-2023-des-er2-wa2-3", "HORIZON-SESAR-2023-DES-ER2-WA2-3")</f>
        <v>0</v>
      </c>
      <c r="Q1902" t="s">
        <v>2814</v>
      </c>
    </row>
    <row r="1903" spans="1:17">
      <c r="A1903">
        <v>46142715</v>
      </c>
      <c r="B1903">
        <v>2023</v>
      </c>
      <c r="C1903" t="s">
        <v>36</v>
      </c>
      <c r="D1903" t="s">
        <v>55</v>
      </c>
      <c r="E1903" t="s">
        <v>77</v>
      </c>
      <c r="F1903" t="s">
        <v>245</v>
      </c>
      <c r="G1903" t="s">
        <v>294</v>
      </c>
      <c r="H1903" t="s">
        <v>294</v>
      </c>
      <c r="I1903" t="s">
        <v>312</v>
      </c>
      <c r="K1903" t="s">
        <v>466</v>
      </c>
      <c r="L1903" t="s">
        <v>469</v>
      </c>
      <c r="M1903" t="s">
        <v>477</v>
      </c>
      <c r="N1903" t="s">
        <v>789</v>
      </c>
      <c r="O1903" t="s">
        <v>975</v>
      </c>
      <c r="P1903" s="1">
        <f>HYPERLINK("https://ec.europa.eu/info/funding-tenders/opportunities/portal/screen/opportunities/topic-details/horizon-sesar-2023-des-er2-wa2-4", "HORIZON-SESAR-2023-DES-ER2-WA2-4")</f>
        <v>0</v>
      </c>
      <c r="Q1903" t="s">
        <v>2815</v>
      </c>
    </row>
  </sheetData>
  <autoFilter ref="A1:Q19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2024-06-18T03:37:48Z</dcterms:created>
  <dcterms:modified xsi:type="dcterms:W3CDTF">2024-06-18T03:37:48Z</dcterms:modified>
</cp:coreProperties>
</file>